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5.xml" ContentType="application/vnd.openxmlformats-officedocument.drawing+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6.xml" ContentType="application/vnd.openxmlformats-officedocument.drawingml.chartshapes+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7.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1"/>
  <workbookPr codeName="DieseArbeitsmappe"/>
  <mc:AlternateContent xmlns:mc="http://schemas.openxmlformats.org/markup-compatibility/2006">
    <mc:Choice Requires="x15">
      <x15ac:absPath xmlns:x15ac="http://schemas.microsoft.com/office/spreadsheetml/2010/11/ac" url="/Users/rginster/Documents/development/batpy/docs/example_data/excel_workbooks/"/>
    </mc:Choice>
  </mc:AlternateContent>
  <xr:revisionPtr revIDLastSave="0" documentId="13_ncr:1_{30F175F7-9727-6742-8F1A-1A2955828ABC}" xr6:coauthVersionLast="47" xr6:coauthVersionMax="47" xr10:uidLastSave="{00000000-0000-0000-0000-000000000000}"/>
  <bookViews>
    <workbookView xWindow="25640" yWindow="580" windowWidth="25480" windowHeight="28140" firstSheet="5" activeTab="6" xr2:uid="{00000000-000D-0000-FFFF-FFFF00000000}"/>
  </bookViews>
  <sheets>
    <sheet name="ReadMe" sheetId="43" r:id="rId1"/>
    <sheet name="Macro" sheetId="1" r:id="rId2"/>
    <sheet name="R1_Detail" sheetId="10" r:id="rId3"/>
    <sheet name="R2_Detail" sheetId="15" r:id="rId4"/>
    <sheet name="R3_Detail" sheetId="37" r:id="rId5"/>
    <sheet name="Evaluation" sheetId="9" r:id="rId6"/>
    <sheet name="Battery" sheetId="16" r:id="rId7"/>
    <sheet name="R1_MEFA" sheetId="17" r:id="rId8"/>
    <sheet name="R1_Hydro_MEFA" sheetId="18" r:id="rId9"/>
    <sheet name="R1_Econ." sheetId="27" r:id="rId10"/>
    <sheet name="R2_MEFA" sheetId="19" r:id="rId11"/>
    <sheet name="R2_Hydro_MEFA" sheetId="20" r:id="rId12"/>
    <sheet name="R2_Econ." sheetId="29" r:id="rId13"/>
    <sheet name="R3_MEFA" sheetId="40" r:id="rId14"/>
    <sheet name="R3_Hydro_MEFA" sheetId="41" r:id="rId15"/>
    <sheet name="R3_Econ." sheetId="42" r:id="rId16"/>
    <sheet name="Energy" sheetId="39" r:id="rId17"/>
    <sheet name="Stoichiometry" sheetId="38" r:id="rId18"/>
    <sheet name="CO2-Eq." sheetId="44" r:id="rId19"/>
    <sheet name="CO2-Eq. invisble" sheetId="33" state="veryHidden" r:id="rId20"/>
    <sheet name="Efficiencies" sheetId="30" r:id="rId21"/>
    <sheet name="Substitution" sheetId="31" r:id="rId22"/>
    <sheet name="Dropdown" sheetId="2" state="hidden" r:id="rId23"/>
  </sheets>
  <definedNames>
    <definedName name="DemonSchichten">Dropdown!$D$2:$D$4</definedName>
    <definedName name="Kapazitäten">Dropdown!$B$2:$B$4</definedName>
    <definedName name="Preisszenario">Dropdown!$A$2:$A$5</definedName>
    <definedName name="Schichten">Dropdown!$C$2:$C$4</definedName>
  </definedNames>
  <calcPr calcId="191029" calcMode="manual" iterate="1" iterateDelta="1.0000000000000001E-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51" i="9" l="1"/>
  <c r="C61" i="42"/>
  <c r="C60" i="42"/>
  <c r="G61" i="42"/>
  <c r="H61" i="42" s="1"/>
  <c r="G60" i="42"/>
  <c r="H60" i="42" s="1"/>
  <c r="C56" i="42"/>
  <c r="C57" i="42"/>
  <c r="P109" i="39"/>
  <c r="P110" i="39"/>
  <c r="P108" i="39"/>
  <c r="P106" i="39"/>
  <c r="P19" i="39"/>
  <c r="P22" i="39"/>
  <c r="P23" i="39"/>
  <c r="P21" i="39"/>
  <c r="P80" i="39"/>
  <c r="P76" i="39"/>
  <c r="P77" i="39"/>
  <c r="P75" i="39"/>
  <c r="P68" i="39"/>
  <c r="P69" i="39"/>
  <c r="P70" i="39"/>
  <c r="P71" i="39"/>
  <c r="P72" i="39"/>
  <c r="P65" i="39"/>
  <c r="P67" i="39"/>
  <c r="I60" i="42" l="1"/>
  <c r="J60" i="42"/>
  <c r="J61" i="42"/>
  <c r="I61" i="42"/>
  <c r="C44" i="44"/>
  <c r="E39" i="44" s="1"/>
  <c r="O31" i="9" l="1"/>
  <c r="D24" i="16" l="1"/>
  <c r="H12" i="9"/>
  <c r="F25" i="42" l="1"/>
  <c r="F24" i="42"/>
  <c r="F23" i="42"/>
  <c r="F21" i="42"/>
  <c r="F20" i="42"/>
  <c r="F19" i="42"/>
  <c r="F18" i="42"/>
  <c r="F17" i="42"/>
  <c r="F15" i="42"/>
  <c r="F14" i="42"/>
  <c r="F13" i="42"/>
  <c r="F12" i="42"/>
  <c r="F24" i="29"/>
  <c r="F23" i="29"/>
  <c r="F22" i="29"/>
  <c r="F21" i="29"/>
  <c r="F20" i="29"/>
  <c r="F19" i="29"/>
  <c r="F18" i="29"/>
  <c r="F17" i="29"/>
  <c r="F16" i="29"/>
  <c r="F15" i="29"/>
  <c r="F14" i="29"/>
  <c r="F13" i="29"/>
  <c r="F12" i="29"/>
  <c r="F12" i="27"/>
  <c r="F19" i="27"/>
  <c r="F18" i="27"/>
  <c r="F17" i="27"/>
  <c r="F15" i="27"/>
  <c r="F14" i="27"/>
  <c r="F13" i="27"/>
  <c r="C62" i="42"/>
  <c r="C58" i="42"/>
  <c r="C57" i="29"/>
  <c r="C55" i="29"/>
  <c r="G39" i="33"/>
  <c r="T123" i="41"/>
  <c r="E9" i="27"/>
  <c r="G50" i="27" s="1"/>
  <c r="T193" i="18"/>
  <c r="E22" i="1" l="1"/>
  <c r="R41" i="9" l="1"/>
  <c r="P41" i="9"/>
  <c r="Q39" i="9" l="1"/>
  <c r="Q59" i="9"/>
  <c r="Q29" i="9" l="1"/>
  <c r="P29" i="9" s="1"/>
  <c r="Q48" i="9"/>
  <c r="R48" i="9" s="1"/>
  <c r="Q40" i="9"/>
  <c r="R40" i="9" s="1"/>
  <c r="P59" i="9"/>
  <c r="Q63" i="9"/>
  <c r="P63" i="9" s="1"/>
  <c r="Q55" i="9"/>
  <c r="P55" i="9" s="1"/>
  <c r="P54" i="9"/>
  <c r="R50" i="9"/>
  <c r="Q58" i="9"/>
  <c r="R58" i="9" s="1"/>
  <c r="Q47" i="9"/>
  <c r="R47" i="9" s="1"/>
  <c r="Q46" i="9"/>
  <c r="P46" i="9" s="1"/>
  <c r="Q43" i="9"/>
  <c r="P43" i="9" s="1"/>
  <c r="Q44" i="9"/>
  <c r="Q45" i="9"/>
  <c r="R45" i="9" s="1"/>
  <c r="Q57" i="9"/>
  <c r="R57" i="9" s="1"/>
  <c r="Q60" i="9"/>
  <c r="R60" i="9" s="1"/>
  <c r="Q34" i="9"/>
  <c r="R34" i="9" s="1"/>
  <c r="Q33" i="9"/>
  <c r="R33" i="9" s="1"/>
  <c r="Q52" i="9"/>
  <c r="R52" i="9" s="1"/>
  <c r="Q56" i="9"/>
  <c r="R56" i="9" s="1"/>
  <c r="Q35" i="9"/>
  <c r="P35" i="9"/>
  <c r="Q42" i="9"/>
  <c r="P42" i="9" s="1"/>
  <c r="P62" i="9"/>
  <c r="P61" i="9"/>
  <c r="P53" i="9"/>
  <c r="P50" i="9"/>
  <c r="P49" i="9"/>
  <c r="P44" i="9"/>
  <c r="P39" i="9"/>
  <c r="P38" i="9"/>
  <c r="P33" i="9"/>
  <c r="P31" i="9"/>
  <c r="P30" i="9"/>
  <c r="R62" i="9"/>
  <c r="R61" i="9"/>
  <c r="R54" i="9"/>
  <c r="R53" i="9"/>
  <c r="R49" i="9"/>
  <c r="R44" i="9"/>
  <c r="R39" i="9"/>
  <c r="R38" i="9"/>
  <c r="R31" i="9"/>
  <c r="R30" i="9"/>
  <c r="R29" i="9"/>
  <c r="R51" i="9"/>
  <c r="Q32" i="9"/>
  <c r="R32" i="9" s="1"/>
  <c r="P40" i="9" l="1"/>
  <c r="R46" i="9"/>
  <c r="P48" i="9"/>
  <c r="R43" i="9"/>
  <c r="P52" i="9"/>
  <c r="R42" i="9"/>
  <c r="P58" i="9"/>
  <c r="P60" i="9"/>
  <c r="P32" i="9"/>
  <c r="P51" i="9"/>
  <c r="R63" i="9"/>
  <c r="R59" i="9"/>
  <c r="R55" i="9"/>
  <c r="P47" i="9"/>
  <c r="P45" i="9"/>
  <c r="P57" i="9"/>
  <c r="P34" i="9"/>
  <c r="P56" i="9"/>
  <c r="R35" i="9"/>
  <c r="E14" i="42" l="1"/>
  <c r="E15" i="42"/>
  <c r="M43" i="42"/>
  <c r="H43" i="42"/>
  <c r="M42" i="42"/>
  <c r="H42" i="42"/>
  <c r="M41" i="42"/>
  <c r="H41" i="42"/>
  <c r="N118" i="39"/>
  <c r="H118" i="39"/>
  <c r="N117" i="39"/>
  <c r="H117" i="39"/>
  <c r="N116" i="39"/>
  <c r="H116" i="39"/>
  <c r="M50" i="42" l="1"/>
  <c r="M49" i="42"/>
  <c r="M48" i="42"/>
  <c r="M47" i="42"/>
  <c r="M46" i="42"/>
  <c r="M45" i="42"/>
  <c r="M44" i="42"/>
  <c r="M40" i="42"/>
  <c r="M39" i="42"/>
  <c r="M38" i="42"/>
  <c r="M37" i="42"/>
  <c r="M36" i="42"/>
  <c r="M35" i="42"/>
  <c r="M34" i="42"/>
  <c r="M33" i="42"/>
  <c r="M32" i="42"/>
  <c r="M31" i="42"/>
  <c r="M30" i="42"/>
  <c r="M29" i="42"/>
  <c r="M28" i="42"/>
  <c r="M27" i="42"/>
  <c r="M26" i="42"/>
  <c r="M25" i="42"/>
  <c r="M24" i="42"/>
  <c r="M23" i="42"/>
  <c r="M22" i="42"/>
  <c r="M21" i="42"/>
  <c r="M20" i="42"/>
  <c r="M19" i="42"/>
  <c r="M18" i="42"/>
  <c r="M17" i="42"/>
  <c r="M16" i="42"/>
  <c r="M15" i="42"/>
  <c r="M14" i="42"/>
  <c r="M13" i="42"/>
  <c r="M12" i="42"/>
  <c r="S116" i="1"/>
  <c r="S115" i="1"/>
  <c r="S114" i="1"/>
  <c r="S113" i="1"/>
  <c r="S112" i="1"/>
  <c r="S111" i="1"/>
  <c r="S110" i="1"/>
  <c r="S109" i="1"/>
  <c r="S108" i="1"/>
  <c r="S107" i="1"/>
  <c r="S106" i="1"/>
  <c r="S105" i="1"/>
  <c r="S104" i="1"/>
  <c r="S103" i="1"/>
  <c r="S102" i="1"/>
  <c r="S101" i="1"/>
  <c r="S100" i="1"/>
  <c r="S99" i="1"/>
  <c r="S98" i="1"/>
  <c r="S97" i="1"/>
  <c r="S96" i="1"/>
  <c r="S95" i="1"/>
  <c r="S94" i="1"/>
  <c r="S93" i="1"/>
  <c r="S92" i="1"/>
  <c r="S91" i="1"/>
  <c r="S90" i="1"/>
  <c r="S89" i="1"/>
  <c r="S88" i="1"/>
  <c r="S87" i="1"/>
  <c r="S86" i="1"/>
  <c r="S85" i="1"/>
  <c r="S84" i="1"/>
  <c r="S83" i="1"/>
  <c r="S82" i="1"/>
  <c r="S81" i="1"/>
  <c r="S42" i="1"/>
  <c r="H14" i="42"/>
  <c r="H15" i="42"/>
  <c r="H13" i="42"/>
  <c r="J13" i="42" s="1"/>
  <c r="H12" i="42"/>
  <c r="H17" i="42"/>
  <c r="H16" i="42"/>
  <c r="H21" i="42"/>
  <c r="H20" i="42"/>
  <c r="H19" i="42"/>
  <c r="H18" i="42"/>
  <c r="H50" i="42"/>
  <c r="H49" i="42"/>
  <c r="H48" i="42"/>
  <c r="H47" i="42"/>
  <c r="H46" i="42"/>
  <c r="H45" i="42"/>
  <c r="H44" i="42"/>
  <c r="H39" i="42"/>
  <c r="H38" i="42"/>
  <c r="H37" i="42"/>
  <c r="H36" i="42"/>
  <c r="H35" i="42"/>
  <c r="H34" i="42"/>
  <c r="H33" i="42"/>
  <c r="H32" i="42"/>
  <c r="H31" i="42"/>
  <c r="H30" i="42"/>
  <c r="H29" i="42"/>
  <c r="H28" i="42"/>
  <c r="H27" i="42"/>
  <c r="H26" i="42"/>
  <c r="H25" i="42"/>
  <c r="H24" i="42"/>
  <c r="H23" i="42"/>
  <c r="H22" i="42"/>
  <c r="T180" i="20"/>
  <c r="N13" i="42" l="1"/>
  <c r="L13" i="42"/>
  <c r="H113" i="39" l="1"/>
  <c r="H101" i="39"/>
  <c r="H14" i="39"/>
  <c r="H26" i="39"/>
  <c r="H58" i="39"/>
  <c r="H91" i="39"/>
  <c r="N124" i="39"/>
  <c r="H124" i="39"/>
  <c r="L124" i="39" s="1"/>
  <c r="N123" i="39"/>
  <c r="H123" i="39"/>
  <c r="L123" i="39" s="1"/>
  <c r="N121" i="39"/>
  <c r="H121" i="39"/>
  <c r="N120" i="39"/>
  <c r="H120" i="39"/>
  <c r="N119" i="39"/>
  <c r="H119" i="39"/>
  <c r="N115" i="39"/>
  <c r="H115" i="39"/>
  <c r="N114" i="39"/>
  <c r="H114" i="39"/>
  <c r="N113" i="39"/>
  <c r="N110" i="39"/>
  <c r="H110" i="39"/>
  <c r="N109" i="39"/>
  <c r="H109" i="39"/>
  <c r="N108" i="39"/>
  <c r="H108" i="39"/>
  <c r="P107" i="39"/>
  <c r="N107" i="39"/>
  <c r="H107" i="39"/>
  <c r="N106" i="39"/>
  <c r="H106" i="39"/>
  <c r="P105" i="39"/>
  <c r="N105" i="39"/>
  <c r="H105" i="39"/>
  <c r="P104" i="39"/>
  <c r="N104" i="39"/>
  <c r="H104" i="39"/>
  <c r="P103" i="39"/>
  <c r="N103" i="39"/>
  <c r="H103" i="39"/>
  <c r="P102" i="39"/>
  <c r="N102" i="39"/>
  <c r="H102" i="39"/>
  <c r="P101" i="39"/>
  <c r="N101" i="39"/>
  <c r="H29" i="39"/>
  <c r="N29" i="39"/>
  <c r="H30" i="39"/>
  <c r="N30" i="39"/>
  <c r="H31" i="39"/>
  <c r="N31" i="39"/>
  <c r="N100" i="39"/>
  <c r="H100" i="39"/>
  <c r="N99" i="39"/>
  <c r="H99" i="39"/>
  <c r="N98" i="39"/>
  <c r="H98" i="39"/>
  <c r="N93" i="39"/>
  <c r="E76" i="30"/>
  <c r="E77" i="30"/>
  <c r="E78" i="30"/>
  <c r="O123" i="39" l="1"/>
  <c r="I191" i="41" s="1"/>
  <c r="O124" i="39"/>
  <c r="I197" i="41" s="1"/>
  <c r="E97" i="30"/>
  <c r="C112" i="30" s="1"/>
  <c r="E112" i="30" s="1"/>
  <c r="E89" i="30"/>
  <c r="E90" i="30"/>
  <c r="C102" i="30" s="1"/>
  <c r="E102" i="30" s="1"/>
  <c r="E91" i="30"/>
  <c r="C103" i="30" s="1"/>
  <c r="E103" i="30" s="1"/>
  <c r="E88" i="30"/>
  <c r="E9" i="30"/>
  <c r="E46" i="30"/>
  <c r="E115" i="40"/>
  <c r="E114" i="40"/>
  <c r="E113" i="40"/>
  <c r="D95" i="30"/>
  <c r="D16" i="30"/>
  <c r="E99" i="30"/>
  <c r="C111" i="30" s="1"/>
  <c r="E111" i="30" s="1"/>
  <c r="E98" i="30"/>
  <c r="C110" i="30" s="1"/>
  <c r="E110" i="30" s="1"/>
  <c r="G141" i="38"/>
  <c r="D116" i="38"/>
  <c r="V124" i="41"/>
  <c r="V124" i="18"/>
  <c r="B5" i="41"/>
  <c r="E85" i="30"/>
  <c r="E84" i="30"/>
  <c r="E83" i="30"/>
  <c r="E75" i="30"/>
  <c r="E74" i="30"/>
  <c r="E72" i="30"/>
  <c r="D113" i="40"/>
  <c r="B113" i="40"/>
  <c r="I67" i="40"/>
  <c r="N96" i="39"/>
  <c r="H96" i="39"/>
  <c r="N95" i="39"/>
  <c r="H95" i="39"/>
  <c r="N94" i="39"/>
  <c r="H94" i="39"/>
  <c r="P91" i="39"/>
  <c r="N91" i="39"/>
  <c r="N92" i="39"/>
  <c r="H92" i="39"/>
  <c r="C104" i="30" l="1"/>
  <c r="E104" i="30" s="1"/>
  <c r="C95" i="30"/>
  <c r="E95" i="30" s="1"/>
  <c r="C116" i="30" s="1"/>
  <c r="E116" i="30" s="1"/>
  <c r="C94" i="30"/>
  <c r="E94" i="30" s="1"/>
  <c r="C96" i="30"/>
  <c r="E96" i="30" s="1"/>
  <c r="C113" i="30" s="1"/>
  <c r="E113" i="30" s="1"/>
  <c r="T112" i="41"/>
  <c r="C63" i="42"/>
  <c r="C59" i="42"/>
  <c r="E9" i="42"/>
  <c r="E5" i="42"/>
  <c r="H113" i="40"/>
  <c r="G8" i="40"/>
  <c r="G7" i="40"/>
  <c r="C5" i="40"/>
  <c r="G55" i="42" l="1"/>
  <c r="H55" i="42" s="1"/>
  <c r="G57" i="42"/>
  <c r="H57" i="42" s="1"/>
  <c r="G56" i="42"/>
  <c r="H56" i="42" s="1"/>
  <c r="C114" i="30"/>
  <c r="E114" i="30" s="1"/>
  <c r="C115" i="30" s="1"/>
  <c r="E115" i="30" s="1"/>
  <c r="C107" i="30"/>
  <c r="E107" i="30" s="1"/>
  <c r="C105" i="30"/>
  <c r="E105" i="30" s="1"/>
  <c r="C106" i="30" s="1"/>
  <c r="E106" i="30" s="1"/>
  <c r="C28" i="40"/>
  <c r="C32" i="40" s="1"/>
  <c r="J17" i="42"/>
  <c r="J18" i="42"/>
  <c r="J25" i="42"/>
  <c r="J24" i="42"/>
  <c r="J23" i="42"/>
  <c r="J22" i="42"/>
  <c r="J20" i="42"/>
  <c r="J19" i="42"/>
  <c r="J21" i="42"/>
  <c r="L18" i="9"/>
  <c r="I55" i="42"/>
  <c r="G59" i="42"/>
  <c r="H59" i="42" s="1"/>
  <c r="G54" i="42"/>
  <c r="H54" i="42" s="1"/>
  <c r="G63" i="42"/>
  <c r="H63" i="42" s="1"/>
  <c r="G58" i="42"/>
  <c r="H58" i="42" s="1"/>
  <c r="G62" i="42"/>
  <c r="H62" i="42" s="1"/>
  <c r="I56" i="42" l="1"/>
  <c r="J56" i="42"/>
  <c r="J57" i="42"/>
  <c r="I57" i="42"/>
  <c r="L24" i="42"/>
  <c r="N24" i="42"/>
  <c r="L21" i="42"/>
  <c r="N21" i="42"/>
  <c r="L23" i="42"/>
  <c r="N23" i="42"/>
  <c r="L18" i="42"/>
  <c r="N18" i="42"/>
  <c r="L17" i="42"/>
  <c r="N17" i="42"/>
  <c r="N22" i="42"/>
  <c r="L22" i="42"/>
  <c r="N19" i="42"/>
  <c r="L19" i="42"/>
  <c r="N25" i="42"/>
  <c r="L25" i="42"/>
  <c r="L20" i="42"/>
  <c r="N20" i="42"/>
  <c r="C113" i="40"/>
  <c r="J63" i="42"/>
  <c r="I63" i="42"/>
  <c r="J58" i="42"/>
  <c r="I58" i="42"/>
  <c r="I54" i="42"/>
  <c r="J62" i="42"/>
  <c r="I62" i="42"/>
  <c r="J59" i="42"/>
  <c r="I59" i="42"/>
  <c r="D21" i="37" l="1"/>
  <c r="E21" i="37" s="1"/>
  <c r="D21" i="15"/>
  <c r="E21" i="15" s="1"/>
  <c r="D19" i="10"/>
  <c r="E19" i="10" s="1"/>
  <c r="E9" i="29" l="1"/>
  <c r="G54" i="29" s="1"/>
  <c r="H54" i="29" s="1"/>
  <c r="C58" i="29"/>
  <c r="C56" i="29"/>
  <c r="C51" i="27"/>
  <c r="C56" i="27"/>
  <c r="C55" i="27"/>
  <c r="C54" i="27"/>
  <c r="C53" i="27"/>
  <c r="C52" i="27"/>
  <c r="H50" i="27"/>
  <c r="M46" i="29"/>
  <c r="M47" i="29"/>
  <c r="M48" i="29"/>
  <c r="M49" i="29"/>
  <c r="M13" i="29"/>
  <c r="M14" i="29"/>
  <c r="M15" i="29"/>
  <c r="M16" i="29"/>
  <c r="M17" i="29"/>
  <c r="M18" i="29"/>
  <c r="M19" i="29"/>
  <c r="M20" i="29"/>
  <c r="M21" i="29"/>
  <c r="M22" i="29"/>
  <c r="M23" i="29"/>
  <c r="M24" i="29"/>
  <c r="M25" i="29"/>
  <c r="M26" i="29"/>
  <c r="M27" i="29"/>
  <c r="M28" i="29"/>
  <c r="M29" i="29"/>
  <c r="M30" i="29"/>
  <c r="M31" i="29"/>
  <c r="M32" i="29"/>
  <c r="M33" i="29"/>
  <c r="M34" i="29"/>
  <c r="M35" i="29"/>
  <c r="M36" i="29"/>
  <c r="M37" i="29"/>
  <c r="M38" i="29"/>
  <c r="M39" i="29"/>
  <c r="M40" i="29"/>
  <c r="M41" i="29"/>
  <c r="M42" i="29"/>
  <c r="M43" i="29"/>
  <c r="M44" i="29"/>
  <c r="M45" i="29"/>
  <c r="M12" i="29"/>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M13" i="27"/>
  <c r="M14" i="27"/>
  <c r="M15" i="27"/>
  <c r="M16" i="27"/>
  <c r="M17" i="27"/>
  <c r="M18" i="27"/>
  <c r="M19" i="27"/>
  <c r="M20" i="27"/>
  <c r="M21" i="27"/>
  <c r="M22" i="27"/>
  <c r="M23" i="27"/>
  <c r="M24" i="27"/>
  <c r="M25" i="27"/>
  <c r="M26" i="27"/>
  <c r="M27" i="27"/>
  <c r="M28" i="27"/>
  <c r="M29" i="27"/>
  <c r="M30" i="27"/>
  <c r="M31" i="27"/>
  <c r="M32" i="27"/>
  <c r="M33" i="27"/>
  <c r="M34" i="27"/>
  <c r="M35" i="27"/>
  <c r="M36" i="27"/>
  <c r="M37" i="27"/>
  <c r="M38" i="27"/>
  <c r="M39" i="27"/>
  <c r="M40" i="27"/>
  <c r="M41" i="27"/>
  <c r="M42" i="27"/>
  <c r="M43" i="27"/>
  <c r="M44" i="27"/>
  <c r="M45" i="27"/>
  <c r="M12" i="27"/>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7" i="1"/>
  <c r="G53" i="29" l="1"/>
  <c r="H53" i="29" s="1"/>
  <c r="G58" i="29"/>
  <c r="H58" i="29" s="1"/>
  <c r="G57" i="29"/>
  <c r="H57" i="29" s="1"/>
  <c r="G56" i="29"/>
  <c r="H56" i="29" s="1"/>
  <c r="G55" i="29"/>
  <c r="H55" i="29" s="1"/>
  <c r="G49" i="27"/>
  <c r="H49" i="27" s="1"/>
  <c r="G56" i="27"/>
  <c r="H56" i="27" s="1"/>
  <c r="G55" i="27"/>
  <c r="H55" i="27" s="1"/>
  <c r="G54" i="27"/>
  <c r="H54" i="27" s="1"/>
  <c r="G53" i="27"/>
  <c r="H53" i="27" s="1"/>
  <c r="G52" i="27"/>
  <c r="H52" i="27" s="1"/>
  <c r="G51" i="27"/>
  <c r="H51" i="27" s="1"/>
  <c r="H11" i="37"/>
  <c r="H13" i="39" l="1"/>
  <c r="H11" i="39" l="1"/>
  <c r="E15" i="27" l="1"/>
  <c r="J56" i="27"/>
  <c r="I49" i="27"/>
  <c r="O30" i="9"/>
  <c r="O33" i="9"/>
  <c r="O38" i="9"/>
  <c r="O39" i="9"/>
  <c r="O40" i="9"/>
  <c r="O42" i="9"/>
  <c r="O43" i="9"/>
  <c r="O44" i="9"/>
  <c r="O46" i="9"/>
  <c r="O48" i="9"/>
  <c r="O49" i="9"/>
  <c r="O53" i="9"/>
  <c r="O54" i="9"/>
  <c r="O55" i="9"/>
  <c r="O57" i="9"/>
  <c r="O58" i="9"/>
  <c r="O59" i="9"/>
  <c r="O60" i="9"/>
  <c r="O61" i="9"/>
  <c r="O62" i="9"/>
  <c r="O63" i="9"/>
  <c r="O29" i="9"/>
  <c r="N51" i="39" l="1"/>
  <c r="H51" i="39"/>
  <c r="N11" i="39"/>
  <c r="N13" i="39"/>
  <c r="H18" i="29" l="1"/>
  <c r="P81" i="39" l="1"/>
  <c r="P64" i="39"/>
  <c r="P63" i="39"/>
  <c r="P62" i="39"/>
  <c r="P61" i="39"/>
  <c r="P60" i="39"/>
  <c r="P59" i="39"/>
  <c r="P58" i="39"/>
  <c r="P16" i="39"/>
  <c r="P20" i="39"/>
  <c r="P18" i="39"/>
  <c r="P17" i="39"/>
  <c r="P15" i="39"/>
  <c r="P14" i="39"/>
  <c r="N14" i="39" l="1"/>
  <c r="N26" i="39"/>
  <c r="N58" i="39"/>
  <c r="N81" i="39"/>
  <c r="N80" i="39"/>
  <c r="N77" i="39"/>
  <c r="N76" i="39"/>
  <c r="N75" i="39"/>
  <c r="N72" i="39"/>
  <c r="N71" i="39"/>
  <c r="N70" i="39"/>
  <c r="N69" i="39"/>
  <c r="N68" i="39"/>
  <c r="N67" i="39"/>
  <c r="N66" i="39"/>
  <c r="N65" i="39"/>
  <c r="N64" i="39"/>
  <c r="N63" i="39"/>
  <c r="N62" i="39"/>
  <c r="N61" i="39"/>
  <c r="N60" i="39"/>
  <c r="N59" i="39"/>
  <c r="C169" i="39"/>
  <c r="C171" i="39" s="1"/>
  <c r="C168" i="39"/>
  <c r="N56" i="39"/>
  <c r="N55" i="39"/>
  <c r="N54" i="39"/>
  <c r="N53" i="39"/>
  <c r="N52" i="39"/>
  <c r="N50" i="39"/>
  <c r="N49" i="39"/>
  <c r="N12" i="39"/>
  <c r="H61" i="39"/>
  <c r="N38" i="39"/>
  <c r="N37" i="39"/>
  <c r="N34" i="39"/>
  <c r="N33" i="39"/>
  <c r="N32" i="39"/>
  <c r="N28" i="39"/>
  <c r="N27" i="39"/>
  <c r="N23" i="39"/>
  <c r="N22" i="39"/>
  <c r="N21" i="39"/>
  <c r="N20" i="39"/>
  <c r="N19" i="39"/>
  <c r="N18" i="39"/>
  <c r="N17" i="39"/>
  <c r="N16" i="39"/>
  <c r="N15" i="39"/>
  <c r="E15" i="29"/>
  <c r="C170" i="39" l="1"/>
  <c r="C5" i="19" l="1"/>
  <c r="G8" i="19"/>
  <c r="G7" i="19"/>
  <c r="L17" i="9" l="1"/>
  <c r="H12" i="39"/>
  <c r="H37" i="39"/>
  <c r="L37" i="39" s="1"/>
  <c r="O37" i="39" s="1"/>
  <c r="I198" i="18" s="1"/>
  <c r="H28" i="39"/>
  <c r="H38" i="39"/>
  <c r="L38" i="39" s="1"/>
  <c r="O38" i="39" s="1"/>
  <c r="I204" i="18" s="1"/>
  <c r="H34" i="39"/>
  <c r="H33" i="39"/>
  <c r="H32" i="39"/>
  <c r="H27" i="39"/>
  <c r="H81" i="39"/>
  <c r="H80" i="39"/>
  <c r="H77" i="39"/>
  <c r="H76" i="39"/>
  <c r="H75" i="39"/>
  <c r="H72" i="39"/>
  <c r="H71" i="39"/>
  <c r="H70" i="39"/>
  <c r="H69" i="39"/>
  <c r="H68" i="39"/>
  <c r="H67" i="39"/>
  <c r="H66" i="39"/>
  <c r="H65" i="39"/>
  <c r="H64" i="39"/>
  <c r="H63" i="39"/>
  <c r="H62" i="39"/>
  <c r="H60" i="39"/>
  <c r="H59" i="39"/>
  <c r="H50" i="39"/>
  <c r="H49" i="39"/>
  <c r="H52" i="39"/>
  <c r="H53" i="39"/>
  <c r="H55" i="39"/>
  <c r="H56" i="39"/>
  <c r="H15" i="39"/>
  <c r="H16" i="39"/>
  <c r="H17" i="39"/>
  <c r="H18" i="39"/>
  <c r="H19" i="39"/>
  <c r="H20" i="39"/>
  <c r="H21" i="39"/>
  <c r="H22" i="39"/>
  <c r="H23" i="39"/>
  <c r="F54" i="39"/>
  <c r="H54" i="39" l="1"/>
  <c r="F93" i="39"/>
  <c r="H93" i="39" s="1"/>
  <c r="H13" i="37"/>
  <c r="D15" i="37"/>
  <c r="D81" i="38" l="1"/>
  <c r="G39" i="38"/>
  <c r="D14" i="38"/>
  <c r="E65" i="30" l="1"/>
  <c r="E63" i="30"/>
  <c r="C64" i="30" s="1"/>
  <c r="E64" i="30" s="1"/>
  <c r="E59" i="30"/>
  <c r="C60" i="30" s="1"/>
  <c r="E60" i="30" s="1"/>
  <c r="C61" i="30" s="1"/>
  <c r="E61" i="30" s="1"/>
  <c r="E58" i="30"/>
  <c r="E57" i="30"/>
  <c r="E56" i="30"/>
  <c r="E55" i="30"/>
  <c r="C62" i="30" l="1"/>
  <c r="E62" i="30" s="1"/>
  <c r="H28" i="29" l="1"/>
  <c r="H29" i="29"/>
  <c r="H30" i="29"/>
  <c r="H31" i="29"/>
  <c r="H32" i="29"/>
  <c r="H33" i="29"/>
  <c r="H34" i="29"/>
  <c r="H35" i="29"/>
  <c r="H36" i="29"/>
  <c r="H37" i="29"/>
  <c r="H38" i="29"/>
  <c r="H39" i="29"/>
  <c r="H40" i="29"/>
  <c r="H41" i="29"/>
  <c r="H42" i="29"/>
  <c r="H43" i="29"/>
  <c r="H44" i="29"/>
  <c r="H45" i="29"/>
  <c r="H46" i="29"/>
  <c r="H47" i="29"/>
  <c r="H48" i="29"/>
  <c r="H49" i="29"/>
  <c r="H27" i="29"/>
  <c r="H22" i="29"/>
  <c r="F12" i="9" l="1"/>
  <c r="E48" i="30" l="1"/>
  <c r="E49" i="30"/>
  <c r="E50" i="30"/>
  <c r="E51" i="30"/>
  <c r="E52" i="30"/>
  <c r="E53" i="30"/>
  <c r="E47" i="30"/>
  <c r="C44" i="33" l="1"/>
  <c r="F39" i="33" s="1"/>
  <c r="E16" i="30" l="1"/>
  <c r="E17" i="30"/>
  <c r="E18" i="30"/>
  <c r="E19" i="30"/>
  <c r="E20" i="30"/>
  <c r="E15" i="30"/>
  <c r="E10" i="30"/>
  <c r="E11" i="30"/>
  <c r="E12" i="30"/>
  <c r="C24" i="30" s="1"/>
  <c r="J57" i="29" l="1"/>
  <c r="J56" i="29"/>
  <c r="J55" i="29"/>
  <c r="I54" i="29"/>
  <c r="I53" i="29"/>
  <c r="J55" i="27"/>
  <c r="I53" i="27"/>
  <c r="I54" i="27"/>
  <c r="I55" i="27"/>
  <c r="I56" i="27"/>
  <c r="J52" i="27"/>
  <c r="I52" i="27"/>
  <c r="I51" i="27"/>
  <c r="I50" i="27"/>
  <c r="E14" i="29"/>
  <c r="E14" i="27"/>
  <c r="I58" i="29" l="1"/>
  <c r="J58" i="29"/>
  <c r="J53" i="27"/>
  <c r="J51" i="27"/>
  <c r="J54" i="27"/>
  <c r="I55" i="29"/>
  <c r="I57" i="29"/>
  <c r="I56" i="29"/>
  <c r="Q37" i="9" l="1"/>
  <c r="I94" i="19"/>
  <c r="H93" i="19"/>
  <c r="G93" i="19"/>
  <c r="D93" i="19"/>
  <c r="B93" i="19"/>
  <c r="Q36" i="9"/>
  <c r="J66" i="17"/>
  <c r="J67" i="17"/>
  <c r="K68" i="17"/>
  <c r="K66" i="17"/>
  <c r="H67" i="17"/>
  <c r="H66" i="17"/>
  <c r="E68" i="17"/>
  <c r="E67" i="17"/>
  <c r="E66" i="17"/>
  <c r="D66" i="17"/>
  <c r="B66" i="17"/>
  <c r="H45" i="27"/>
  <c r="E5" i="29"/>
  <c r="J18" i="29" s="1"/>
  <c r="C4" i="20"/>
  <c r="E5" i="27"/>
  <c r="B5" i="18"/>
  <c r="T112" i="18" s="1"/>
  <c r="C5" i="17"/>
  <c r="L16" i="9" l="1"/>
  <c r="O36" i="9"/>
  <c r="R36" i="9"/>
  <c r="P36" i="9"/>
  <c r="O37" i="9"/>
  <c r="R37" i="9"/>
  <c r="P37" i="9"/>
  <c r="O35" i="9"/>
  <c r="O56" i="9"/>
  <c r="O45" i="9"/>
  <c r="O50" i="9"/>
  <c r="O52" i="9"/>
  <c r="O51" i="9"/>
  <c r="O32" i="9"/>
  <c r="E44" i="9"/>
  <c r="T123" i="18"/>
  <c r="V123" i="18" s="1"/>
  <c r="C25" i="17"/>
  <c r="I6" i="20"/>
  <c r="I5" i="20"/>
  <c r="I4" i="20"/>
  <c r="N199" i="20"/>
  <c r="C15" i="19"/>
  <c r="C37" i="30"/>
  <c r="L18" i="29" l="1"/>
  <c r="N18" i="29"/>
  <c r="C19" i="19"/>
  <c r="C93" i="19"/>
  <c r="C29" i="17"/>
  <c r="C66" i="17"/>
  <c r="C35" i="30" l="1"/>
  <c r="E35" i="30" s="1"/>
  <c r="C36" i="30" s="1"/>
  <c r="E36" i="30" s="1"/>
  <c r="C34" i="30"/>
  <c r="E34" i="30" s="1"/>
  <c r="C33" i="30"/>
  <c r="E33" i="30" s="1"/>
  <c r="C32" i="30"/>
  <c r="E32" i="30" s="1"/>
  <c r="C31" i="30"/>
  <c r="E31" i="30" s="1"/>
  <c r="C25" i="30"/>
  <c r="E25" i="30" s="1"/>
  <c r="C28" i="30" s="1"/>
  <c r="E28" i="30" s="1"/>
  <c r="E24" i="30"/>
  <c r="C23" i="30"/>
  <c r="E23" i="30" s="1"/>
  <c r="E37" i="30"/>
  <c r="C26" i="30" l="1"/>
  <c r="E26" i="30" s="1"/>
  <c r="C27" i="30" s="1"/>
  <c r="E27" i="30" s="1"/>
  <c r="H26" i="29"/>
  <c r="H25" i="29"/>
  <c r="H23" i="29" l="1"/>
  <c r="J23" i="29" s="1"/>
  <c r="N23" i="29" s="1"/>
  <c r="J22" i="29"/>
  <c r="N22" i="29" s="1"/>
  <c r="H21" i="29"/>
  <c r="J21" i="29" s="1"/>
  <c r="N21" i="29" s="1"/>
  <c r="H20" i="29"/>
  <c r="J20" i="29" s="1"/>
  <c r="N20" i="29" s="1"/>
  <c r="H19" i="29"/>
  <c r="J19" i="29" s="1"/>
  <c r="N19" i="29" s="1"/>
  <c r="H17" i="29"/>
  <c r="J17" i="29" s="1"/>
  <c r="N17" i="29" s="1"/>
  <c r="H24" i="29"/>
  <c r="J24" i="29" s="1"/>
  <c r="N24" i="29" s="1"/>
  <c r="H16" i="29"/>
  <c r="J16" i="29" s="1"/>
  <c r="N16" i="29" s="1"/>
  <c r="H15" i="29" l="1"/>
  <c r="H14" i="29"/>
  <c r="H13" i="29"/>
  <c r="H12" i="29"/>
  <c r="H44" i="27"/>
  <c r="H37" i="27"/>
  <c r="H43" i="27"/>
  <c r="H40" i="27"/>
  <c r="H39" i="27"/>
  <c r="H38" i="27"/>
  <c r="H36" i="27"/>
  <c r="H35" i="27"/>
  <c r="H33" i="27"/>
  <c r="H32" i="27"/>
  <c r="H29" i="27"/>
  <c r="H28" i="27"/>
  <c r="H27" i="27"/>
  <c r="H25" i="27"/>
  <c r="H24" i="27"/>
  <c r="H22" i="27"/>
  <c r="J13" i="29" l="1"/>
  <c r="L16" i="29"/>
  <c r="L17" i="29"/>
  <c r="L23" i="29"/>
  <c r="L24" i="29"/>
  <c r="L19" i="29"/>
  <c r="L21" i="29"/>
  <c r="L22" i="29"/>
  <c r="L20" i="29"/>
  <c r="L13" i="29" l="1"/>
  <c r="N13" i="29"/>
  <c r="H17" i="27" l="1"/>
  <c r="J17" i="27" s="1"/>
  <c r="N17" i="27" s="1"/>
  <c r="H18" i="27"/>
  <c r="J18" i="27" s="1"/>
  <c r="N18" i="27" s="1"/>
  <c r="H19" i="27"/>
  <c r="J19" i="27" s="1"/>
  <c r="N19" i="27" s="1"/>
  <c r="H20" i="27"/>
  <c r="H21" i="27"/>
  <c r="H23" i="27"/>
  <c r="H26" i="27"/>
  <c r="H30" i="27"/>
  <c r="H31" i="27"/>
  <c r="H41" i="27"/>
  <c r="H42" i="27"/>
  <c r="L19" i="27" l="1"/>
  <c r="L17" i="27"/>
  <c r="L18" i="27"/>
  <c r="H16" i="27" l="1"/>
  <c r="J16" i="27" s="1"/>
  <c r="N16" i="27" s="1"/>
  <c r="L16" i="27" l="1"/>
  <c r="H12" i="27"/>
  <c r="H13" i="27"/>
  <c r="J13" i="27" s="1"/>
  <c r="N13" i="27" s="1"/>
  <c r="H14" i="27"/>
  <c r="H15" i="27"/>
  <c r="L13" i="27" l="1"/>
  <c r="G12" i="9"/>
  <c r="C11" i="9"/>
  <c r="E12" i="9"/>
  <c r="D12" i="9"/>
  <c r="C10" i="9" l="1"/>
  <c r="C9" i="9" s="1"/>
  <c r="D33" i="16"/>
  <c r="D8" i="16"/>
  <c r="D43" i="16" l="1"/>
  <c r="C6" i="40" l="1"/>
  <c r="E6" i="42"/>
  <c r="C6" i="19"/>
  <c r="C6" i="17"/>
  <c r="E6" i="29"/>
  <c r="E6" i="27"/>
  <c r="E28" i="16"/>
  <c r="L43" i="40" s="1"/>
  <c r="E9" i="16"/>
  <c r="L80" i="40" s="1"/>
  <c r="E37" i="16"/>
  <c r="L33" i="17" s="1"/>
  <c r="E13" i="16"/>
  <c r="T116" i="41" s="1"/>
  <c r="E31" i="16"/>
  <c r="E30" i="16"/>
  <c r="E15" i="16"/>
  <c r="L87" i="19" s="1"/>
  <c r="E16" i="16"/>
  <c r="C18" i="9" s="1"/>
  <c r="C6" i="9" s="1"/>
  <c r="E35" i="16"/>
  <c r="L34" i="40" s="1"/>
  <c r="E23" i="16"/>
  <c r="E38" i="16"/>
  <c r="L34" i="17" s="1"/>
  <c r="O73" i="9" s="1"/>
  <c r="E21" i="16"/>
  <c r="E39" i="16"/>
  <c r="L38" i="40" s="1"/>
  <c r="E10" i="16"/>
  <c r="E18" i="9" s="1"/>
  <c r="E18" i="16"/>
  <c r="E25" i="16"/>
  <c r="E40" i="16"/>
  <c r="L39" i="40" s="1"/>
  <c r="S75" i="9" s="1"/>
  <c r="E32" i="16"/>
  <c r="E19" i="16"/>
  <c r="E26" i="16"/>
  <c r="E41" i="16"/>
  <c r="E17" i="16"/>
  <c r="E12" i="16"/>
  <c r="T115" i="41" s="1"/>
  <c r="E137" i="38" s="1"/>
  <c r="E20" i="16"/>
  <c r="B10" i="41" s="1"/>
  <c r="E110" i="38" s="1"/>
  <c r="E27" i="16"/>
  <c r="L42" i="40" s="1"/>
  <c r="E11" i="16"/>
  <c r="D18" i="9" s="1"/>
  <c r="E34" i="16"/>
  <c r="L33" i="40" s="1"/>
  <c r="E42" i="16"/>
  <c r="E14" i="16"/>
  <c r="E22" i="16"/>
  <c r="E29" i="16"/>
  <c r="L69" i="19" s="1"/>
  <c r="E36" i="16"/>
  <c r="L35" i="40" s="1"/>
  <c r="T71" i="9" s="1"/>
  <c r="L36" i="40"/>
  <c r="L37" i="40"/>
  <c r="L42" i="19"/>
  <c r="C52" i="19" s="1"/>
  <c r="B8" i="18" l="1"/>
  <c r="E6" i="38" s="1"/>
  <c r="L25" i="19"/>
  <c r="R74" i="9" s="1"/>
  <c r="L23" i="19"/>
  <c r="Q72" i="9" s="1"/>
  <c r="L35" i="17"/>
  <c r="P74" i="9" s="1"/>
  <c r="L24" i="19"/>
  <c r="R73" i="9" s="1"/>
  <c r="F18" i="9"/>
  <c r="D16" i="9"/>
  <c r="C8" i="20"/>
  <c r="E69" i="38" s="1"/>
  <c r="E82" i="38" s="1"/>
  <c r="D17" i="9"/>
  <c r="L26" i="19"/>
  <c r="Q75" i="9" s="1"/>
  <c r="C50" i="27"/>
  <c r="J50" i="27" s="1"/>
  <c r="C49" i="27"/>
  <c r="J49" i="27" s="1"/>
  <c r="J57" i="27" s="1"/>
  <c r="E8" i="27"/>
  <c r="E7" i="27"/>
  <c r="C53" i="29"/>
  <c r="J53" i="29" s="1"/>
  <c r="E8" i="29"/>
  <c r="E7" i="29"/>
  <c r="C54" i="29"/>
  <c r="J54" i="29" s="1"/>
  <c r="M11" i="39"/>
  <c r="I11" i="39" s="1"/>
  <c r="L26" i="17"/>
  <c r="M51" i="39"/>
  <c r="L16" i="19"/>
  <c r="C54" i="42"/>
  <c r="J54" i="42" s="1"/>
  <c r="C55" i="42"/>
  <c r="J55" i="42" s="1"/>
  <c r="E7" i="42"/>
  <c r="E8" i="42"/>
  <c r="L29" i="40"/>
  <c r="L113" i="40" s="1"/>
  <c r="H41" i="9" s="1"/>
  <c r="M92" i="39"/>
  <c r="I92" i="39" s="1"/>
  <c r="M98" i="39"/>
  <c r="B9" i="41"/>
  <c r="L38" i="41" s="1"/>
  <c r="B9" i="18"/>
  <c r="E7" i="38" s="1"/>
  <c r="L40" i="40"/>
  <c r="T69" i="9" s="1"/>
  <c r="L66" i="19"/>
  <c r="C10" i="20"/>
  <c r="E71" i="38" s="1"/>
  <c r="F17" i="9"/>
  <c r="T116" i="18"/>
  <c r="T204" i="18" s="1"/>
  <c r="V204" i="18" s="1"/>
  <c r="F16" i="9"/>
  <c r="C12" i="20"/>
  <c r="G87" i="38" s="1"/>
  <c r="C16" i="9"/>
  <c r="C4" i="9" s="1"/>
  <c r="L41" i="40"/>
  <c r="T70" i="9" s="1"/>
  <c r="K18" i="9"/>
  <c r="K17" i="9"/>
  <c r="K16" i="9"/>
  <c r="J18" i="9"/>
  <c r="J6" i="9" s="1"/>
  <c r="J16" i="9"/>
  <c r="T115" i="18"/>
  <c r="E35" i="38" s="1"/>
  <c r="G35" i="38" s="1"/>
  <c r="G16" i="9"/>
  <c r="C9" i="20"/>
  <c r="E70" i="38" s="1"/>
  <c r="G70" i="38" s="1"/>
  <c r="C11" i="20"/>
  <c r="E72" i="38" s="1"/>
  <c r="T74" i="9"/>
  <c r="L31" i="17"/>
  <c r="L68" i="17" s="1"/>
  <c r="L21" i="19"/>
  <c r="R70" i="9" s="1"/>
  <c r="L68" i="19"/>
  <c r="L97" i="19" s="1"/>
  <c r="F43" i="9" s="1"/>
  <c r="B7" i="18"/>
  <c r="E5" i="38" s="1"/>
  <c r="G5" i="38" s="1"/>
  <c r="C7" i="20"/>
  <c r="E68" i="38" s="1"/>
  <c r="G68" i="38" s="1"/>
  <c r="E16" i="9"/>
  <c r="B7" i="41"/>
  <c r="E107" i="38" s="1"/>
  <c r="S72" i="9"/>
  <c r="E8" i="16"/>
  <c r="T117" i="18"/>
  <c r="E37" i="38" s="1"/>
  <c r="E49" i="38" s="1"/>
  <c r="L36" i="17"/>
  <c r="O75" i="9" s="1"/>
  <c r="L60" i="19"/>
  <c r="L81" i="40"/>
  <c r="H93" i="9" s="1"/>
  <c r="G18" i="9"/>
  <c r="C13" i="20"/>
  <c r="E73" i="38" s="1"/>
  <c r="F83" i="9"/>
  <c r="C6" i="20"/>
  <c r="E67" i="38" s="1"/>
  <c r="H16" i="9"/>
  <c r="L86" i="19"/>
  <c r="F86" i="9" s="1"/>
  <c r="C17" i="9"/>
  <c r="L80" i="19"/>
  <c r="T114" i="18"/>
  <c r="E34" i="38" s="1"/>
  <c r="E46" i="38" s="1"/>
  <c r="E24" i="16"/>
  <c r="B10" i="18"/>
  <c r="E8" i="38" s="1"/>
  <c r="L67" i="19"/>
  <c r="T114" i="41"/>
  <c r="E136" i="38" s="1"/>
  <c r="E17" i="9"/>
  <c r="G17" i="9"/>
  <c r="T117" i="41"/>
  <c r="E139" i="38" s="1"/>
  <c r="G139" i="38" s="1"/>
  <c r="L152" i="41" s="1"/>
  <c r="L32" i="17"/>
  <c r="L22" i="19"/>
  <c r="I16" i="9"/>
  <c r="H18" i="9"/>
  <c r="L59" i="19"/>
  <c r="L68" i="40"/>
  <c r="H91" i="9" s="1"/>
  <c r="I17" i="9"/>
  <c r="E33" i="16"/>
  <c r="L51" i="40"/>
  <c r="C54" i="40" s="1"/>
  <c r="L56" i="40" s="1"/>
  <c r="L30" i="17"/>
  <c r="P69" i="9" s="1"/>
  <c r="L20" i="19"/>
  <c r="L44" i="19"/>
  <c r="C47" i="19" s="1"/>
  <c r="L49" i="19" s="1"/>
  <c r="H17" i="9"/>
  <c r="J17" i="9"/>
  <c r="I18" i="9"/>
  <c r="L74" i="40"/>
  <c r="B8" i="41"/>
  <c r="E108" i="38" s="1"/>
  <c r="G108" i="38" s="1"/>
  <c r="S73" i="9"/>
  <c r="T73" i="9"/>
  <c r="L118" i="40"/>
  <c r="L117" i="40"/>
  <c r="E149" i="38"/>
  <c r="G137" i="38"/>
  <c r="G110" i="38"/>
  <c r="E119" i="38"/>
  <c r="T203" i="41"/>
  <c r="V203" i="41" s="1"/>
  <c r="T199" i="41"/>
  <c r="V199" i="41" s="1"/>
  <c r="X199" i="41" s="1"/>
  <c r="Z199" i="41" s="1"/>
  <c r="AA199" i="41" s="1"/>
  <c r="E138" i="38"/>
  <c r="L70" i="17"/>
  <c r="D43" i="9" s="1"/>
  <c r="O72" i="9"/>
  <c r="E15" i="38"/>
  <c r="G6" i="38"/>
  <c r="L98" i="19"/>
  <c r="F46" i="9" s="1"/>
  <c r="Q73" i="9"/>
  <c r="L54" i="19"/>
  <c r="L100" i="19" s="1"/>
  <c r="C172" i="39"/>
  <c r="C173" i="39" s="1"/>
  <c r="C174" i="39" s="1"/>
  <c r="C175" i="39" s="1"/>
  <c r="C177" i="39" s="1"/>
  <c r="O57" i="39" s="1"/>
  <c r="L71" i="17"/>
  <c r="D46" i="9" s="1"/>
  <c r="P73" i="9"/>
  <c r="E36" i="38" l="1"/>
  <c r="G36" i="38" s="1"/>
  <c r="T190" i="18" s="1"/>
  <c r="G69" i="38"/>
  <c r="T200" i="18"/>
  <c r="V200" i="18" s="1"/>
  <c r="X200" i="18" s="1"/>
  <c r="Z200" i="18" s="1"/>
  <c r="AA200" i="18" s="1"/>
  <c r="F30" i="18"/>
  <c r="F71" i="17" s="1"/>
  <c r="C39" i="9" s="1"/>
  <c r="L38" i="18"/>
  <c r="D101" i="9" s="1"/>
  <c r="P70" i="9"/>
  <c r="E47" i="38"/>
  <c r="F30" i="41"/>
  <c r="L62" i="41" s="1"/>
  <c r="E109" i="38"/>
  <c r="E112" i="38" s="1"/>
  <c r="L55" i="20"/>
  <c r="F119" i="9" s="1"/>
  <c r="L35" i="20"/>
  <c r="C39" i="20" s="1"/>
  <c r="L42" i="20" s="1"/>
  <c r="F47" i="20"/>
  <c r="F96" i="19" s="1"/>
  <c r="E39" i="9" s="1"/>
  <c r="T187" i="20"/>
  <c r="V187" i="20" s="1"/>
  <c r="X187" i="20" s="1"/>
  <c r="Z187" i="20" s="1"/>
  <c r="AA187" i="20" s="1"/>
  <c r="X191" i="20" s="1"/>
  <c r="J59" i="29"/>
  <c r="L114" i="40"/>
  <c r="H32" i="9" s="1"/>
  <c r="T191" i="20"/>
  <c r="V191" i="20" s="1"/>
  <c r="J15" i="42"/>
  <c r="J14" i="42"/>
  <c r="J12" i="42"/>
  <c r="J12" i="29"/>
  <c r="J14" i="29"/>
  <c r="J15" i="29"/>
  <c r="F73" i="9"/>
  <c r="L93" i="19"/>
  <c r="F41" i="9" s="1"/>
  <c r="J14" i="27"/>
  <c r="J15" i="27"/>
  <c r="J12" i="27"/>
  <c r="E83" i="38"/>
  <c r="E102" i="38" s="1"/>
  <c r="G102" i="38" s="1"/>
  <c r="F82" i="9"/>
  <c r="I98" i="39"/>
  <c r="Q98" i="39" s="1"/>
  <c r="I51" i="39"/>
  <c r="Q51" i="39" s="1"/>
  <c r="J64" i="42"/>
  <c r="C48" i="40"/>
  <c r="L50" i="40" s="1"/>
  <c r="C61" i="40" s="1"/>
  <c r="Q92" i="39"/>
  <c r="O92" i="39"/>
  <c r="I55" i="40" s="1"/>
  <c r="G89" i="9" s="1"/>
  <c r="L92" i="39"/>
  <c r="D73" i="9"/>
  <c r="L66" i="17"/>
  <c r="D41" i="9" s="1"/>
  <c r="Q11" i="39"/>
  <c r="L11" i="39"/>
  <c r="O11" i="39"/>
  <c r="I51" i="17" s="1"/>
  <c r="C76" i="9" s="1"/>
  <c r="R71" i="9"/>
  <c r="R69" i="9"/>
  <c r="C31" i="19"/>
  <c r="G37" i="38"/>
  <c r="L152" i="18" s="1"/>
  <c r="L67" i="17"/>
  <c r="D32" i="9" s="1"/>
  <c r="L72" i="17"/>
  <c r="C29" i="9" s="1"/>
  <c r="L95" i="19"/>
  <c r="F60" i="9" s="1"/>
  <c r="D60" i="9"/>
  <c r="B11" i="18"/>
  <c r="C15" i="18" s="1"/>
  <c r="E81" i="38"/>
  <c r="E100" i="38" s="1"/>
  <c r="G100" i="38" s="1"/>
  <c r="L80" i="20"/>
  <c r="L108" i="19" s="1"/>
  <c r="F33" i="9" s="1"/>
  <c r="C14" i="20"/>
  <c r="C19" i="20" s="1"/>
  <c r="L115" i="40"/>
  <c r="C40" i="17"/>
  <c r="F42" i="17" s="1"/>
  <c r="F67" i="17" s="1"/>
  <c r="E151" i="38"/>
  <c r="G151" i="38" s="1"/>
  <c r="G34" i="38"/>
  <c r="L153" i="18" s="1"/>
  <c r="P71" i="9"/>
  <c r="D74" i="9" s="1"/>
  <c r="E43" i="16"/>
  <c r="M49" i="39"/>
  <c r="I49" i="39" s="1"/>
  <c r="L49" i="39" s="1"/>
  <c r="E117" i="38"/>
  <c r="E131" i="38" s="1"/>
  <c r="G131" i="38" s="1"/>
  <c r="L94" i="19"/>
  <c r="F32" i="9" s="1"/>
  <c r="B11" i="41"/>
  <c r="L93" i="40" s="1"/>
  <c r="H46" i="9"/>
  <c r="H43" i="9"/>
  <c r="F42" i="9"/>
  <c r="F87" i="9"/>
  <c r="H74" i="9"/>
  <c r="E48" i="38"/>
  <c r="G48" i="38" s="1"/>
  <c r="L116" i="40"/>
  <c r="H133" i="9"/>
  <c r="E150" i="38"/>
  <c r="G150" i="38" s="1"/>
  <c r="G138" i="38"/>
  <c r="E116" i="38"/>
  <c r="G107" i="38"/>
  <c r="F118" i="40"/>
  <c r="AB200" i="41"/>
  <c r="L198" i="41" s="1"/>
  <c r="H144" i="9" s="1"/>
  <c r="X203" i="41"/>
  <c r="F190" i="41" s="1"/>
  <c r="AB201" i="18"/>
  <c r="L205" i="18" s="1"/>
  <c r="X204" i="18"/>
  <c r="G119" i="38"/>
  <c r="E126" i="38"/>
  <c r="G126" i="38" s="1"/>
  <c r="E148" i="38"/>
  <c r="G136" i="38"/>
  <c r="L153" i="41" s="1"/>
  <c r="L128" i="40" s="1"/>
  <c r="T194" i="18"/>
  <c r="L192" i="18" s="1"/>
  <c r="E164" i="38"/>
  <c r="G164" i="38" s="1"/>
  <c r="G149" i="38"/>
  <c r="L69" i="17"/>
  <c r="I22" i="9" s="1"/>
  <c r="I4" i="9" s="1"/>
  <c r="G7" i="38"/>
  <c r="E16" i="38"/>
  <c r="G16" i="38" s="1"/>
  <c r="G82" i="38"/>
  <c r="E101" i="38"/>
  <c r="G101" i="38" s="1"/>
  <c r="L81" i="17"/>
  <c r="F121" i="18"/>
  <c r="G46" i="38"/>
  <c r="E84" i="38"/>
  <c r="G84" i="38" s="1"/>
  <c r="G71" i="38"/>
  <c r="T177" i="20" s="1"/>
  <c r="G67" i="38"/>
  <c r="E77" i="38"/>
  <c r="G77" i="38" s="1"/>
  <c r="G78" i="38" s="1"/>
  <c r="E80" i="38"/>
  <c r="G80" i="38" s="1"/>
  <c r="E76" i="38"/>
  <c r="E85" i="38"/>
  <c r="G85" i="38" s="1"/>
  <c r="G72" i="38"/>
  <c r="I53" i="19"/>
  <c r="E87" i="9" s="1"/>
  <c r="G15" i="38"/>
  <c r="E29" i="38"/>
  <c r="G29" i="38" s="1"/>
  <c r="J23" i="9"/>
  <c r="E11" i="38"/>
  <c r="G11" i="38" s="1"/>
  <c r="G12" i="38" s="1"/>
  <c r="E14" i="38"/>
  <c r="E10" i="38"/>
  <c r="G47" i="38"/>
  <c r="E62" i="38"/>
  <c r="G62" i="38" s="1"/>
  <c r="G73" i="38"/>
  <c r="E86" i="38"/>
  <c r="L62" i="18"/>
  <c r="D103" i="9" s="1"/>
  <c r="G8" i="38"/>
  <c r="E17" i="38"/>
  <c r="E24" i="38" s="1"/>
  <c r="G24" i="38" s="1"/>
  <c r="G49" i="38"/>
  <c r="E118" i="38" l="1"/>
  <c r="G118" i="38" s="1"/>
  <c r="G109" i="38"/>
  <c r="E113" i="38"/>
  <c r="G113" i="38" s="1"/>
  <c r="G114" i="38" s="1"/>
  <c r="F16" i="41" s="1"/>
  <c r="F52" i="41" s="1"/>
  <c r="F74" i="9"/>
  <c r="L96" i="19"/>
  <c r="I23" i="9" s="1"/>
  <c r="I5" i="9" s="1"/>
  <c r="AB188" i="20"/>
  <c r="L193" i="20" s="1"/>
  <c r="L79" i="20"/>
  <c r="F185" i="20"/>
  <c r="F40" i="20"/>
  <c r="M91" i="39"/>
  <c r="I91" i="39" s="1"/>
  <c r="L91" i="39" s="1"/>
  <c r="O91" i="39" s="1"/>
  <c r="I49" i="40" s="1"/>
  <c r="G88" i="9" s="1"/>
  <c r="O49" i="39"/>
  <c r="I34" i="19" s="1"/>
  <c r="N14" i="29"/>
  <c r="L14" i="29"/>
  <c r="N12" i="29"/>
  <c r="L12" i="29"/>
  <c r="N12" i="27"/>
  <c r="L12" i="27"/>
  <c r="N12" i="42"/>
  <c r="L12" i="42"/>
  <c r="G81" i="38"/>
  <c r="L136" i="20" s="1"/>
  <c r="N15" i="27"/>
  <c r="L15" i="27"/>
  <c r="L15" i="42"/>
  <c r="N15" i="42"/>
  <c r="G83" i="38"/>
  <c r="N14" i="27"/>
  <c r="L14" i="27"/>
  <c r="L51" i="39"/>
  <c r="O51" i="39"/>
  <c r="I48" i="19" s="1"/>
  <c r="E81" i="9" s="1"/>
  <c r="N14" i="42"/>
  <c r="L14" i="42"/>
  <c r="L98" i="39"/>
  <c r="O98" i="39"/>
  <c r="I98" i="40" s="1"/>
  <c r="G95" i="9" s="1"/>
  <c r="N15" i="29"/>
  <c r="L15" i="29"/>
  <c r="C66" i="40"/>
  <c r="L46" i="17"/>
  <c r="C54" i="17" s="1"/>
  <c r="L56" i="17" s="1"/>
  <c r="D111" i="9"/>
  <c r="F121" i="9"/>
  <c r="H60" i="9"/>
  <c r="J5" i="9"/>
  <c r="F41" i="17"/>
  <c r="C15" i="41"/>
  <c r="G5" i="19"/>
  <c r="G6" i="19" s="1"/>
  <c r="L35" i="19"/>
  <c r="C38" i="19" s="1"/>
  <c r="L43" i="19" s="1"/>
  <c r="C57" i="19" s="1"/>
  <c r="M52" i="39" s="1"/>
  <c r="I52" i="39" s="1"/>
  <c r="L52" i="39" s="1"/>
  <c r="F32" i="19"/>
  <c r="E61" i="9" s="1"/>
  <c r="G117" i="38"/>
  <c r="L98" i="41" s="1"/>
  <c r="H138" i="9" s="1"/>
  <c r="H23" i="9"/>
  <c r="H5" i="9" s="1"/>
  <c r="F197" i="18"/>
  <c r="C115" i="9" s="1"/>
  <c r="L131" i="40"/>
  <c r="H50" i="9"/>
  <c r="H24" i="9"/>
  <c r="H6" i="9" s="1"/>
  <c r="G39" i="9"/>
  <c r="L120" i="40"/>
  <c r="K24" i="9" s="1"/>
  <c r="K6" i="9" s="1"/>
  <c r="H135" i="9"/>
  <c r="I24" i="9"/>
  <c r="I6" i="9" s="1"/>
  <c r="F121" i="41"/>
  <c r="L185" i="41"/>
  <c r="H143" i="9" s="1"/>
  <c r="F124" i="40"/>
  <c r="G144" i="9"/>
  <c r="G148" i="38"/>
  <c r="E130" i="38"/>
  <c r="G130" i="38" s="1"/>
  <c r="G116" i="38"/>
  <c r="E121" i="38"/>
  <c r="T181" i="20"/>
  <c r="L180" i="20" s="1"/>
  <c r="L179" i="20" s="1"/>
  <c r="L69" i="40"/>
  <c r="C72" i="40" s="1"/>
  <c r="M94" i="39"/>
  <c r="I94" i="39" s="1"/>
  <c r="L94" i="39" s="1"/>
  <c r="M93" i="39"/>
  <c r="L63" i="40"/>
  <c r="G5" i="40"/>
  <c r="G6" i="40" s="1"/>
  <c r="M99" i="39"/>
  <c r="I99" i="39" s="1"/>
  <c r="C101" i="40"/>
  <c r="L103" i="40" s="1"/>
  <c r="F50" i="9"/>
  <c r="D33" i="9"/>
  <c r="H22" i="9"/>
  <c r="H4" i="9" s="1"/>
  <c r="F16" i="18"/>
  <c r="F52" i="18" s="1"/>
  <c r="D50" i="9"/>
  <c r="L172" i="20"/>
  <c r="F127" i="9" s="1"/>
  <c r="F20" i="20"/>
  <c r="L185" i="18"/>
  <c r="D113" i="9" s="1"/>
  <c r="E89" i="38"/>
  <c r="L73" i="17"/>
  <c r="K22" i="9" s="1"/>
  <c r="L43" i="20"/>
  <c r="M61" i="39" s="1"/>
  <c r="F118" i="9"/>
  <c r="L107" i="19"/>
  <c r="J28" i="29"/>
  <c r="L142" i="20"/>
  <c r="F125" i="9" s="1"/>
  <c r="G86" i="38"/>
  <c r="E94" i="38"/>
  <c r="G94" i="38" s="1"/>
  <c r="L191" i="18"/>
  <c r="C196" i="18" s="1"/>
  <c r="E19" i="38"/>
  <c r="G14" i="38"/>
  <c r="E28" i="38"/>
  <c r="G28" i="38" s="1"/>
  <c r="G17" i="38"/>
  <c r="T118" i="18"/>
  <c r="C57" i="9"/>
  <c r="L101" i="19"/>
  <c r="L98" i="18"/>
  <c r="D106" i="9" s="1"/>
  <c r="M12" i="9"/>
  <c r="M22" i="9" s="1"/>
  <c r="Q91" i="39" l="1"/>
  <c r="E79" i="9"/>
  <c r="M12" i="39"/>
  <c r="I12" i="39" s="1"/>
  <c r="G7" i="17"/>
  <c r="G8" i="17" s="1"/>
  <c r="I45" i="17" s="1"/>
  <c r="I66" i="17" s="1"/>
  <c r="T119" i="18"/>
  <c r="E38" i="38" s="1"/>
  <c r="M50" i="39"/>
  <c r="I50" i="39" s="1"/>
  <c r="L50" i="39" s="1"/>
  <c r="O50" i="39" s="1"/>
  <c r="I41" i="19" s="1"/>
  <c r="F66" i="17"/>
  <c r="C47" i="9" s="1"/>
  <c r="F33" i="19"/>
  <c r="F93" i="19" s="1"/>
  <c r="F40" i="9"/>
  <c r="K23" i="9"/>
  <c r="K5" i="9" s="1"/>
  <c r="D40" i="9"/>
  <c r="K4" i="9"/>
  <c r="L61" i="19"/>
  <c r="C64" i="19" s="1"/>
  <c r="M53" i="39" s="1"/>
  <c r="I53" i="39" s="1"/>
  <c r="L53" i="39" s="1"/>
  <c r="O53" i="39" s="1"/>
  <c r="H51" i="9"/>
  <c r="F24" i="9"/>
  <c r="F6" i="9" s="1"/>
  <c r="H40" i="9"/>
  <c r="G53" i="9"/>
  <c r="L130" i="40"/>
  <c r="F69" i="20"/>
  <c r="F98" i="19" s="1"/>
  <c r="E55" i="9" s="1"/>
  <c r="J47" i="42"/>
  <c r="N47" i="42" s="1"/>
  <c r="I93" i="39"/>
  <c r="L93" i="39" s="1"/>
  <c r="O93" i="39" s="1"/>
  <c r="I62" i="40" s="1"/>
  <c r="G90" i="9" s="1"/>
  <c r="L124" i="40"/>
  <c r="J37" i="42"/>
  <c r="L110" i="19"/>
  <c r="F52" i="9" s="1"/>
  <c r="F22" i="38"/>
  <c r="J45" i="29"/>
  <c r="N45" i="29" s="1"/>
  <c r="L92" i="41"/>
  <c r="H137" i="9" s="1"/>
  <c r="F23" i="41"/>
  <c r="F124" i="38"/>
  <c r="G121" i="38"/>
  <c r="L18" i="41" s="1"/>
  <c r="L75" i="40"/>
  <c r="C78" i="40" s="1"/>
  <c r="M95" i="39"/>
  <c r="I95" i="39" s="1"/>
  <c r="O99" i="39"/>
  <c r="I102" i="40" s="1"/>
  <c r="G96" i="9" s="1"/>
  <c r="L99" i="39"/>
  <c r="F44" i="17"/>
  <c r="C75" i="9" s="1"/>
  <c r="G89" i="38"/>
  <c r="C89" i="38" s="1"/>
  <c r="F27" i="20"/>
  <c r="C184" i="20"/>
  <c r="L187" i="20" s="1"/>
  <c r="J46" i="29"/>
  <c r="N46" i="29" s="1"/>
  <c r="E40" i="38"/>
  <c r="G40" i="38" s="1"/>
  <c r="G51" i="38"/>
  <c r="L28" i="29"/>
  <c r="N28" i="29"/>
  <c r="L199" i="18"/>
  <c r="C23" i="9"/>
  <c r="F45" i="9"/>
  <c r="D115" i="9"/>
  <c r="L84" i="17"/>
  <c r="L106" i="19"/>
  <c r="J41" i="29"/>
  <c r="I61" i="39"/>
  <c r="L61" i="39" s="1"/>
  <c r="O61" i="39" s="1"/>
  <c r="L83" i="17"/>
  <c r="J41" i="27"/>
  <c r="N41" i="27" s="1"/>
  <c r="F77" i="17"/>
  <c r="C53" i="9" s="1"/>
  <c r="L77" i="17"/>
  <c r="D22" i="9" s="1"/>
  <c r="J31" i="27"/>
  <c r="L12" i="39"/>
  <c r="O12" i="39"/>
  <c r="I55" i="17" s="1"/>
  <c r="C77" i="9" s="1"/>
  <c r="L48" i="17"/>
  <c r="F23" i="18"/>
  <c r="G19" i="38"/>
  <c r="L92" i="18"/>
  <c r="F103" i="19"/>
  <c r="E53" i="9" s="1"/>
  <c r="F124" i="9"/>
  <c r="L105" i="19"/>
  <c r="J40" i="29"/>
  <c r="L111" i="19"/>
  <c r="F129" i="9"/>
  <c r="E80" i="9"/>
  <c r="T120" i="18" l="1"/>
  <c r="L70" i="19"/>
  <c r="C73" i="19" s="1"/>
  <c r="L75" i="19" s="1"/>
  <c r="C78" i="19" s="1"/>
  <c r="L81" i="19" s="1"/>
  <c r="C84" i="19" s="1"/>
  <c r="L88" i="19" s="1"/>
  <c r="G24" i="9"/>
  <c r="G6" i="9" s="1"/>
  <c r="H35" i="9"/>
  <c r="F70" i="17"/>
  <c r="F117" i="40"/>
  <c r="F95" i="19"/>
  <c r="L82" i="40"/>
  <c r="H52" i="9"/>
  <c r="L45" i="29"/>
  <c r="L47" i="42"/>
  <c r="G23" i="9"/>
  <c r="G5" i="9" s="1"/>
  <c r="L76" i="17"/>
  <c r="D105" i="9"/>
  <c r="L95" i="39"/>
  <c r="O95" i="39" s="1"/>
  <c r="I73" i="40" s="1"/>
  <c r="G92" i="9" s="1"/>
  <c r="D24" i="9"/>
  <c r="D89" i="38"/>
  <c r="L123" i="40"/>
  <c r="J36" i="42"/>
  <c r="L37" i="42"/>
  <c r="N37" i="42"/>
  <c r="D121" i="38"/>
  <c r="C121" i="38"/>
  <c r="M96" i="39"/>
  <c r="I96" i="39" s="1"/>
  <c r="C143" i="39"/>
  <c r="C22" i="41"/>
  <c r="L25" i="41" s="1"/>
  <c r="L22" i="20"/>
  <c r="C142" i="39" s="1"/>
  <c r="Q61" i="39"/>
  <c r="D19" i="38"/>
  <c r="L130" i="18"/>
  <c r="D109" i="9" s="1"/>
  <c r="I41" i="20"/>
  <c r="I65" i="19"/>
  <c r="E83" i="9" s="1"/>
  <c r="F149" i="9"/>
  <c r="N23" i="20"/>
  <c r="L46" i="29"/>
  <c r="F23" i="9"/>
  <c r="F5" i="9" s="1"/>
  <c r="F51" i="9"/>
  <c r="F43" i="17"/>
  <c r="C44" i="9"/>
  <c r="F35" i="9"/>
  <c r="D23" i="9"/>
  <c r="D5" i="9" s="1"/>
  <c r="D52" i="9"/>
  <c r="G22" i="9"/>
  <c r="G4" i="9" s="1"/>
  <c r="J30" i="27"/>
  <c r="D51" i="9"/>
  <c r="F22" i="9"/>
  <c r="E50" i="38"/>
  <c r="G38" i="38"/>
  <c r="E42" i="38"/>
  <c r="E43" i="38"/>
  <c r="G43" i="38" s="1"/>
  <c r="G44" i="38" s="1"/>
  <c r="D35" i="9"/>
  <c r="L47" i="17"/>
  <c r="L49" i="17" s="1"/>
  <c r="C113" i="18"/>
  <c r="N31" i="27"/>
  <c r="L31" i="27"/>
  <c r="N40" i="29"/>
  <c r="L40" i="29"/>
  <c r="C19" i="38"/>
  <c r="L18" i="18"/>
  <c r="F56" i="9"/>
  <c r="E23" i="9"/>
  <c r="E5" i="9" s="1"/>
  <c r="L188" i="20"/>
  <c r="C191" i="20"/>
  <c r="J47" i="29"/>
  <c r="J48" i="29"/>
  <c r="N48" i="29" s="1"/>
  <c r="C5" i="9"/>
  <c r="N41" i="29"/>
  <c r="L41" i="29"/>
  <c r="C203" i="18"/>
  <c r="L207" i="18" s="1"/>
  <c r="L78" i="17" s="1"/>
  <c r="L200" i="18"/>
  <c r="J44" i="27" s="1"/>
  <c r="E82" i="9"/>
  <c r="C147" i="9" l="1"/>
  <c r="C31" i="9"/>
  <c r="M55" i="39"/>
  <c r="I55" i="39" s="1"/>
  <c r="L55" i="39" s="1"/>
  <c r="O55" i="39" s="1"/>
  <c r="I79" i="19" s="1"/>
  <c r="M54" i="39"/>
  <c r="I54" i="39" s="1"/>
  <c r="L54" i="39" s="1"/>
  <c r="O54" i="39" s="1"/>
  <c r="I74" i="19" s="1"/>
  <c r="E84" i="9" s="1"/>
  <c r="L23" i="9"/>
  <c r="L5" i="9" s="1"/>
  <c r="D6" i="9"/>
  <c r="L80" i="17"/>
  <c r="D57" i="9" s="1"/>
  <c r="H56" i="9"/>
  <c r="L84" i="40"/>
  <c r="C87" i="40"/>
  <c r="L119" i="40"/>
  <c r="L96" i="39"/>
  <c r="O96" i="39" s="1"/>
  <c r="I79" i="40" s="1"/>
  <c r="G93" i="9" s="1"/>
  <c r="N19" i="41"/>
  <c r="L19" i="41" s="1"/>
  <c r="C26" i="20"/>
  <c r="L29" i="20" s="1"/>
  <c r="C33" i="20" s="1"/>
  <c r="L36" i="20" s="1"/>
  <c r="C46" i="20" s="1"/>
  <c r="L49" i="20" s="1"/>
  <c r="E24" i="9"/>
  <c r="L36" i="42"/>
  <c r="N36" i="42"/>
  <c r="L195" i="20"/>
  <c r="L114" i="19" s="1"/>
  <c r="E31" i="9" s="1"/>
  <c r="L23" i="20"/>
  <c r="M58" i="39" s="1"/>
  <c r="F114" i="18"/>
  <c r="F144" i="18" s="1"/>
  <c r="F73" i="17" s="1"/>
  <c r="N19" i="18"/>
  <c r="L19" i="18" s="1"/>
  <c r="J20" i="27" s="1"/>
  <c r="N26" i="41"/>
  <c r="N33" i="41" s="1"/>
  <c r="N43" i="41" s="1"/>
  <c r="L48" i="29"/>
  <c r="C22" i="18"/>
  <c r="C140" i="39"/>
  <c r="G50" i="38"/>
  <c r="E53" i="38"/>
  <c r="E59" i="38"/>
  <c r="G59" i="38" s="1"/>
  <c r="N30" i="27"/>
  <c r="L30" i="27"/>
  <c r="C59" i="17"/>
  <c r="C50" i="17"/>
  <c r="L52" i="17" s="1"/>
  <c r="D149" i="9"/>
  <c r="F64" i="9"/>
  <c r="D56" i="9"/>
  <c r="E22" i="9"/>
  <c r="N47" i="29"/>
  <c r="L47" i="29"/>
  <c r="D4" i="9"/>
  <c r="M38" i="39"/>
  <c r="I38" i="39" s="1"/>
  <c r="Q38" i="39" s="1"/>
  <c r="M37" i="39"/>
  <c r="J43" i="27"/>
  <c r="N43" i="27" s="1"/>
  <c r="F68" i="17"/>
  <c r="C58" i="9" s="1"/>
  <c r="C210" i="18"/>
  <c r="M81" i="39"/>
  <c r="M80" i="39"/>
  <c r="M56" i="39"/>
  <c r="I56" i="39" s="1"/>
  <c r="L56" i="39" s="1"/>
  <c r="O56" i="39" s="1"/>
  <c r="F4" i="9"/>
  <c r="L41" i="27"/>
  <c r="E4" i="9" l="1"/>
  <c r="L22" i="9"/>
  <c r="L4" i="9" s="1"/>
  <c r="L24" i="9"/>
  <c r="L6" i="9" s="1"/>
  <c r="Q9" i="9"/>
  <c r="G29" i="9"/>
  <c r="F89" i="40"/>
  <c r="F88" i="40"/>
  <c r="N30" i="20"/>
  <c r="N50" i="20" s="1"/>
  <c r="N60" i="20" s="1"/>
  <c r="C198" i="20"/>
  <c r="C199" i="20" s="1"/>
  <c r="C200" i="20" s="1"/>
  <c r="C201" i="20" s="1"/>
  <c r="J25" i="29"/>
  <c r="N25" i="29" s="1"/>
  <c r="E6" i="9"/>
  <c r="M101" i="39"/>
  <c r="I101" i="39" s="1"/>
  <c r="L101" i="39" s="1"/>
  <c r="O101" i="39" s="1"/>
  <c r="I17" i="41" s="1"/>
  <c r="G130" i="9" s="1"/>
  <c r="J16" i="42"/>
  <c r="J26" i="42"/>
  <c r="N26" i="42" s="1"/>
  <c r="I37" i="39"/>
  <c r="Q37" i="39" s="1"/>
  <c r="C55" i="9"/>
  <c r="C29" i="41"/>
  <c r="L32" i="41" s="1"/>
  <c r="L26" i="41"/>
  <c r="I85" i="19"/>
  <c r="M13" i="39"/>
  <c r="I13" i="39" s="1"/>
  <c r="L61" i="17"/>
  <c r="M14" i="39"/>
  <c r="I81" i="39"/>
  <c r="L81" i="39" s="1"/>
  <c r="O81" i="39" s="1"/>
  <c r="L25" i="18"/>
  <c r="N26" i="18" s="1"/>
  <c r="N33" i="18" s="1"/>
  <c r="N43" i="18" s="1"/>
  <c r="L216" i="18"/>
  <c r="L86" i="17" s="1"/>
  <c r="C49" i="9" s="1"/>
  <c r="C211" i="18"/>
  <c r="C212" i="18" s="1"/>
  <c r="C213" i="18" s="1"/>
  <c r="L44" i="27"/>
  <c r="N44" i="27"/>
  <c r="G53" i="38"/>
  <c r="L129" i="18"/>
  <c r="L79" i="17" s="1"/>
  <c r="D34" i="9" s="1"/>
  <c r="D64" i="9" s="1"/>
  <c r="C53" i="20"/>
  <c r="L56" i="20" s="1"/>
  <c r="C59" i="20" s="1"/>
  <c r="I80" i="39"/>
  <c r="L80" i="39" s="1"/>
  <c r="O80" i="39" s="1"/>
  <c r="I58" i="39"/>
  <c r="L58" i="39" s="1"/>
  <c r="O58" i="39" s="1"/>
  <c r="E85" i="9"/>
  <c r="C34" i="15" l="1"/>
  <c r="L50" i="20"/>
  <c r="J30" i="29" s="1"/>
  <c r="N30" i="29" s="1"/>
  <c r="P9" i="9"/>
  <c r="L30" i="20"/>
  <c r="J27" i="29" s="1"/>
  <c r="N27" i="29" s="1"/>
  <c r="K7" i="40"/>
  <c r="L95" i="40" s="1"/>
  <c r="F113" i="40"/>
  <c r="T119" i="41"/>
  <c r="E140" i="38" s="1"/>
  <c r="T118" i="41"/>
  <c r="F114" i="40"/>
  <c r="J49" i="29"/>
  <c r="N49" i="29" s="1"/>
  <c r="E147" i="9"/>
  <c r="L25" i="29"/>
  <c r="L204" i="20"/>
  <c r="L113" i="19" s="1"/>
  <c r="E49" i="9" s="1"/>
  <c r="N16" i="42"/>
  <c r="Q101" i="39"/>
  <c r="L99" i="19"/>
  <c r="E29" i="9" s="1"/>
  <c r="E86" i="9"/>
  <c r="L16" i="42"/>
  <c r="L26" i="42"/>
  <c r="M102" i="39"/>
  <c r="I102" i="39" s="1"/>
  <c r="L102" i="39" s="1"/>
  <c r="O102" i="39" s="1"/>
  <c r="I24" i="41" s="1"/>
  <c r="G131" i="9" s="1"/>
  <c r="J27" i="42"/>
  <c r="L33" i="41"/>
  <c r="J28" i="42" s="1"/>
  <c r="C36" i="41"/>
  <c r="L39" i="41" s="1"/>
  <c r="J29" i="42" s="1"/>
  <c r="L215" i="18"/>
  <c r="I21" i="20"/>
  <c r="E116" i="9" s="1"/>
  <c r="Q80" i="39"/>
  <c r="I186" i="20"/>
  <c r="I192" i="20"/>
  <c r="Q58" i="39"/>
  <c r="N20" i="27"/>
  <c r="L20" i="27"/>
  <c r="I14" i="39"/>
  <c r="L14" i="39" s="1"/>
  <c r="O14" i="39" s="1"/>
  <c r="C29" i="18"/>
  <c r="L32" i="18" s="1"/>
  <c r="L26" i="18"/>
  <c r="L13" i="39"/>
  <c r="O13" i="39"/>
  <c r="I60" i="17" s="1"/>
  <c r="L116" i="18"/>
  <c r="C53" i="38"/>
  <c r="D53" i="38"/>
  <c r="Q81" i="39"/>
  <c r="C60" i="20"/>
  <c r="L43" i="27"/>
  <c r="M59" i="39" l="1"/>
  <c r="I59" i="39" s="1"/>
  <c r="L59" i="39" s="1"/>
  <c r="O59" i="39" s="1"/>
  <c r="J26" i="29"/>
  <c r="N26" i="29" s="1"/>
  <c r="M60" i="39"/>
  <c r="I60" i="39" s="1"/>
  <c r="L60" i="39" s="1"/>
  <c r="O60" i="39" s="1"/>
  <c r="I34" i="20" s="1"/>
  <c r="E118" i="9" s="1"/>
  <c r="M63" i="39"/>
  <c r="I63" i="39" s="1"/>
  <c r="L63" i="39" s="1"/>
  <c r="O63" i="39" s="1"/>
  <c r="M62" i="39"/>
  <c r="I62" i="39" s="1"/>
  <c r="L62" i="39" s="1"/>
  <c r="O62" i="39" s="1"/>
  <c r="J29" i="29"/>
  <c r="N29" i="29" s="1"/>
  <c r="C32" i="10"/>
  <c r="G57" i="9"/>
  <c r="G47" i="9"/>
  <c r="K8" i="40"/>
  <c r="F90" i="40" s="1"/>
  <c r="F91" i="40" s="1"/>
  <c r="L49" i="29"/>
  <c r="L27" i="29"/>
  <c r="E145" i="38"/>
  <c r="G145" i="38" s="1"/>
  <c r="G146" i="38" s="1"/>
  <c r="F114" i="41" s="1"/>
  <c r="F144" i="41" s="1"/>
  <c r="F120" i="40" s="1"/>
  <c r="E152" i="38"/>
  <c r="G140" i="38"/>
  <c r="E144" i="38"/>
  <c r="G153" i="38"/>
  <c r="T120" i="41"/>
  <c r="E142" i="38"/>
  <c r="G142" i="38" s="1"/>
  <c r="L130" i="41" s="1"/>
  <c r="L203" i="20"/>
  <c r="C161" i="39" s="1"/>
  <c r="O82" i="39" s="1"/>
  <c r="I202" i="20" s="1"/>
  <c r="L29" i="42"/>
  <c r="N29" i="42"/>
  <c r="L28" i="42"/>
  <c r="N28" i="42"/>
  <c r="Q102" i="39"/>
  <c r="L27" i="42"/>
  <c r="N27" i="42"/>
  <c r="M104" i="39"/>
  <c r="M103" i="39"/>
  <c r="J45" i="27"/>
  <c r="L45" i="27" s="1"/>
  <c r="C160" i="39"/>
  <c r="O39" i="39" s="1"/>
  <c r="I214" i="18" s="1"/>
  <c r="C42" i="41"/>
  <c r="I17" i="18"/>
  <c r="C98" i="9" s="1"/>
  <c r="L30" i="29"/>
  <c r="I28" i="20"/>
  <c r="E117" i="9" s="1"/>
  <c r="E129" i="9"/>
  <c r="C120" i="18"/>
  <c r="L123" i="18" s="1"/>
  <c r="C127" i="18" s="1"/>
  <c r="L131" i="18" s="1"/>
  <c r="C141" i="39"/>
  <c r="L117" i="18"/>
  <c r="C78" i="9"/>
  <c r="M15" i="39"/>
  <c r="J21" i="27"/>
  <c r="F62" i="20"/>
  <c r="F61" i="20" s="1"/>
  <c r="C36" i="18"/>
  <c r="L39" i="18" s="1"/>
  <c r="J23" i="27" s="1"/>
  <c r="L33" i="18"/>
  <c r="Q14" i="39"/>
  <c r="Q59" i="39"/>
  <c r="L26" i="29" l="1"/>
  <c r="Q60" i="39"/>
  <c r="L29" i="29"/>
  <c r="I92" i="40"/>
  <c r="I114" i="40" s="1"/>
  <c r="G44" i="9" s="1"/>
  <c r="G55" i="9"/>
  <c r="F115" i="40"/>
  <c r="L127" i="40"/>
  <c r="H141" i="9"/>
  <c r="H149" i="9" s="1"/>
  <c r="L94" i="40"/>
  <c r="C113" i="41"/>
  <c r="G152" i="38"/>
  <c r="E155" i="38"/>
  <c r="E161" i="38"/>
  <c r="G161" i="38" s="1"/>
  <c r="I103" i="39"/>
  <c r="L103" i="39" s="1"/>
  <c r="O103" i="39" s="1"/>
  <c r="I31" i="41" s="1"/>
  <c r="G132" i="9" s="1"/>
  <c r="I104" i="39"/>
  <c r="L104" i="39" s="1"/>
  <c r="O104" i="39" s="1"/>
  <c r="I37" i="41" s="1"/>
  <c r="G133" i="9" s="1"/>
  <c r="N45" i="27"/>
  <c r="C43" i="41"/>
  <c r="N124" i="18"/>
  <c r="L124" i="18" s="1"/>
  <c r="Q62" i="39"/>
  <c r="I48" i="20"/>
  <c r="I54" i="20"/>
  <c r="Q63" i="39"/>
  <c r="N21" i="27"/>
  <c r="L21" i="27"/>
  <c r="I15" i="39"/>
  <c r="L15" i="39" s="1"/>
  <c r="O15" i="39" s="1"/>
  <c r="M16" i="39"/>
  <c r="M17" i="39"/>
  <c r="J22" i="27"/>
  <c r="M26" i="39"/>
  <c r="J32" i="27"/>
  <c r="C42" i="18"/>
  <c r="C135" i="18"/>
  <c r="L132" i="18"/>
  <c r="F97" i="19"/>
  <c r="E63" i="9" s="1"/>
  <c r="L64" i="20"/>
  <c r="C68" i="20" s="1"/>
  <c r="L65" i="20"/>
  <c r="G94" i="9" l="1"/>
  <c r="G58" i="9"/>
  <c r="H57" i="9"/>
  <c r="L129" i="41"/>
  <c r="L126" i="40" s="1"/>
  <c r="G155" i="38"/>
  <c r="L96" i="40"/>
  <c r="C97" i="40" s="1"/>
  <c r="L99" i="40" s="1"/>
  <c r="C106" i="40"/>
  <c r="L108" i="40" s="1"/>
  <c r="M100" i="39"/>
  <c r="I100" i="39" s="1"/>
  <c r="Q104" i="39"/>
  <c r="Q103" i="39"/>
  <c r="M27" i="39"/>
  <c r="I27" i="39" s="1"/>
  <c r="L27" i="39" s="1"/>
  <c r="O27" i="39" s="1"/>
  <c r="Q15" i="39"/>
  <c r="F44" i="41"/>
  <c r="M28" i="39"/>
  <c r="I28" i="39" s="1"/>
  <c r="L28" i="39" s="1"/>
  <c r="O28" i="39" s="1"/>
  <c r="J34" i="27"/>
  <c r="N34" i="27" s="1"/>
  <c r="J33" i="27"/>
  <c r="L33" i="27" s="1"/>
  <c r="I24" i="18"/>
  <c r="C99" i="9" s="1"/>
  <c r="E119" i="9"/>
  <c r="I17" i="39"/>
  <c r="L17" i="39" s="1"/>
  <c r="O17" i="39" s="1"/>
  <c r="I16" i="39"/>
  <c r="L16" i="39" s="1"/>
  <c r="O16" i="39" s="1"/>
  <c r="M64" i="39"/>
  <c r="J31" i="29"/>
  <c r="L31" i="29" s="1"/>
  <c r="N22" i="27"/>
  <c r="L22" i="27"/>
  <c r="N23" i="27"/>
  <c r="L23" i="27"/>
  <c r="C43" i="18"/>
  <c r="F44" i="18" s="1"/>
  <c r="F136" i="18"/>
  <c r="F137" i="18" s="1"/>
  <c r="L139" i="18" s="1"/>
  <c r="N32" i="27"/>
  <c r="L32" i="27"/>
  <c r="L71" i="20"/>
  <c r="C75" i="20" s="1"/>
  <c r="L77" i="20" s="1"/>
  <c r="I26" i="39"/>
  <c r="L26" i="39" s="1"/>
  <c r="O26" i="39" s="1"/>
  <c r="H34" i="9" l="1"/>
  <c r="H64" i="9" s="1"/>
  <c r="O100" i="39"/>
  <c r="I107" i="40" s="1"/>
  <c r="G97" i="9" s="1"/>
  <c r="L100" i="39"/>
  <c r="L116" i="41"/>
  <c r="C155" i="38"/>
  <c r="D155" i="38"/>
  <c r="F45" i="41"/>
  <c r="L47" i="41" s="1"/>
  <c r="C51" i="41" s="1"/>
  <c r="L54" i="41" s="1"/>
  <c r="Q27" i="39"/>
  <c r="L48" i="41"/>
  <c r="Q28" i="39"/>
  <c r="Q17" i="39"/>
  <c r="N72" i="20"/>
  <c r="L72" i="20" s="1"/>
  <c r="M65" i="39" s="1"/>
  <c r="L34" i="27"/>
  <c r="N33" i="27"/>
  <c r="I128" i="18"/>
  <c r="C109" i="9" s="1"/>
  <c r="I37" i="18"/>
  <c r="C101" i="9" s="1"/>
  <c r="I115" i="18"/>
  <c r="C107" i="9" s="1"/>
  <c r="Q16" i="39"/>
  <c r="I122" i="18"/>
  <c r="C108" i="9" s="1"/>
  <c r="I31" i="18"/>
  <c r="C100" i="9" s="1"/>
  <c r="C143" i="18"/>
  <c r="L146" i="18" s="1"/>
  <c r="L140" i="18"/>
  <c r="M29" i="39" s="1"/>
  <c r="Q26" i="39"/>
  <c r="L48" i="18"/>
  <c r="F45" i="18"/>
  <c r="F72" i="17"/>
  <c r="C63" i="9" s="1"/>
  <c r="I64" i="39"/>
  <c r="L64" i="39" s="1"/>
  <c r="O64" i="39" s="1"/>
  <c r="N31" i="29"/>
  <c r="L78" i="20"/>
  <c r="M67" i="39" s="1"/>
  <c r="C83" i="20"/>
  <c r="R9" i="9" l="1"/>
  <c r="L117" i="41"/>
  <c r="C144" i="39"/>
  <c r="C120" i="41"/>
  <c r="M105" i="39"/>
  <c r="I105" i="39" s="1"/>
  <c r="L105" i="39" s="1"/>
  <c r="O105" i="39" s="1"/>
  <c r="I46" i="41" s="1"/>
  <c r="G134" i="9" s="1"/>
  <c r="J30" i="42"/>
  <c r="J33" i="29"/>
  <c r="N33" i="29" s="1"/>
  <c r="M66" i="39"/>
  <c r="I66" i="39" s="1"/>
  <c r="L66" i="39" s="1"/>
  <c r="O66" i="39" s="1"/>
  <c r="I76" i="20" s="1"/>
  <c r="J32" i="29"/>
  <c r="L32" i="29" s="1"/>
  <c r="I29" i="39"/>
  <c r="L29" i="39" s="1"/>
  <c r="O29" i="39" s="1"/>
  <c r="C58" i="41"/>
  <c r="L60" i="41" s="1"/>
  <c r="N55" i="41"/>
  <c r="L55" i="41" s="1"/>
  <c r="J31" i="42" s="1"/>
  <c r="Q64" i="39"/>
  <c r="I63" i="20"/>
  <c r="E120" i="9" s="1"/>
  <c r="L47" i="18"/>
  <c r="C51" i="18" s="1"/>
  <c r="M18" i="39"/>
  <c r="J24" i="27"/>
  <c r="I65" i="39"/>
  <c r="L65" i="39" s="1"/>
  <c r="O65" i="39" s="1"/>
  <c r="I67" i="39"/>
  <c r="L67" i="39" s="1"/>
  <c r="O67" i="39" s="1"/>
  <c r="J35" i="27"/>
  <c r="L147" i="18"/>
  <c r="C150" i="18"/>
  <c r="L154" i="18" s="1"/>
  <c r="L61" i="41" l="1"/>
  <c r="C65" i="41"/>
  <c r="C34" i="37"/>
  <c r="L123" i="41"/>
  <c r="C127" i="41" s="1"/>
  <c r="L131" i="41" s="1"/>
  <c r="J38" i="42"/>
  <c r="M113" i="39"/>
  <c r="N32" i="29"/>
  <c r="L31" i="42"/>
  <c r="N31" i="42"/>
  <c r="M108" i="39"/>
  <c r="I108" i="39" s="1"/>
  <c r="L108" i="39" s="1"/>
  <c r="O108" i="39" s="1"/>
  <c r="I69" i="41" s="1"/>
  <c r="J32" i="42"/>
  <c r="N30" i="42"/>
  <c r="L30" i="42"/>
  <c r="Q105" i="39"/>
  <c r="Q29" i="39"/>
  <c r="M30" i="39"/>
  <c r="M31" i="39"/>
  <c r="M107" i="39"/>
  <c r="M106" i="39"/>
  <c r="I106" i="39" s="1"/>
  <c r="I87" i="20"/>
  <c r="I70" i="20"/>
  <c r="E121" i="9" s="1"/>
  <c r="L54" i="18"/>
  <c r="C58" i="18" s="1"/>
  <c r="L60" i="18" s="1"/>
  <c r="C158" i="18"/>
  <c r="L155" i="18"/>
  <c r="J37" i="27"/>
  <c r="J36" i="27"/>
  <c r="N24" i="27"/>
  <c r="L24" i="27"/>
  <c r="Q65" i="39"/>
  <c r="I18" i="39"/>
  <c r="L18" i="39" s="1"/>
  <c r="O18" i="39" s="1"/>
  <c r="N35" i="27"/>
  <c r="L35" i="27"/>
  <c r="Q67" i="39"/>
  <c r="L33" i="29"/>
  <c r="N124" i="41" l="1"/>
  <c r="L124" i="41" s="1"/>
  <c r="J39" i="42" s="1"/>
  <c r="I113" i="39"/>
  <c r="L113" i="39" s="1"/>
  <c r="O113" i="39" s="1"/>
  <c r="I115" i="41" s="1"/>
  <c r="G139" i="9" s="1"/>
  <c r="L38" i="42"/>
  <c r="N38" i="42"/>
  <c r="C135" i="41"/>
  <c r="L132" i="41"/>
  <c r="Q108" i="39"/>
  <c r="O65" i="41" s="1"/>
  <c r="F66" i="41" s="1"/>
  <c r="N32" i="42"/>
  <c r="L32" i="42"/>
  <c r="Q106" i="39"/>
  <c r="L106" i="39"/>
  <c r="O106" i="39" s="1"/>
  <c r="I53" i="41" s="1"/>
  <c r="I107" i="39"/>
  <c r="L107" i="39" s="1"/>
  <c r="O107" i="39" s="1"/>
  <c r="I59" i="41" s="1"/>
  <c r="M32" i="39"/>
  <c r="I32" i="39" s="1"/>
  <c r="L32" i="39" s="1"/>
  <c r="O32" i="39" s="1"/>
  <c r="I31" i="39"/>
  <c r="L31" i="39" s="1"/>
  <c r="O31" i="39" s="1"/>
  <c r="I30" i="39"/>
  <c r="L30" i="39" s="1"/>
  <c r="O30" i="39" s="1"/>
  <c r="I46" i="18"/>
  <c r="C102" i="9" s="1"/>
  <c r="I138" i="18"/>
  <c r="C110" i="9" s="1"/>
  <c r="O83" i="20"/>
  <c r="F85" i="20" s="1"/>
  <c r="N55" i="18"/>
  <c r="L55" i="18" s="1"/>
  <c r="L61" i="18"/>
  <c r="M21" i="39" s="1"/>
  <c r="I21" i="39" s="1"/>
  <c r="C65" i="18"/>
  <c r="N36" i="27"/>
  <c r="L36" i="27"/>
  <c r="N37" i="27"/>
  <c r="L37" i="27"/>
  <c r="Q18" i="39"/>
  <c r="M114" i="39" l="1"/>
  <c r="I114" i="39" s="1"/>
  <c r="L114" i="39" s="1"/>
  <c r="O114" i="39" s="1"/>
  <c r="Q113" i="39"/>
  <c r="F136" i="41"/>
  <c r="N39" i="42"/>
  <c r="L39" i="42"/>
  <c r="J40" i="42"/>
  <c r="M115" i="39"/>
  <c r="Q107" i="39"/>
  <c r="G135" i="9"/>
  <c r="Q31" i="39"/>
  <c r="F84" i="20"/>
  <c r="L88" i="20" s="1"/>
  <c r="Q30" i="39"/>
  <c r="I162" i="18"/>
  <c r="I151" i="18"/>
  <c r="I145" i="18"/>
  <c r="Q32" i="39"/>
  <c r="O158" i="18" s="1"/>
  <c r="Q21" i="39"/>
  <c r="L21" i="39"/>
  <c r="O21" i="39" s="1"/>
  <c r="J25" i="27"/>
  <c r="M19" i="39"/>
  <c r="M20" i="39"/>
  <c r="J26" i="27"/>
  <c r="F86" i="20"/>
  <c r="L105" i="20"/>
  <c r="L104" i="19" s="1"/>
  <c r="G96" i="38"/>
  <c r="E96" i="38" s="1"/>
  <c r="I122" i="41" l="1"/>
  <c r="G140" i="9" s="1"/>
  <c r="Q114" i="39"/>
  <c r="I115" i="39"/>
  <c r="L115" i="39" s="1"/>
  <c r="O115" i="39" s="1"/>
  <c r="I128" i="41" s="1"/>
  <c r="G141" i="9" s="1"/>
  <c r="L40" i="42"/>
  <c r="N40" i="42"/>
  <c r="F137" i="41"/>
  <c r="L139" i="41" s="1"/>
  <c r="F119" i="40"/>
  <c r="L106" i="20"/>
  <c r="F101" i="19"/>
  <c r="E37" i="9" s="1"/>
  <c r="C111" i="9"/>
  <c r="F159" i="18"/>
  <c r="O65" i="18"/>
  <c r="F67" i="18" s="1"/>
  <c r="F68" i="18" s="1"/>
  <c r="F75" i="17" s="1"/>
  <c r="I69" i="18"/>
  <c r="F101" i="20"/>
  <c r="N26" i="27"/>
  <c r="L26" i="27"/>
  <c r="I19" i="39"/>
  <c r="L19" i="39" s="1"/>
  <c r="O19" i="39" s="1"/>
  <c r="L90" i="20"/>
  <c r="C94" i="20"/>
  <c r="L97" i="20" s="1"/>
  <c r="L89" i="20"/>
  <c r="I20" i="39"/>
  <c r="L20" i="39" s="1"/>
  <c r="O20" i="39" s="1"/>
  <c r="N25" i="27"/>
  <c r="L25" i="27"/>
  <c r="G63" i="9" l="1"/>
  <c r="Q115" i="39"/>
  <c r="L140" i="41"/>
  <c r="C143" i="41"/>
  <c r="L146" i="41" s="1"/>
  <c r="L86" i="18"/>
  <c r="L75" i="17" s="1"/>
  <c r="G26" i="38"/>
  <c r="E26" i="38" s="1"/>
  <c r="F82" i="18" s="1"/>
  <c r="F160" i="18"/>
  <c r="L163" i="18" s="1"/>
  <c r="F67" i="41"/>
  <c r="F66" i="18"/>
  <c r="L87" i="18" s="1"/>
  <c r="L74" i="17" s="1"/>
  <c r="I53" i="18"/>
  <c r="I59" i="18"/>
  <c r="L180" i="18"/>
  <c r="Q20" i="39"/>
  <c r="L98" i="20"/>
  <c r="M68" i="39" s="1"/>
  <c r="C100" i="20"/>
  <c r="L103" i="20" s="1"/>
  <c r="J35" i="29"/>
  <c r="C146" i="20"/>
  <c r="L91" i="20"/>
  <c r="M75" i="39" s="1"/>
  <c r="Q19" i="39"/>
  <c r="J34" i="29"/>
  <c r="F74" i="17" l="1"/>
  <c r="L147" i="41"/>
  <c r="C150" i="41"/>
  <c r="L154" i="41" s="1"/>
  <c r="J41" i="42"/>
  <c r="M116" i="39"/>
  <c r="C36" i="9"/>
  <c r="C103" i="9"/>
  <c r="L70" i="18"/>
  <c r="C75" i="18" s="1"/>
  <c r="L78" i="18" s="1"/>
  <c r="L179" i="18"/>
  <c r="L82" i="17" s="1"/>
  <c r="F161" i="18"/>
  <c r="F76" i="17" s="1"/>
  <c r="G61" i="38"/>
  <c r="E61" i="38" s="1"/>
  <c r="F175" i="18" s="1"/>
  <c r="L70" i="41"/>
  <c r="L87" i="41"/>
  <c r="F68" i="41"/>
  <c r="F122" i="40" s="1"/>
  <c r="G128" i="38"/>
  <c r="E128" i="38" s="1"/>
  <c r="F82" i="41" s="1"/>
  <c r="L86" i="41"/>
  <c r="L122" i="40" s="1"/>
  <c r="C168" i="18"/>
  <c r="L171" i="18" s="1"/>
  <c r="L164" i="18"/>
  <c r="J38" i="27" s="1"/>
  <c r="N35" i="29"/>
  <c r="L35" i="29"/>
  <c r="N34" i="29"/>
  <c r="L34" i="29"/>
  <c r="C109" i="20"/>
  <c r="L104" i="20"/>
  <c r="J36" i="29" s="1"/>
  <c r="I68" i="39"/>
  <c r="L68" i="39" s="1"/>
  <c r="O68" i="39" s="1"/>
  <c r="I75" i="39"/>
  <c r="L75" i="39" s="1"/>
  <c r="O75" i="39" s="1"/>
  <c r="C48" i="9" l="1"/>
  <c r="I116" i="39"/>
  <c r="L116" i="39" s="1"/>
  <c r="O116" i="39" s="1"/>
  <c r="I138" i="41" s="1"/>
  <c r="C158" i="41"/>
  <c r="L155" i="41"/>
  <c r="M119" i="39" s="1"/>
  <c r="L41" i="42"/>
  <c r="N41" i="42"/>
  <c r="M118" i="39"/>
  <c r="M117" i="39"/>
  <c r="J42" i="42"/>
  <c r="J43" i="42"/>
  <c r="C75" i="41"/>
  <c r="L78" i="41" s="1"/>
  <c r="J34" i="42" s="1"/>
  <c r="L71" i="18"/>
  <c r="J27" i="27" s="1"/>
  <c r="N27" i="27" s="1"/>
  <c r="C38" i="9"/>
  <c r="L71" i="41"/>
  <c r="C90" i="41" s="1"/>
  <c r="L93" i="41" s="1"/>
  <c r="F69" i="17"/>
  <c r="C59" i="9" s="1"/>
  <c r="N38" i="27"/>
  <c r="L38" i="27"/>
  <c r="L165" i="18"/>
  <c r="C189" i="18"/>
  <c r="T191" i="18" s="1"/>
  <c r="C174" i="18"/>
  <c r="L177" i="18" s="1"/>
  <c r="L172" i="18"/>
  <c r="I150" i="20"/>
  <c r="I96" i="20"/>
  <c r="N36" i="29"/>
  <c r="L36" i="29"/>
  <c r="Q75" i="39"/>
  <c r="M69" i="39"/>
  <c r="M70" i="39"/>
  <c r="J28" i="27"/>
  <c r="L79" i="18"/>
  <c r="C81" i="18"/>
  <c r="L84" i="18" s="1"/>
  <c r="J29" i="27" s="1"/>
  <c r="Q68" i="39"/>
  <c r="G36" i="9" l="1"/>
  <c r="Q116" i="39"/>
  <c r="L79" i="41"/>
  <c r="M109" i="39" s="1"/>
  <c r="I109" i="39" s="1"/>
  <c r="L109" i="39" s="1"/>
  <c r="O109" i="39" s="1"/>
  <c r="I77" i="41" s="1"/>
  <c r="I118" i="39"/>
  <c r="L118" i="39" s="1"/>
  <c r="O118" i="39" s="1"/>
  <c r="I151" i="41" s="1"/>
  <c r="I117" i="39"/>
  <c r="L117" i="39" s="1"/>
  <c r="O117" i="39" s="1"/>
  <c r="I145" i="41" s="1"/>
  <c r="N43" i="42"/>
  <c r="L43" i="42"/>
  <c r="L42" i="42"/>
  <c r="N42" i="42"/>
  <c r="J39" i="27"/>
  <c r="N39" i="27" s="1"/>
  <c r="C81" i="41"/>
  <c r="L84" i="41" s="1"/>
  <c r="C96" i="41" s="1"/>
  <c r="C152" i="39"/>
  <c r="O111" i="39" s="1"/>
  <c r="L27" i="27"/>
  <c r="L72" i="18"/>
  <c r="C90" i="18"/>
  <c r="L93" i="18" s="1"/>
  <c r="C146" i="39" s="1"/>
  <c r="O24" i="39" s="1"/>
  <c r="I91" i="18" s="1"/>
  <c r="C105" i="9" s="1"/>
  <c r="J33" i="42"/>
  <c r="L34" i="42"/>
  <c r="N34" i="42"/>
  <c r="M22" i="39"/>
  <c r="I22" i="39" s="1"/>
  <c r="L22" i="39" s="1"/>
  <c r="O22" i="39" s="1"/>
  <c r="M33" i="39"/>
  <c r="I33" i="39" s="1"/>
  <c r="L33" i="39" s="1"/>
  <c r="O33" i="39" s="1"/>
  <c r="I170" i="18" s="1"/>
  <c r="L72" i="41"/>
  <c r="L178" i="18"/>
  <c r="C183" i="18"/>
  <c r="L186" i="18" s="1"/>
  <c r="L85" i="17" s="1"/>
  <c r="F78" i="17" s="1"/>
  <c r="L193" i="18"/>
  <c r="C156" i="39" s="1"/>
  <c r="O109" i="20"/>
  <c r="F110" i="20" s="1"/>
  <c r="L131" i="20" s="1"/>
  <c r="O146" i="20"/>
  <c r="F148" i="20" s="1"/>
  <c r="L85" i="18"/>
  <c r="C96" i="18"/>
  <c r="L99" i="18" s="1"/>
  <c r="I70" i="39"/>
  <c r="L70" i="39" s="1"/>
  <c r="O70" i="39" s="1"/>
  <c r="N28" i="27"/>
  <c r="L28" i="27"/>
  <c r="I69" i="39"/>
  <c r="L69" i="39" s="1"/>
  <c r="O69" i="39" s="1"/>
  <c r="Q118" i="39" l="1"/>
  <c r="Q117" i="39"/>
  <c r="J35" i="42"/>
  <c r="N35" i="42" s="1"/>
  <c r="L85" i="41"/>
  <c r="M110" i="39" s="1"/>
  <c r="I110" i="39" s="1"/>
  <c r="L110" i="39" s="1"/>
  <c r="O110" i="39" s="1"/>
  <c r="I83" i="41" s="1"/>
  <c r="G136" i="9" s="1"/>
  <c r="J40" i="27"/>
  <c r="L99" i="41"/>
  <c r="C153" i="39" s="1"/>
  <c r="O112" i="39" s="1"/>
  <c r="I91" i="41"/>
  <c r="G137" i="9" s="1"/>
  <c r="C148" i="39"/>
  <c r="O35" i="39" s="1"/>
  <c r="I184" i="18" s="1"/>
  <c r="C113" i="9" s="1"/>
  <c r="L39" i="27"/>
  <c r="L33" i="42"/>
  <c r="N33" i="42"/>
  <c r="Q109" i="39"/>
  <c r="Q33" i="39"/>
  <c r="M23" i="39"/>
  <c r="I23" i="39" s="1"/>
  <c r="L23" i="39" s="1"/>
  <c r="O23" i="39" s="1"/>
  <c r="I77" i="18"/>
  <c r="L29" i="27"/>
  <c r="O36" i="39"/>
  <c r="J42" i="27"/>
  <c r="M34" i="39"/>
  <c r="Q70" i="39"/>
  <c r="F147" i="20"/>
  <c r="F99" i="19" s="1"/>
  <c r="I113" i="20"/>
  <c r="F111" i="20"/>
  <c r="L130" i="20" s="1"/>
  <c r="L103" i="19" s="1"/>
  <c r="I102" i="20"/>
  <c r="E122" i="9" s="1"/>
  <c r="Q69" i="39"/>
  <c r="C147" i="39"/>
  <c r="O25" i="39" s="1"/>
  <c r="Q22" i="39"/>
  <c r="F149" i="20"/>
  <c r="G98" i="38"/>
  <c r="E98" i="38" s="1"/>
  <c r="L166" i="20"/>
  <c r="L109" i="19" s="1"/>
  <c r="C62" i="9" l="1"/>
  <c r="C145" i="9"/>
  <c r="L87" i="17"/>
  <c r="C146" i="9" s="1"/>
  <c r="L35" i="42"/>
  <c r="I97" i="41"/>
  <c r="G138" i="9" s="1"/>
  <c r="F102" i="19"/>
  <c r="E38" i="9" s="1"/>
  <c r="Q110" i="39"/>
  <c r="I190" i="18"/>
  <c r="C114" i="9" s="1"/>
  <c r="J46" i="27"/>
  <c r="P4" i="9" s="1"/>
  <c r="N29" i="27"/>
  <c r="I83" i="18"/>
  <c r="C104" i="9" s="1"/>
  <c r="I97" i="18"/>
  <c r="C106" i="9" s="1"/>
  <c r="N40" i="27"/>
  <c r="L40" i="27"/>
  <c r="I34" i="39"/>
  <c r="L34" i="39" s="1"/>
  <c r="O34" i="39" s="1"/>
  <c r="L114" i="20"/>
  <c r="C119" i="20" s="1"/>
  <c r="L122" i="20" s="1"/>
  <c r="L123" i="20" s="1"/>
  <c r="M71" i="39" s="1"/>
  <c r="G97" i="38"/>
  <c r="E97" i="38" s="1"/>
  <c r="F126" i="20" s="1"/>
  <c r="F94" i="19" s="1"/>
  <c r="E59" i="9" s="1"/>
  <c r="F112" i="20"/>
  <c r="N42" i="27"/>
  <c r="L42" i="27"/>
  <c r="L167" i="20"/>
  <c r="L102" i="19" s="1"/>
  <c r="E48" i="9" s="1"/>
  <c r="Q23" i="39"/>
  <c r="F162" i="20"/>
  <c r="L151" i="20"/>
  <c r="C155" i="20" s="1"/>
  <c r="L158" i="20" s="1"/>
  <c r="C30" i="9" l="1"/>
  <c r="F100" i="19"/>
  <c r="E36" i="9" s="1"/>
  <c r="L46" i="27"/>
  <c r="N46" i="27"/>
  <c r="P7" i="9" s="1"/>
  <c r="Q34" i="39"/>
  <c r="I67" i="17"/>
  <c r="C28" i="10"/>
  <c r="I176" i="18"/>
  <c r="C112" i="9" s="1"/>
  <c r="C149" i="9" s="1"/>
  <c r="L115" i="20"/>
  <c r="J37" i="29" s="1"/>
  <c r="C125" i="20"/>
  <c r="L128" i="20" s="1"/>
  <c r="L129" i="20" s="1"/>
  <c r="M72" i="39" s="1"/>
  <c r="J38" i="29"/>
  <c r="N38" i="29" s="1"/>
  <c r="L152" i="20"/>
  <c r="C176" i="20" s="1"/>
  <c r="C177" i="20" s="1"/>
  <c r="T178" i="20" s="1"/>
  <c r="L159" i="20"/>
  <c r="M76" i="39" s="1"/>
  <c r="C161" i="20"/>
  <c r="L164" i="20" s="1"/>
  <c r="J43" i="29"/>
  <c r="I71" i="39"/>
  <c r="L71" i="39" s="1"/>
  <c r="O71" i="39" s="1"/>
  <c r="C41" i="9" l="1"/>
  <c r="C64" i="9" s="1"/>
  <c r="C150" i="9"/>
  <c r="L116" i="20"/>
  <c r="C134" i="20"/>
  <c r="L137" i="20" s="1"/>
  <c r="C149" i="39" s="1"/>
  <c r="O73" i="39" s="1"/>
  <c r="C140" i="20"/>
  <c r="L181" i="20"/>
  <c r="L38" i="29"/>
  <c r="Q71" i="39"/>
  <c r="J42" i="29"/>
  <c r="L42" i="29" s="1"/>
  <c r="I121" i="20"/>
  <c r="J39" i="29"/>
  <c r="N39" i="29" s="1"/>
  <c r="I72" i="39"/>
  <c r="L72" i="39" s="1"/>
  <c r="O72" i="39" s="1"/>
  <c r="I76" i="39"/>
  <c r="L76" i="39" s="1"/>
  <c r="O76" i="39" s="1"/>
  <c r="N43" i="29"/>
  <c r="L43" i="29"/>
  <c r="N37" i="29"/>
  <c r="L37" i="29"/>
  <c r="C170" i="20"/>
  <c r="L173" i="20" s="1"/>
  <c r="C151" i="39" s="1"/>
  <c r="O78" i="39" s="1"/>
  <c r="L165" i="20"/>
  <c r="M77" i="39" s="1"/>
  <c r="C157" i="39" l="1"/>
  <c r="O79" i="39" s="1"/>
  <c r="I178" i="20" s="1"/>
  <c r="E128" i="9" s="1"/>
  <c r="P6" i="9"/>
  <c r="P10" i="9"/>
  <c r="L143" i="20"/>
  <c r="C150" i="39" s="1"/>
  <c r="O74" i="39" s="1"/>
  <c r="I141" i="20" s="1"/>
  <c r="E125" i="9" s="1"/>
  <c r="L112" i="19"/>
  <c r="N42" i="29"/>
  <c r="L39" i="29"/>
  <c r="Q76" i="39"/>
  <c r="I157" i="20"/>
  <c r="J44" i="29"/>
  <c r="J50" i="29" s="1"/>
  <c r="I127" i="20"/>
  <c r="E123" i="9" s="1"/>
  <c r="I171" i="20"/>
  <c r="E127" i="9" s="1"/>
  <c r="I135" i="20"/>
  <c r="E124" i="9" s="1"/>
  <c r="I77" i="39"/>
  <c r="L77" i="39" s="1"/>
  <c r="O77" i="39" s="1"/>
  <c r="Q72" i="39"/>
  <c r="C38" i="10" l="1"/>
  <c r="P8" i="9"/>
  <c r="P5" i="9"/>
  <c r="C34" i="10"/>
  <c r="C36" i="10" s="1"/>
  <c r="F104" i="19"/>
  <c r="E145" i="9" s="1"/>
  <c r="Q77" i="39"/>
  <c r="L44" i="29"/>
  <c r="L50" i="29" s="1"/>
  <c r="N44" i="29"/>
  <c r="N50" i="29" s="1"/>
  <c r="Q7" i="9" s="1"/>
  <c r="I163" i="20"/>
  <c r="E126" i="9" s="1"/>
  <c r="Q4" i="9"/>
  <c r="C30" i="15"/>
  <c r="C30" i="10" l="1"/>
  <c r="L115" i="19"/>
  <c r="E62" i="9"/>
  <c r="I93" i="19"/>
  <c r="E41" i="9" s="1"/>
  <c r="E146" i="9" l="1"/>
  <c r="E149" i="9" s="1"/>
  <c r="E150" i="9" s="1"/>
  <c r="E30" i="9"/>
  <c r="E64" i="9" s="1"/>
  <c r="Q6" i="9" s="1"/>
  <c r="Q5" i="9" l="1"/>
  <c r="Q10" i="9"/>
  <c r="Q8" i="9"/>
  <c r="I119" i="39"/>
  <c r="L119" i="39" s="1"/>
  <c r="O119" i="39" s="1"/>
  <c r="I162" i="41" s="1"/>
  <c r="C36" i="15" l="1"/>
  <c r="C38" i="15" s="1"/>
  <c r="C40" i="15"/>
  <c r="C32" i="15"/>
  <c r="Q119" i="39"/>
  <c r="O158" i="41" s="1"/>
  <c r="F160" i="41" l="1"/>
  <c r="L179" i="41" s="1"/>
  <c r="L129" i="40" s="1"/>
  <c r="F159" i="41"/>
  <c r="L180" i="41" s="1"/>
  <c r="L121" i="40" s="1"/>
  <c r="F121" i="40" l="1"/>
  <c r="G163" i="38"/>
  <c r="E163" i="38" s="1"/>
  <c r="F175" i="41" s="1"/>
  <c r="F116" i="40" s="1"/>
  <c r="F161" i="41"/>
  <c r="F123" i="40" s="1"/>
  <c r="L163" i="41"/>
  <c r="L164" i="41" s="1"/>
  <c r="J44" i="42" s="1"/>
  <c r="G48" i="9" l="1"/>
  <c r="G38" i="9"/>
  <c r="G59" i="9"/>
  <c r="C168" i="41"/>
  <c r="L171" i="41" s="1"/>
  <c r="L172" i="41" s="1"/>
  <c r="N44" i="42"/>
  <c r="L44" i="42"/>
  <c r="L165" i="41"/>
  <c r="C189" i="41"/>
  <c r="L192" i="41" s="1"/>
  <c r="C174" i="41" l="1"/>
  <c r="L177" i="41" s="1"/>
  <c r="L178" i="41" s="1"/>
  <c r="M121" i="39" s="1"/>
  <c r="J45" i="42"/>
  <c r="M120" i="39"/>
  <c r="I120" i="39" s="1"/>
  <c r="C196" i="41"/>
  <c r="L200" i="41" s="1"/>
  <c r="L193" i="41"/>
  <c r="L125" i="40" l="1"/>
  <c r="G31" i="9" s="1"/>
  <c r="C203" i="41"/>
  <c r="J46" i="42"/>
  <c r="N46" i="42" s="1"/>
  <c r="C183" i="41"/>
  <c r="L186" i="41" s="1"/>
  <c r="N45" i="42"/>
  <c r="L45" i="42"/>
  <c r="I121" i="39"/>
  <c r="L121" i="39" s="1"/>
  <c r="O121" i="39" s="1"/>
  <c r="I176" i="41" s="1"/>
  <c r="Q120" i="39"/>
  <c r="L120" i="39"/>
  <c r="O120" i="39" s="1"/>
  <c r="I170" i="41" s="1"/>
  <c r="M124" i="39"/>
  <c r="I124" i="39" s="1"/>
  <c r="Q124" i="39" s="1"/>
  <c r="M123" i="39"/>
  <c r="I123" i="39" s="1"/>
  <c r="Q123" i="39" s="1"/>
  <c r="J49" i="42"/>
  <c r="J48" i="42"/>
  <c r="G147" i="9" l="1"/>
  <c r="L209" i="41"/>
  <c r="L133" i="40" s="1"/>
  <c r="G49" i="9" s="1"/>
  <c r="C204" i="41"/>
  <c r="C205" i="41" s="1"/>
  <c r="C206" i="41" s="1"/>
  <c r="C154" i="39"/>
  <c r="O122" i="39" s="1"/>
  <c r="I184" i="41" s="1"/>
  <c r="G143" i="9" s="1"/>
  <c r="L46" i="42"/>
  <c r="G142" i="9"/>
  <c r="Q121" i="39"/>
  <c r="N48" i="42"/>
  <c r="L48" i="42"/>
  <c r="N49" i="42"/>
  <c r="L49" i="42"/>
  <c r="L208" i="41" l="1"/>
  <c r="L132" i="40" s="1"/>
  <c r="F125" i="40" s="1"/>
  <c r="G62" i="9" s="1"/>
  <c r="J50" i="42" l="1"/>
  <c r="L50" i="42" s="1"/>
  <c r="L51" i="42" s="1"/>
  <c r="C162" i="39"/>
  <c r="O125" i="39" s="1"/>
  <c r="I207" i="41" s="1"/>
  <c r="I113" i="40" s="1"/>
  <c r="G41" i="9" s="1"/>
  <c r="G145" i="9"/>
  <c r="L134" i="40"/>
  <c r="G146" i="9" s="1"/>
  <c r="J51" i="42" l="1"/>
  <c r="C30" i="37" s="1"/>
  <c r="N50" i="42"/>
  <c r="N51" i="42" s="1"/>
  <c r="R7" i="9" s="1"/>
  <c r="G149" i="9"/>
  <c r="G150" i="9" s="1"/>
  <c r="R10" i="9" s="1"/>
  <c r="G30" i="9"/>
  <c r="G64" i="9" s="1"/>
  <c r="R6" i="9" s="1"/>
  <c r="R4" i="9" l="1"/>
  <c r="R5" i="9" s="1"/>
  <c r="C40" i="37"/>
  <c r="R8" i="9"/>
  <c r="C36" i="37" l="1"/>
  <c r="C38" i="37" s="1"/>
  <c r="C32" i="3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F87" authorId="0" shapeId="0" xr:uid="{00000000-0006-0000-0500-000001000000}">
      <text>
        <r>
          <rPr>
            <b/>
            <sz val="9"/>
            <color indexed="81"/>
            <rFont val="Segoe UI"/>
            <family val="2"/>
          </rPr>
          <t>Autor:</t>
        </r>
        <r>
          <rPr>
            <sz val="9"/>
            <color indexed="81"/>
            <rFont val="Segoe UI"/>
            <family val="2"/>
          </rPr>
          <t xml:space="preserve">
replaces primary electrolyte 1:1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E70" authorId="0" shapeId="0" xr:uid="{00000000-0006-0000-0700-000001000000}">
      <text>
        <r>
          <rPr>
            <b/>
            <sz val="9"/>
            <color indexed="81"/>
            <rFont val="Segoe UI"/>
            <family val="2"/>
          </rPr>
          <t>Autor:</t>
        </r>
        <r>
          <rPr>
            <sz val="9"/>
            <color indexed="81"/>
            <rFont val="Segoe UI"/>
            <family val="2"/>
          </rPr>
          <t xml:space="preserve">
theoretic
</t>
        </r>
      </text>
    </comment>
  </commentList>
</comments>
</file>

<file path=xl/sharedStrings.xml><?xml version="1.0" encoding="utf-8"?>
<sst xmlns="http://schemas.openxmlformats.org/spreadsheetml/2006/main" count="5208" uniqueCount="1099">
  <si>
    <t xml:space="preserve"> </t>
  </si>
  <si>
    <t>by: Blömeke Steffen, Scheller Christian, Cerdas Felipe, Thies Christian, Herrmann Christoph, Spengler Thomas S.</t>
  </si>
  <si>
    <t>Technische Universität Braunschweig</t>
  </si>
  <si>
    <t>This work is licensed under a Creative Commons Attribution-NonCommercial-ShareAlike 4.0 International (CC BY-NC-SA 4.0).</t>
  </si>
  <si>
    <t>By: Institute of Machine Tools and Production Technology &amp; Institute of Automotive Management and Industrial Production</t>
  </si>
  <si>
    <t>https://creativecommons.org/licenses/by-nc-sa/4.0/</t>
  </si>
  <si>
    <t>This tool was developed to allow a modular economic and environmental assessment of three different recycling routes (Route 1-3) for Li-ion traction batteries with NMC-622 cathode</t>
  </si>
  <si>
    <t>How to start the assessment</t>
  </si>
  <si>
    <t>2. Customize your battery composition (only NMC chemistry) under investigation on the sheet 'Battery'</t>
  </si>
  <si>
    <t>Legend</t>
  </si>
  <si>
    <t>System boundaries</t>
  </si>
  <si>
    <t>Customizable value</t>
  </si>
  <si>
    <t xml:space="preserve">      Assessment tool for the recycling of Lithium-ion traction batteries</t>
  </si>
  <si>
    <t>Input</t>
  </si>
  <si>
    <t>Process design</t>
  </si>
  <si>
    <t>General conditions</t>
  </si>
  <si>
    <t>Description recycling routes</t>
  </si>
  <si>
    <t>Raw material prices (user-defined)</t>
  </si>
  <si>
    <t>Usage time route 1 (user-defined)</t>
  </si>
  <si>
    <t>Waste (incineration)</t>
  </si>
  <si>
    <t>Process capacity:</t>
  </si>
  <si>
    <t>t/ a</t>
  </si>
  <si>
    <t>Material costs:</t>
  </si>
  <si>
    <t>Route 1: Disassembly to module level - pyrometallurgy - hydrometallurgy</t>
  </si>
  <si>
    <t>Wastewater</t>
  </si>
  <si>
    <t>Aluminum scrap</t>
  </si>
  <si>
    <t>Lithium recovery:</t>
  </si>
  <si>
    <t>(only Route 1 &amp; 3)</t>
  </si>
  <si>
    <t>Electricity price:</t>
  </si>
  <si>
    <t>16,54</t>
  </si>
  <si>
    <t>EUR-ct/ kWh</t>
  </si>
  <si>
    <t>Route 2: Disassembly to module level - mechanical separation - hydrometallurgy</t>
  </si>
  <si>
    <t>Aluminium hydroxide</t>
  </si>
  <si>
    <t>Calcium sulfate</t>
  </si>
  <si>
    <t>Graphite recovery:</t>
  </si>
  <si>
    <t>(only Route 2)</t>
  </si>
  <si>
    <r>
      <t>CO</t>
    </r>
    <r>
      <rPr>
        <vertAlign val="subscript"/>
        <sz val="11"/>
        <color theme="1"/>
        <rFont val="Arial"/>
        <family val="2"/>
      </rPr>
      <t>2</t>
    </r>
    <r>
      <rPr>
        <sz val="11"/>
        <color theme="1"/>
        <rFont val="Arial"/>
        <family val="2"/>
      </rPr>
      <t>-intensity electricity:</t>
    </r>
  </si>
  <si>
    <t>366</t>
  </si>
  <si>
    <r>
      <t xml:space="preserve"> g CO</t>
    </r>
    <r>
      <rPr>
        <i/>
        <vertAlign val="subscript"/>
        <sz val="11"/>
        <color theme="1"/>
        <rFont val="Arial"/>
        <family val="2"/>
      </rPr>
      <t>2</t>
    </r>
    <r>
      <rPr>
        <i/>
        <sz val="11"/>
        <color theme="1"/>
        <rFont val="Arial"/>
        <family val="2"/>
      </rPr>
      <t>-eq./ kWh</t>
    </r>
  </si>
  <si>
    <t>Route 3: Disassembly to cell level - pyrolysis - mechanical separation - pyrometallurgy - hydrometallurgy</t>
  </si>
  <si>
    <t>CoSO4 * 7 H2O</t>
  </si>
  <si>
    <t>Cyanex 272</t>
  </si>
  <si>
    <t>Electrolyte recovery:</t>
  </si>
  <si>
    <t>Utilization time</t>
  </si>
  <si>
    <t>Cyanex 301GN</t>
  </si>
  <si>
    <t>D2EHPA</t>
  </si>
  <si>
    <t>Working days per year:</t>
  </si>
  <si>
    <t>330</t>
  </si>
  <si>
    <t xml:space="preserve"> d</t>
  </si>
  <si>
    <t>Iron</t>
  </si>
  <si>
    <t>Iron hydroxide Fe(OH)3</t>
  </si>
  <si>
    <t>Number of shifts - Disassembly</t>
  </si>
  <si>
    <t>Electricity</t>
  </si>
  <si>
    <t>see general conditions</t>
  </si>
  <si>
    <t>Electrolyte</t>
  </si>
  <si>
    <t>Number of shifts - Others</t>
  </si>
  <si>
    <t>Electronic waste</t>
  </si>
  <si>
    <t>Natural gas (CH4)</t>
  </si>
  <si>
    <t>Wastewater treatment:</t>
  </si>
  <si>
    <t>Graphite</t>
  </si>
  <si>
    <t>Cable</t>
  </si>
  <si>
    <t>Limestone (CaO)</t>
  </si>
  <si>
    <t>Assessment</t>
  </si>
  <si>
    <t>Kerosene</t>
  </si>
  <si>
    <t>conc. Wastewater</t>
  </si>
  <si>
    <t>Key indicators &amp; Assessment</t>
  </si>
  <si>
    <t>Copper scrap</t>
  </si>
  <si>
    <t>Li2CO3 (anhydrous)</t>
  </si>
  <si>
    <t>MnSO4 * 1 H2O</t>
  </si>
  <si>
    <t>Sodium carbonate</t>
  </si>
  <si>
    <t>Sodium hydroxide</t>
  </si>
  <si>
    <t>NiSO4 * 6 H2O</t>
  </si>
  <si>
    <t>Sand (SiO2)</t>
  </si>
  <si>
    <t>Oxygen</t>
  </si>
  <si>
    <t>Sulfuric acid (95%)</t>
  </si>
  <si>
    <t>Steel</t>
  </si>
  <si>
    <t>Nitrogen (N2)</t>
  </si>
  <si>
    <t>Water (Input)</t>
  </si>
  <si>
    <t>Hydrogen peroxide</t>
  </si>
  <si>
    <t>Usage time Route 2 (user-defined)</t>
  </si>
  <si>
    <t>Usage time Route 3 (user-defined)</t>
  </si>
  <si>
    <t>CO2-intensity electricity:</t>
  </si>
  <si>
    <r>
      <t>g CO</t>
    </r>
    <r>
      <rPr>
        <i/>
        <vertAlign val="subscript"/>
        <sz val="11"/>
        <color theme="1"/>
        <rFont val="Arial"/>
        <family val="2"/>
      </rPr>
      <t>2</t>
    </r>
    <r>
      <rPr>
        <i/>
        <sz val="11"/>
        <color theme="1"/>
        <rFont val="Arial"/>
        <family val="2"/>
      </rPr>
      <t>-eq./ kWh</t>
    </r>
  </si>
  <si>
    <t>Adjustments by 'Macro'</t>
  </si>
  <si>
    <t>Key figures &amp; evaluation</t>
  </si>
  <si>
    <t>Process</t>
  </si>
  <si>
    <t>Process step</t>
  </si>
  <si>
    <t>Investments:</t>
  </si>
  <si>
    <t>€</t>
  </si>
  <si>
    <t>Payback period:</t>
  </si>
  <si>
    <t>a</t>
  </si>
  <si>
    <t>Revenue/ t-battery:</t>
  </si>
  <si>
    <t>€/ t</t>
  </si>
  <si>
    <t>Costs/ t-battery:</t>
  </si>
  <si>
    <t>Recovery/ t-battery:</t>
  </si>
  <si>
    <t>CO2-eq./ t-Battery:</t>
  </si>
  <si>
    <t>kg</t>
  </si>
  <si>
    <t>:</t>
  </si>
  <si>
    <t>Percentage of the materials recovered</t>
  </si>
  <si>
    <t>Key figures</t>
  </si>
  <si>
    <t>Cobalt</t>
  </si>
  <si>
    <t>Nickel</t>
  </si>
  <si>
    <t>Lithium</t>
  </si>
  <si>
    <t>Manganese</t>
  </si>
  <si>
    <t>Aluminium</t>
  </si>
  <si>
    <t>Copper</t>
  </si>
  <si>
    <t>Total</t>
  </si>
  <si>
    <t>Slag</t>
  </si>
  <si>
    <t>Route 1</t>
  </si>
  <si>
    <t>Route 2</t>
  </si>
  <si>
    <t>Route 3</t>
  </si>
  <si>
    <t>Investments</t>
  </si>
  <si>
    <t>Payback period</t>
  </si>
  <si>
    <t>Costs/t-Batterie (Amotization)</t>
  </si>
  <si>
    <t>Overhead rate (assumption)</t>
  </si>
  <si>
    <t>Depreciation/t-Battery</t>
  </si>
  <si>
    <t>Credit factors and material proportions</t>
  </si>
  <si>
    <t>Costs/t-Battery</t>
  </si>
  <si>
    <t>Crediting factor route 1</t>
  </si>
  <si>
    <t>Revenue/t-Battery</t>
  </si>
  <si>
    <t>Crediting factor route 2</t>
  </si>
  <si>
    <r>
      <t>kg CO</t>
    </r>
    <r>
      <rPr>
        <vertAlign val="subscript"/>
        <sz val="11"/>
        <color theme="1"/>
        <rFont val="Calibri"/>
        <family val="2"/>
        <scheme val="minor"/>
      </rPr>
      <t>2</t>
    </r>
    <r>
      <rPr>
        <sz val="11"/>
        <color theme="1"/>
        <rFont val="Calibri"/>
        <family val="2"/>
        <scheme val="minor"/>
      </rPr>
      <t>-eq./t-Battery</t>
    </r>
  </si>
  <si>
    <t>Crediting factor route 3</t>
  </si>
  <si>
    <t>Raw material part of intermediate product</t>
  </si>
  <si>
    <t>Input [t.p.a]</t>
  </si>
  <si>
    <t>Output [t.p.a]</t>
  </si>
  <si>
    <t>Revenues and costs per material flow [€ / kg]</t>
  </si>
  <si>
    <t xml:space="preserve">
Prices per ton [€ / t]</t>
  </si>
  <si>
    <t>Exchange rate $ to €</t>
  </si>
  <si>
    <t>Material</t>
  </si>
  <si>
    <t>Costs</t>
  </si>
  <si>
    <t>Revenues</t>
  </si>
  <si>
    <t>Selected price</t>
  </si>
  <si>
    <t>High</t>
  </si>
  <si>
    <t>Middle</t>
  </si>
  <si>
    <t>Low</t>
  </si>
  <si>
    <t>Sources:</t>
  </si>
  <si>
    <t>Waste (Incineration)</t>
  </si>
  <si>
    <t>https://de.statista.com/statistik/daten/studie/219745/umfrage/kosten-und-gebuehren-der-muellverbrennung-in-deutschland-nach-unternehmen/</t>
  </si>
  <si>
    <t>Wastewater (municipal)</t>
  </si>
  <si>
    <t>https://www.destatis.de/DE/Themen/Gesellschaft-Umwelt/Umwelt/Wasserwirtschaft/Tabellen/liste-laufende-aufwendungen-entgelte-tariftypen.html</t>
  </si>
  <si>
    <t>Wastewater (industrial)</t>
  </si>
  <si>
    <t>Assumption</t>
  </si>
  <si>
    <t>EverBatt 2020</t>
  </si>
  <si>
    <t>Aluminiumhydroxide</t>
  </si>
  <si>
    <t>https://german.alibaba.com/product-detail/aluminum-hydroxide-al-oh-3-price-60521118416.html</t>
  </si>
  <si>
    <t>https://german.alibaba.com/product-detail/low-price-calcium-sulfate-anhydrous-food-grade-1600251449963.html?spm=a2700.galleryofferlist.normal_offer.d_title.12013355tuSZkA</t>
  </si>
  <si>
    <r>
      <t>CoSO</t>
    </r>
    <r>
      <rPr>
        <vertAlign val="subscript"/>
        <sz val="11"/>
        <color theme="1"/>
        <rFont val="Calibri"/>
        <family val="2"/>
        <scheme val="minor"/>
      </rPr>
      <t>4</t>
    </r>
    <r>
      <rPr>
        <sz val="11"/>
        <color theme="1"/>
        <rFont val="Calibri"/>
        <family val="2"/>
        <scheme val="minor"/>
      </rPr>
      <t xml:space="preserve"> * 7 H</t>
    </r>
    <r>
      <rPr>
        <vertAlign val="subscript"/>
        <sz val="11"/>
        <color theme="1"/>
        <rFont val="Calibri"/>
        <family val="2"/>
        <scheme val="minor"/>
      </rPr>
      <t>2</t>
    </r>
    <r>
      <rPr>
        <sz val="11"/>
        <color theme="1"/>
        <rFont val="Calibri"/>
        <family val="2"/>
        <scheme val="minor"/>
      </rPr>
      <t>O</t>
    </r>
  </si>
  <si>
    <t>Reference offer</t>
  </si>
  <si>
    <t>https://www.wallstreet-online.de/rohstoffe/eisenerzpreis#t:1m||s:lines||a:abs||v:hour||ads:null</t>
  </si>
  <si>
    <t>Iron hydroxide Fe (OH) 3</t>
  </si>
  <si>
    <t>https://jbs-shop.eu/eisenhydroxid-20kg.html</t>
  </si>
  <si>
    <t>https://www.bundesnetzagentur.de/SharedDocs/Mediathek/Berichte/2020/Monitoringbericht_Energie2020.pdf?__blob=publicationFile&amp;v=5</t>
  </si>
  <si>
    <t>Electronic scrap (circuit board)</t>
  </si>
  <si>
    <t>https://www.scheideanstalt.de/was-wir-recyceln/elektronikschrott/elektronikschrott-preise-sortierkriterien/</t>
  </si>
  <si>
    <t>https://www.indexmundi.com/de/rohstoffpreise/?ware=kerosin&amp;monate=360</t>
  </si>
  <si>
    <t>concentrated wastewater</t>
  </si>
  <si>
    <t>DERA 2021 (Ausgabe August)</t>
  </si>
  <si>
    <r>
      <t>MnSO</t>
    </r>
    <r>
      <rPr>
        <vertAlign val="subscript"/>
        <sz val="11"/>
        <color theme="1"/>
        <rFont val="Calibri"/>
        <family val="2"/>
        <scheme val="minor"/>
      </rPr>
      <t>4</t>
    </r>
    <r>
      <rPr>
        <sz val="11"/>
        <color theme="1"/>
        <rFont val="Calibri"/>
        <family val="2"/>
        <scheme val="minor"/>
      </rPr>
      <t xml:space="preserve"> * 1 H</t>
    </r>
    <r>
      <rPr>
        <vertAlign val="subscript"/>
        <sz val="11"/>
        <color theme="1"/>
        <rFont val="Calibri"/>
        <family val="2"/>
        <scheme val="minor"/>
      </rPr>
      <t>2</t>
    </r>
    <r>
      <rPr>
        <sz val="11"/>
        <color theme="1"/>
        <rFont val="Calibri"/>
        <family val="2"/>
        <scheme val="minor"/>
      </rPr>
      <t>O</t>
    </r>
  </si>
  <si>
    <t>https://german.alibaba.com/product-detail/high-quality-sodium-carbonate-dense-naco3-price-soda-ash-dense-1600080875449.html?spm=a2700.galleryofferlist.normal_offer.d_title.3abe4703F89FNt&amp;s=p</t>
  </si>
  <si>
    <t>Sodium hydrogen carbonate</t>
  </si>
  <si>
    <t>https://german.alibaba.com/product-detail/sodium-hydrogen-carbonate-of-best-safety-for-food-additive-sodium-bicarbonate-60752287505.html?spm=a2700.galleryofferlist.normal_offer.d_title.194112c8lObxNk&amp;s=p</t>
  </si>
  <si>
    <r>
      <t>NiSO</t>
    </r>
    <r>
      <rPr>
        <vertAlign val="subscript"/>
        <sz val="11"/>
        <color theme="1"/>
        <rFont val="Calibri"/>
        <family val="2"/>
        <scheme val="minor"/>
      </rPr>
      <t>4</t>
    </r>
    <r>
      <rPr>
        <sz val="11"/>
        <color theme="1"/>
        <rFont val="Calibri"/>
        <family val="2"/>
        <scheme val="minor"/>
      </rPr>
      <t xml:space="preserve"> * 6 H</t>
    </r>
    <r>
      <rPr>
        <vertAlign val="subscript"/>
        <sz val="11"/>
        <color theme="1"/>
        <rFont val="Calibri"/>
        <family val="2"/>
        <scheme val="minor"/>
      </rPr>
      <t>2</t>
    </r>
    <r>
      <rPr>
        <sz val="11"/>
        <color theme="1"/>
        <rFont val="Calibri"/>
        <family val="2"/>
        <scheme val="minor"/>
      </rPr>
      <t>O</t>
    </r>
  </si>
  <si>
    <r>
      <t>Sand (SiO</t>
    </r>
    <r>
      <rPr>
        <vertAlign val="subscript"/>
        <sz val="11"/>
        <color theme="1"/>
        <rFont val="Calibri"/>
        <family val="2"/>
        <scheme val="minor"/>
      </rPr>
      <t>2</t>
    </r>
    <r>
      <rPr>
        <sz val="11"/>
        <color theme="1"/>
        <rFont val="Calibri"/>
        <family val="2"/>
        <scheme val="minor"/>
      </rPr>
      <t>)</t>
    </r>
  </si>
  <si>
    <t>Sand / Silicon (SiO2)</t>
  </si>
  <si>
    <t>LME 06.10.2021: Steel Scrap</t>
  </si>
  <si>
    <t>Nitrogen</t>
  </si>
  <si>
    <t>https://www.linde-gas.de/shop/de/de-ig/gase-kaufen/schneid-und-schwei%C3%9Fgase/stickstoff/stickstoff-28-b%C3%BCndel-stickstoff-28-buendel</t>
  </si>
  <si>
    <t>Assumption: 10% fresh water for Route 1 (Circulation)</t>
  </si>
  <si>
    <t>https://www.destatis.de/DE/Themen/Gesellschaft-Umwelt/Umwelt/Wasserwirtschaft/Tabellen/tw-07-entgelt-trinkwasserversorgung-tarifgeb-nach-tariftypen-2017-2019-land-bund.html</t>
  </si>
  <si>
    <t>CO2 balance per process [kg CO2 equiv./ kg battery]</t>
  </si>
  <si>
    <t>CO2 balance dismantling (detail)</t>
  </si>
  <si>
    <t>Impacts</t>
  </si>
  <si>
    <t>Credits</t>
  </si>
  <si>
    <t>Pretreatment,
R1-R3</t>
  </si>
  <si>
    <t>Transport</t>
  </si>
  <si>
    <t>Storage</t>
  </si>
  <si>
    <t>Storage (defective)</t>
  </si>
  <si>
    <t>Electronic components</t>
  </si>
  <si>
    <t>Dismantling</t>
  </si>
  <si>
    <t>Plastics</t>
  </si>
  <si>
    <t xml:space="preserve">
Pyrometallurgy
Route 1</t>
  </si>
  <si>
    <t>Melting down</t>
  </si>
  <si>
    <t>other (elastomers)</t>
  </si>
  <si>
    <t>Exhaust gas treatment</t>
  </si>
  <si>
    <t>Mill (alloy)</t>
  </si>
  <si>
    <t>Mill (slag)</t>
  </si>
  <si>
    <t>Mech. Processing,
Route 2</t>
  </si>
  <si>
    <t>Shredder 1</t>
  </si>
  <si>
    <t>Drying</t>
  </si>
  <si>
    <t>Magnetic separation</t>
  </si>
  <si>
    <t>Zig-zag sighting 1</t>
  </si>
  <si>
    <t>Shredder 2</t>
  </si>
  <si>
    <t>Electrolyte recovery</t>
  </si>
  <si>
    <t>Pyrolysis,
Route 3</t>
  </si>
  <si>
    <t>Deactivation and evaporation</t>
  </si>
  <si>
    <t>-</t>
  </si>
  <si>
    <t>Exhaust gas cleaning</t>
  </si>
  <si>
    <t>Mech. Processing,
Route 3</t>
  </si>
  <si>
    <t>Shredder</t>
  </si>
  <si>
    <t>Zigzag sighting</t>
  </si>
  <si>
    <t>Pyrometallurgy
Route 3</t>
  </si>
  <si>
    <t>Melting</t>
  </si>
  <si>
    <t>Hydro Alloy,
Route 1</t>
  </si>
  <si>
    <t>Cu cementation</t>
  </si>
  <si>
    <t>Cu filtration</t>
  </si>
  <si>
    <t>Crystallization Ni</t>
  </si>
  <si>
    <t>Crystallization Co</t>
  </si>
  <si>
    <t>Hydro slag,
Route 1</t>
  </si>
  <si>
    <t>Filtration SiO2, CaSO4</t>
  </si>
  <si>
    <t>Oxidation Fe (slag)</t>
  </si>
  <si>
    <t>Precipitation, filtration Fe, Al (slag)</t>
  </si>
  <si>
    <t>Crystallization Mn</t>
  </si>
  <si>
    <t>Concentration Li</t>
  </si>
  <si>
    <t>Precipitation, Filtration Li</t>
  </si>
  <si>
    <t>Hydro,
Route 2</t>
  </si>
  <si>
    <t>Digestion</t>
  </si>
  <si>
    <t>Leaching</t>
  </si>
  <si>
    <t>Filtration, washing C</t>
  </si>
  <si>
    <t>Cementation, filtration Cu</t>
  </si>
  <si>
    <t>Oxidation</t>
  </si>
  <si>
    <t>Precipitation, filtration Al + Fe</t>
  </si>
  <si>
    <t>Hydro alloy,
Route 3</t>
  </si>
  <si>
    <t>Cementation Cu</t>
  </si>
  <si>
    <t>Filtration Cu</t>
  </si>
  <si>
    <t>Hydro slag,
Route 3</t>
  </si>
  <si>
    <t>Water</t>
  </si>
  <si>
    <t>Fresh water</t>
  </si>
  <si>
    <t>Assumption: Minimum 10% fresh process water</t>
  </si>
  <si>
    <t>Comment: condensed process water is feed into the municipal wastewater system as a low level of impurities can be assumed</t>
  </si>
  <si>
    <t>Recycling credit</t>
  </si>
  <si>
    <t>Battery system</t>
  </si>
  <si>
    <t>Total capacity</t>
  </si>
  <si>
    <t>kWh</t>
  </si>
  <si>
    <t>Weight</t>
  </si>
  <si>
    <t>Cell chemistry</t>
  </si>
  <si>
    <t>Number of cells per module</t>
  </si>
  <si>
    <t>piece</t>
  </si>
  <si>
    <t>Number of modules per battery</t>
  </si>
  <si>
    <t>Module</t>
  </si>
  <si>
    <t>Mass (kg)</t>
  </si>
  <si>
    <t>Total share</t>
  </si>
  <si>
    <t>Cells</t>
  </si>
  <si>
    <t xml:space="preserve">
Cathode</t>
  </si>
  <si>
    <t>Anode</t>
  </si>
  <si>
    <t>Copper foil</t>
  </si>
  <si>
    <t>Cell housing</t>
  </si>
  <si>
    <t>Separator</t>
  </si>
  <si>
    <t>Others</t>
  </si>
  <si>
    <t>Module (without cells)</t>
  </si>
  <si>
    <t>Module housings, sensors, cell holders</t>
  </si>
  <si>
    <t>System (without modules)</t>
  </si>
  <si>
    <t xml:space="preserve">
Housing, seal, HV connector, module holder, wiring harness, connections, cooling system, battery junction box</t>
  </si>
  <si>
    <t>Copper / Sn</t>
  </si>
  <si>
    <t>Cable (1.9kg) including plug / connectors</t>
  </si>
  <si>
    <t>other (gap filler, elastomer, seals, ..)</t>
  </si>
  <si>
    <t>TOTAL</t>
  </si>
  <si>
    <t>Material &amp; Energy Flow Analysis -  Route 1</t>
  </si>
  <si>
    <t>Variables:</t>
  </si>
  <si>
    <t>Disassembly</t>
  </si>
  <si>
    <t>Pyrometallurgy</t>
  </si>
  <si>
    <t>Variable</t>
  </si>
  <si>
    <t>Quantity</t>
  </si>
  <si>
    <t>Unit</t>
  </si>
  <si>
    <t>Throughput</t>
  </si>
  <si>
    <t>Tons p.a. from Makro</t>
  </si>
  <si>
    <t>Mass per batch</t>
  </si>
  <si>
    <t>Tons</t>
  </si>
  <si>
    <t>Number of battery systems</t>
  </si>
  <si>
    <t>Time per batch</t>
  </si>
  <si>
    <t>Hours</t>
  </si>
  <si>
    <t xml:space="preserve">
Residual energy</t>
  </si>
  <si>
    <t>kWh / Battery</t>
  </si>
  <si>
    <t>Input mass pyrometallurgy</t>
  </si>
  <si>
    <t>Tons p.a.</t>
  </si>
  <si>
    <t>Dismantling time</t>
  </si>
  <si>
    <t>h</t>
  </si>
  <si>
    <t>Number of batches p.a.</t>
  </si>
  <si>
    <t>Calorific value CH4</t>
  </si>
  <si>
    <t>kWh/ m³</t>
  </si>
  <si>
    <t>Density of oxygen</t>
  </si>
  <si>
    <t>kg/ m³</t>
  </si>
  <si>
    <t>Parameter</t>
  </si>
  <si>
    <t>Source: Verscheure et al. 2014</t>
  </si>
  <si>
    <t xml:space="preserve">
Battery module</t>
  </si>
  <si>
    <t>%</t>
  </si>
  <si>
    <t>Limestone</t>
  </si>
  <si>
    <t>Sand</t>
  </si>
  <si>
    <t>Nm³/ h</t>
  </si>
  <si>
    <t>Alloy</t>
  </si>
  <si>
    <t>Fly ash</t>
  </si>
  <si>
    <t>1. Disassembly</t>
  </si>
  <si>
    <t>Process / apparatus</t>
  </si>
  <si>
    <t>Resources</t>
  </si>
  <si>
    <t>Form of energy</t>
  </si>
  <si>
    <t>Outputs</t>
  </si>
  <si>
    <t>Annotation</t>
  </si>
  <si>
    <t>Discharge</t>
  </si>
  <si>
    <t>C-BEV-System</t>
  </si>
  <si>
    <t>t</t>
  </si>
  <si>
    <t>Aluminum (housing, junction box)</t>
  </si>
  <si>
    <t xml:space="preserve">
various alloys, steel</t>
  </si>
  <si>
    <t>Electronic components (system)</t>
  </si>
  <si>
    <t>Printed circuit boards</t>
  </si>
  <si>
    <t>Cable scrap including connector</t>
  </si>
  <si>
    <t>Recycling</t>
  </si>
  <si>
    <t>other (gap filer, elastomer, seals, ..)</t>
  </si>
  <si>
    <t>for incineration</t>
  </si>
  <si>
    <t xml:space="preserve">
2. Pyrometallurgy</t>
  </si>
  <si>
    <t>Value</t>
  </si>
  <si>
    <t>Battery modules</t>
  </si>
  <si>
    <t>Shaft furnace</t>
  </si>
  <si>
    <t>m³</t>
  </si>
  <si>
    <t>422 Nm³/h; 1,43 kg/m³</t>
  </si>
  <si>
    <t>Calorific value: 9.97 kWh / m³</t>
  </si>
  <si>
    <t>Mill (Ni, Co, Cu, Fe)</t>
  </si>
  <si>
    <t>Mill (Li, Mn, Fe, Al, Si, Ca)</t>
  </si>
  <si>
    <t>1.9% of input; Pocket filter (14% of Li total)</t>
  </si>
  <si>
    <t>Exhaust gases (mass difference)</t>
  </si>
  <si>
    <t>Afterburner, waste gas scrubbing (solvents, plastics, graphite)</t>
  </si>
  <si>
    <t>Exhaust gas</t>
  </si>
  <si>
    <t>Assumption density (CO2):</t>
  </si>
  <si>
    <t>Mill 1</t>
  </si>
  <si>
    <t>Mill 2</t>
  </si>
  <si>
    <t>Cumulative route 1 total</t>
  </si>
  <si>
    <t>partly circulated</t>
  </si>
  <si>
    <t xml:space="preserve">Cyanex 272 </t>
  </si>
  <si>
    <t>Net water requirement</t>
  </si>
  <si>
    <t>industrial</t>
  </si>
  <si>
    <t>Silicon</t>
  </si>
  <si>
    <t>municipal</t>
  </si>
  <si>
    <t>Wastewater net</t>
  </si>
  <si>
    <t>Material &amp; Energy Flow Analysis Hydrometallurgy Alloy Route 1</t>
  </si>
  <si>
    <t>Assumptions</t>
  </si>
  <si>
    <t>Impurities in the alloy in% of the initial mass</t>
  </si>
  <si>
    <t>Standard</t>
  </si>
  <si>
    <t>Battery systems</t>
  </si>
  <si>
    <t>t p.a.</t>
  </si>
  <si>
    <t>Iron (total)</t>
  </si>
  <si>
    <t>Copper foil and connectors</t>
  </si>
  <si>
    <t>Total alloy mass</t>
  </si>
  <si>
    <t>Output</t>
  </si>
  <si>
    <t>Density [t / m³]</t>
  </si>
  <si>
    <t>Chargenanzahl [-]</t>
  </si>
  <si>
    <t>Rotary kiln</t>
  </si>
  <si>
    <t>T = 140 °C</t>
  </si>
  <si>
    <t>Heating, losses not taken into account</t>
  </si>
  <si>
    <t>Solution</t>
  </si>
  <si>
    <t>Metal sulfates</t>
  </si>
  <si>
    <t>Stirred tank</t>
  </si>
  <si>
    <t>about solubility of sulfates; Safety factor</t>
  </si>
  <si>
    <t>Lye</t>
  </si>
  <si>
    <t xml:space="preserve">
Cementation Cu</t>
  </si>
  <si>
    <t>Basin</t>
  </si>
  <si>
    <t>Assumption: Mol Cu * ratio molar masses Fe / Cu; Iron wool or iron filings; Overstoichiometric</t>
  </si>
  <si>
    <r>
      <t xml:space="preserve">&lt; 50 </t>
    </r>
    <r>
      <rPr>
        <sz val="11"/>
        <color theme="1"/>
        <rFont val="Calibri"/>
        <family val="2"/>
      </rPr>
      <t>µ</t>
    </r>
    <r>
      <rPr>
        <sz val="9.9"/>
        <color theme="1"/>
        <rFont val="Calibri"/>
        <family val="2"/>
      </rPr>
      <t>m</t>
    </r>
  </si>
  <si>
    <t>Copper (elementary)</t>
  </si>
  <si>
    <t>Oxidation Fe</t>
  </si>
  <si>
    <t>Vol.-%</t>
  </si>
  <si>
    <t>50% solution; Ratio x NaOH: 1 H2SO4</t>
  </si>
  <si>
    <t>Filtration Fe</t>
  </si>
  <si>
    <r>
      <t xml:space="preserve">Filter &lt; 15 </t>
    </r>
    <r>
      <rPr>
        <sz val="11"/>
        <color theme="1"/>
        <rFont val="Calibri"/>
        <family val="2"/>
      </rPr>
      <t>µ</t>
    </r>
    <r>
      <rPr>
        <sz val="9.9"/>
        <color theme="1"/>
        <rFont val="Calibri"/>
        <family val="2"/>
      </rPr>
      <t>m</t>
    </r>
  </si>
  <si>
    <t>Mass Fe * (molar mass Fe (OH) 3 / Fe)</t>
  </si>
  <si>
    <t>Extraction co</t>
  </si>
  <si>
    <t>a: o = 3: 1; overstoichiometric 1.3; 70% kerosene</t>
  </si>
  <si>
    <t>Cyanex 272 (Circulation)</t>
  </si>
  <si>
    <t>t per Charge</t>
  </si>
  <si>
    <t>a: o = 3: 1; overstoichiometric 1.3; 30% Cyanex</t>
  </si>
  <si>
    <t>Cyanex 272 compensation loss</t>
  </si>
  <si>
    <t>Loss p.a.</t>
  </si>
  <si>
    <t>Co-Solution</t>
  </si>
  <si>
    <t>Assumption: kerosene + Cyanex + cobalt sulfate + water content cobalt sulfate (solubility)</t>
  </si>
  <si>
    <t>NiSO4-Solution</t>
  </si>
  <si>
    <t>Scrubbing Co</t>
  </si>
  <si>
    <t>Co-solution (circulation)</t>
  </si>
  <si>
    <t>neglected</t>
  </si>
  <si>
    <t>included in extraction</t>
  </si>
  <si>
    <t>Stripping Co</t>
  </si>
  <si>
    <t>dilute sulfuric acid (mol / l)</t>
  </si>
  <si>
    <t>Ratio x H2SO4: 1 Cyanex</t>
  </si>
  <si>
    <r>
      <t>CoSO</t>
    </r>
    <r>
      <rPr>
        <vertAlign val="subscript"/>
        <sz val="11"/>
        <color theme="1"/>
        <rFont val="Calibri"/>
        <family val="2"/>
        <scheme val="minor"/>
      </rPr>
      <t>4</t>
    </r>
    <r>
      <rPr>
        <sz val="11"/>
        <color theme="1"/>
        <rFont val="Calibri"/>
        <family val="2"/>
        <scheme val="minor"/>
      </rPr>
      <t>-Solution</t>
    </r>
  </si>
  <si>
    <t>Circulation</t>
  </si>
  <si>
    <t>Evaporation crystallization</t>
  </si>
  <si>
    <r>
      <t>NiSO</t>
    </r>
    <r>
      <rPr>
        <vertAlign val="subscript"/>
        <sz val="11"/>
        <color theme="1"/>
        <rFont val="Calibri"/>
        <family val="2"/>
        <scheme val="minor"/>
      </rPr>
      <t>4</t>
    </r>
    <r>
      <rPr>
        <sz val="11"/>
        <color theme="1"/>
        <rFont val="Calibri"/>
        <family val="2"/>
        <scheme val="minor"/>
      </rPr>
      <t>-Solution</t>
    </r>
  </si>
  <si>
    <t>required evaporation energy</t>
  </si>
  <si>
    <t>evaporates and possibly condenses again</t>
  </si>
  <si>
    <t>no wastewater treatment necessary as it already evaporates in evaporative crystallization</t>
  </si>
  <si>
    <t>Material &amp; Energy Flow Analysis Hydrometallurgy Slag Route 1</t>
  </si>
  <si>
    <t xml:space="preserve">
Battery systems</t>
  </si>
  <si>
    <t>Assumption: Electronic components (module) are completely burned</t>
  </si>
  <si>
    <t>Aluminium foil</t>
  </si>
  <si>
    <t>Losses not taken into account</t>
  </si>
  <si>
    <t>Metal sulfates + silicon</t>
  </si>
  <si>
    <r>
      <t>Silicon (SiO</t>
    </r>
    <r>
      <rPr>
        <vertAlign val="subscript"/>
        <sz val="11"/>
        <color theme="1"/>
        <rFont val="Calibri"/>
        <family val="2"/>
        <scheme val="minor"/>
      </rPr>
      <t>2</t>
    </r>
    <r>
      <rPr>
        <sz val="11"/>
        <color theme="1"/>
        <rFont val="Calibri"/>
        <family val="2"/>
        <scheme val="minor"/>
      </rPr>
      <t>)</t>
    </r>
  </si>
  <si>
    <t>Calcium (CaO)</t>
  </si>
  <si>
    <t>Total Slag</t>
  </si>
  <si>
    <t>Percentage of iron in slag</t>
  </si>
  <si>
    <t>Rest in Alloy</t>
  </si>
  <si>
    <t>Share of lithium in slag</t>
  </si>
  <si>
    <t>Rest in Fly ash</t>
  </si>
  <si>
    <t>Calcium sulfate (gypsum), has to be processed</t>
  </si>
  <si>
    <t>Sand (Mix with gypsum)</t>
  </si>
  <si>
    <t>Precipitation Fe, Al</t>
  </si>
  <si>
    <t>Filtration Fe, Al</t>
  </si>
  <si>
    <r>
      <t>Iron hydroxide Fe(OH)</t>
    </r>
    <r>
      <rPr>
        <vertAlign val="subscript"/>
        <sz val="11"/>
        <color theme="1"/>
        <rFont val="Calibri"/>
        <family val="2"/>
        <scheme val="minor"/>
      </rPr>
      <t>3</t>
    </r>
  </si>
  <si>
    <t>Extraction Mn</t>
  </si>
  <si>
    <t>D2EHPA (Circulation)</t>
  </si>
  <si>
    <t>a: o = 3: 1; overstoichiometric 1.3; 30% D2EHPA</t>
  </si>
  <si>
    <t>D2EHPA compensation loss p.a.)</t>
  </si>
  <si>
    <t>Mn-Solution</t>
  </si>
  <si>
    <t>Assumption: kerosene + extraction agent + manganese sulfate + water content MnSO4</t>
  </si>
  <si>
    <t>Scrubbing Mn</t>
  </si>
  <si>
    <t>Becken</t>
  </si>
  <si>
    <t>Mn solution (circulation)</t>
  </si>
  <si>
    <t>Stripping Mn</t>
  </si>
  <si>
    <t xml:space="preserve">
included in extraction</t>
  </si>
  <si>
    <t>MnSO4-Solution</t>
  </si>
  <si>
    <t>Evaporator</t>
  </si>
  <si>
    <t>Dissolved lithium</t>
  </si>
  <si>
    <t>Assumption: lye = water; Target concentration Li =</t>
  </si>
  <si>
    <t>Concentration Li beforehand</t>
  </si>
  <si>
    <t>g/l</t>
  </si>
  <si>
    <t>1 g/l = 0,001 t/m³</t>
  </si>
  <si>
    <t>Minimum concentration for precipitation (lower limit)</t>
  </si>
  <si>
    <t>Target concentration</t>
  </si>
  <si>
    <t>Target set solution</t>
  </si>
  <si>
    <t>Precipitation Li (90 ° C)</t>
  </si>
  <si>
    <t>Na2CO3 --&gt; Li2CO3</t>
  </si>
  <si>
    <t>Carbonate (CO3)</t>
  </si>
  <si>
    <t>Lithium carbonate (optimum)</t>
  </si>
  <si>
    <t>overstoichiometric, factor</t>
  </si>
  <si>
    <t>Mass [t]</t>
  </si>
  <si>
    <t>Molar mass [g/mol]</t>
  </si>
  <si>
    <t>Molar amount [mol]</t>
  </si>
  <si>
    <t>Rolation ofcarbonate to metall</t>
  </si>
  <si>
    <t>Li</t>
  </si>
  <si>
    <r>
      <t>Li</t>
    </r>
    <r>
      <rPr>
        <vertAlign val="subscript"/>
        <sz val="11"/>
        <color theme="1"/>
        <rFont val="Calibri"/>
        <family val="2"/>
        <scheme val="minor"/>
      </rPr>
      <t>2</t>
    </r>
    <r>
      <rPr>
        <sz val="11"/>
        <color theme="1"/>
        <rFont val="Calibri"/>
        <family val="2"/>
        <scheme val="minor"/>
      </rPr>
      <t>CO</t>
    </r>
    <r>
      <rPr>
        <vertAlign val="subscript"/>
        <sz val="11"/>
        <color theme="1"/>
        <rFont val="Calibri"/>
        <family val="2"/>
        <scheme val="minor"/>
      </rPr>
      <t>3</t>
    </r>
    <r>
      <rPr>
        <sz val="11"/>
        <color theme="1"/>
        <rFont val="Calibri"/>
        <family val="2"/>
        <scheme val="minor"/>
      </rPr>
      <t xml:space="preserve"> (Real, incl. Rec.efficiency) [t]</t>
    </r>
  </si>
  <si>
    <t>Filtration Li</t>
  </si>
  <si>
    <t>Filter</t>
  </si>
  <si>
    <t>including upstream efficiency (86%)</t>
  </si>
  <si>
    <t>Wastewater pretreatment</t>
  </si>
  <si>
    <t>m³/h</t>
  </si>
  <si>
    <t>Assumption: 3 shifts [h]</t>
  </si>
  <si>
    <t>l/ min</t>
  </si>
  <si>
    <t>evaporated and possibly condensed again</t>
  </si>
  <si>
    <t>Reduction of the amount of wastewater by a factor:</t>
  </si>
  <si>
    <t>Plants and aggregates Route 1</t>
  </si>
  <si>
    <t>Capacity</t>
  </si>
  <si>
    <t>Piece p.a</t>
  </si>
  <si>
    <t>Piece. p.h</t>
  </si>
  <si>
    <t>Rest</t>
  </si>
  <si>
    <t>Piece p.h</t>
  </si>
  <si>
    <t>Work days</t>
  </si>
  <si>
    <t>System</t>
  </si>
  <si>
    <t xml:space="preserve">
Capacity unit</t>
  </si>
  <si>
    <t>Price (net)</t>
  </si>
  <si>
    <t>Surcharge factor</t>
  </si>
  <si>
    <t>Sum</t>
  </si>
  <si>
    <t>Scale factor</t>
  </si>
  <si>
    <t>Maintenance rate</t>
  </si>
  <si>
    <t>Annual
maintenance</t>
  </si>
  <si>
    <t>Depreciation
period</t>
  </si>
  <si>
    <t>Depreciation</t>
  </si>
  <si>
    <t>Data Source</t>
  </si>
  <si>
    <t>System container</t>
  </si>
  <si>
    <t xml:space="preserve">LithoRec2 </t>
  </si>
  <si>
    <t>Hazardous material container (F-90)</t>
  </si>
  <si>
    <t>LithoRec2</t>
  </si>
  <si>
    <t>at least one container</t>
  </si>
  <si>
    <t>Unloading place &amp; device</t>
  </si>
  <si>
    <t>8 kWh discharge</t>
  </si>
  <si>
    <t>Disassembly area including tools</t>
  </si>
  <si>
    <t>Pyro</t>
  </si>
  <si>
    <t>Plasma torch, pocket filter, gas scrubbing</t>
  </si>
  <si>
    <t>Granulator (alloy)</t>
  </si>
  <si>
    <t>Granulator (slag)</t>
  </si>
  <si>
    <t xml:space="preserve">
Hydro
alloy</t>
  </si>
  <si>
    <t>Exposure</t>
  </si>
  <si>
    <r>
      <t>m</t>
    </r>
    <r>
      <rPr>
        <vertAlign val="superscript"/>
        <sz val="11"/>
        <color theme="1"/>
        <rFont val="Calibri"/>
        <family val="2"/>
        <scheme val="minor"/>
      </rPr>
      <t>3</t>
    </r>
    <r>
      <rPr>
        <sz val="11"/>
        <color theme="1"/>
        <rFont val="Calibri"/>
        <family val="2"/>
        <scheme val="minor"/>
      </rPr>
      <t>/ h</t>
    </r>
  </si>
  <si>
    <t>Reactor</t>
  </si>
  <si>
    <t>Band filter &lt;50um</t>
  </si>
  <si>
    <t>Precipitation Fe</t>
  </si>
  <si>
    <t>Reaktor</t>
  </si>
  <si>
    <t>Band filter &lt;15um</t>
  </si>
  <si>
    <t>Extraction Co</t>
  </si>
  <si>
    <t xml:space="preserve">Reactor </t>
  </si>
  <si>
    <t>Scrubbing co</t>
  </si>
  <si>
    <t>Evaporation crystallizer</t>
  </si>
  <si>
    <t>t/ h</t>
  </si>
  <si>
    <t xml:space="preserve">
Hydro
slag</t>
  </si>
  <si>
    <t xml:space="preserve">
Digestion (140 ° C)</t>
  </si>
  <si>
    <t>Chamber filter press</t>
  </si>
  <si>
    <t>Band filter</t>
  </si>
  <si>
    <t>Employee route 1</t>
  </si>
  <si>
    <t xml:space="preserve">
Process step</t>
  </si>
  <si>
    <t>Type of staff</t>
  </si>
  <si>
    <t xml:space="preserve">
Quantity</t>
  </si>
  <si>
    <t xml:space="preserve">
Gross employee salary
[EUR / year]</t>
  </si>
  <si>
    <t xml:space="preserve">
Employer social security contributions [%]</t>
  </si>
  <si>
    <t>Administration surcharge [%]</t>
  </si>
  <si>
    <t>Weekend surcharge [%] from 250 days</t>
  </si>
  <si>
    <t xml:space="preserve">
Annual costs per person [EUR]</t>
  </si>
  <si>
    <t xml:space="preserve">
Annual costs personnel group EUR]</t>
  </si>
  <si>
    <t xml:space="preserve">
Cum. Costs per year [EUR / YEAR]</t>
  </si>
  <si>
    <t>Data source, explanation</t>
  </si>
  <si>
    <t>Dismantling specialist</t>
  </si>
  <si>
    <t>Qualified electrician</t>
  </si>
  <si>
    <t>Operating personnel</t>
  </si>
  <si>
    <t>Control room attendant</t>
  </si>
  <si>
    <t>Hydro Alloy</t>
  </si>
  <si>
    <t>Hydro Slag</t>
  </si>
  <si>
    <t>Material &amp; Energy Flow Analysis -  Route 2</t>
  </si>
  <si>
    <t>mechanical processing</t>
  </si>
  <si>
    <t>Contamination in BM in% of the starting mass</t>
  </si>
  <si>
    <t>Tonnen p.a.</t>
  </si>
  <si>
    <t>t/h</t>
  </si>
  <si>
    <t xml:space="preserve">
Aluminum foil</t>
  </si>
  <si>
    <t>Residual energy</t>
  </si>
  <si>
    <t>Working days</t>
  </si>
  <si>
    <t>Days in the year</t>
  </si>
  <si>
    <t xml:space="preserve">
Iron (cell)</t>
  </si>
  <si>
    <t>Working hours</t>
  </si>
  <si>
    <t>Hours per day</t>
  </si>
  <si>
    <t>Menge</t>
  </si>
  <si>
    <t xml:space="preserve">
various alloys, steel, paint</t>
  </si>
  <si>
    <t>2. mechanical processing</t>
  </si>
  <si>
    <t>Assumption: x kg inert gas per kg battery</t>
  </si>
  <si>
    <t>Density N2 [kg / m³]</t>
  </si>
  <si>
    <t>Shredded material</t>
  </si>
  <si>
    <t>Natural gas</t>
  </si>
  <si>
    <t>Electrolyte (g)</t>
  </si>
  <si>
    <t>Exhaust</t>
  </si>
  <si>
    <t>If there is no electrolyte condensation</t>
  </si>
  <si>
    <t>Assumption density (LiPF6):</t>
  </si>
  <si>
    <t>Electrolyte (l)</t>
  </si>
  <si>
    <t>Steel (module)</t>
  </si>
  <si>
    <t>Steel (cell)</t>
  </si>
  <si>
    <t>Impurity in BM</t>
  </si>
  <si>
    <t>Aluminium (module)</t>
  </si>
  <si>
    <t>Plastic (module)</t>
  </si>
  <si>
    <t>Incineration</t>
  </si>
  <si>
    <t>Assumption: plastic; unknown composition (combustion)</t>
  </si>
  <si>
    <t>Copper (module)</t>
  </si>
  <si>
    <t>Schredder 2</t>
  </si>
  <si>
    <t>Assumption: 50% shredder 1</t>
  </si>
  <si>
    <t>Electicity</t>
  </si>
  <si>
    <t>Active material</t>
  </si>
  <si>
    <t>including impurities of Cu, Al, Fe; Sieving efficiency taken into account</t>
  </si>
  <si>
    <t>Light fraction</t>
  </si>
  <si>
    <t>Foils</t>
  </si>
  <si>
    <t>Zig-zag sighting 2</t>
  </si>
  <si>
    <t>Aluminum foil</t>
  </si>
  <si>
    <t>Other (plastics; active material)</t>
  </si>
  <si>
    <t>Other (cell); for incineration</t>
  </si>
  <si>
    <t>Cumulative route 2 total</t>
  </si>
  <si>
    <r>
      <t>Li</t>
    </r>
    <r>
      <rPr>
        <vertAlign val="subscript"/>
        <sz val="11"/>
        <color theme="1"/>
        <rFont val="Calibri"/>
        <family val="2"/>
        <scheme val="minor"/>
      </rPr>
      <t>2</t>
    </r>
    <r>
      <rPr>
        <sz val="11"/>
        <color theme="1"/>
        <rFont val="Calibri"/>
        <family val="2"/>
        <scheme val="minor"/>
      </rPr>
      <t>CO</t>
    </r>
    <r>
      <rPr>
        <vertAlign val="subscript"/>
        <sz val="11"/>
        <color theme="1"/>
        <rFont val="Calibri"/>
        <family val="2"/>
        <scheme val="minor"/>
      </rPr>
      <t>3</t>
    </r>
    <r>
      <rPr>
        <sz val="11"/>
        <color theme="1"/>
        <rFont val="Calibri"/>
        <family val="2"/>
        <scheme val="minor"/>
      </rPr>
      <t xml:space="preserve"> (anhydrous)</t>
    </r>
  </si>
  <si>
    <t>communal</t>
  </si>
  <si>
    <t>Material &amp; Energy Flow Analysis - Hydrometallurgy Route 2</t>
  </si>
  <si>
    <t>Impurities in BM in% of the initial mass</t>
  </si>
  <si>
    <t>Iron (Cell)</t>
  </si>
  <si>
    <t xml:space="preserve">Copper Foil </t>
  </si>
  <si>
    <t>Total Black Mass</t>
  </si>
  <si>
    <t>Batch number [-]</t>
  </si>
  <si>
    <t>Black Mass</t>
  </si>
  <si>
    <t>Metal sulfates + graphite</t>
  </si>
  <si>
    <t>calculated using solubility of sulfates; Safety factor</t>
  </si>
  <si>
    <t>Filtration C</t>
  </si>
  <si>
    <r>
      <t xml:space="preserve">Filter &lt; 10 </t>
    </r>
    <r>
      <rPr>
        <sz val="11"/>
        <color theme="1"/>
        <rFont val="Calibri"/>
        <family val="2"/>
      </rPr>
      <t>µ</t>
    </r>
    <r>
      <rPr>
        <sz val="9.9"/>
        <color theme="1"/>
        <rFont val="Calibri"/>
        <family val="2"/>
      </rPr>
      <t>m</t>
    </r>
  </si>
  <si>
    <t>Graphit</t>
  </si>
  <si>
    <t>Washing C</t>
  </si>
  <si>
    <t>Circulation wash water</t>
  </si>
  <si>
    <t>For 1t graphite: Xt wash water</t>
  </si>
  <si>
    <t>Metal ion contamination &lt;10 mg / kg</t>
  </si>
  <si>
    <t>Assumption: Mol Cu * molar mass ratio Fe / Cu; Iron wool or iron filings; Overstoichiometric</t>
  </si>
  <si>
    <t>Copper (elemental)</t>
  </si>
  <si>
    <t>Precipitation Al + Fe</t>
  </si>
  <si>
    <t>Filtration Al+Fe</t>
  </si>
  <si>
    <t>Aluminum hydroxide Al(OH)3</t>
  </si>
  <si>
    <t>Mass Al * (molar mass Al (OH) 3 / Al)</t>
  </si>
  <si>
    <t>Extraction Co+Ni</t>
  </si>
  <si>
    <t xml:space="preserve">
Kerosene (circulation)</t>
  </si>
  <si>
    <t>a: o = 3: 1; overstoichiometric 1.3; 70% kerosene, Cyanex 301GN consists of 20% kerosene; Total kerosene share</t>
  </si>
  <si>
    <t>Cyanex 301GN (circulation)</t>
  </si>
  <si>
    <t>t per charge</t>
  </si>
  <si>
    <t>a: o = 3: 1; overstoichiometric 1.3; 30% Cyanex, Cyanex 301 GN consists of 80% Cyanex 301, total Cyanex:</t>
  </si>
  <si>
    <t>Cyanex 301GN compensation for loss p.a.</t>
  </si>
  <si>
    <t xml:space="preserve">
Loss p.a.</t>
  </si>
  <si>
    <t>Co-Ni-Solution</t>
  </si>
  <si>
    <t>Assumption: kerosene + Cyanex + cobalt sulfate + water content Co + nickel sulfate + water content Ni</t>
  </si>
  <si>
    <t>continue in Mn extraction</t>
  </si>
  <si>
    <t>Scrubbing Co+Ni</t>
  </si>
  <si>
    <t>Co-Ni solution (circulation)</t>
  </si>
  <si>
    <t>Stripping Co+Ni</t>
  </si>
  <si>
    <t xml:space="preserve">Circulation </t>
  </si>
  <si>
    <t>Kerosene (circulation)</t>
  </si>
  <si>
    <t>Cyanex 272 (circulation)</t>
  </si>
  <si>
    <t xml:space="preserve">
a: o = 3: 1; overstoichiometric 1.3; 30% Cyanex</t>
  </si>
  <si>
    <t>Cyanex 272 compensation loss p.a.</t>
  </si>
  <si>
    <t>Assumption: kerosene + Cyanex + cobalt sulfate + water content cobalt</t>
  </si>
  <si>
    <t>Input - Ni crystallization</t>
  </si>
  <si>
    <t>D2EHPA (circulation)</t>
  </si>
  <si>
    <t xml:space="preserve">
a: o = 3: 1; overstoichiometric 1.3; 30% D2EHPA</t>
  </si>
  <si>
    <t>D2EHPA compensation loss p.a.</t>
  </si>
  <si>
    <t>Assumption: kerosene + D2EHPA + manganese sulfate + water content manganese</t>
  </si>
  <si>
    <r>
      <t>MnSO</t>
    </r>
    <r>
      <rPr>
        <vertAlign val="subscript"/>
        <sz val="11"/>
        <color theme="1"/>
        <rFont val="Calibri"/>
        <family val="2"/>
        <scheme val="minor"/>
      </rPr>
      <t>4</t>
    </r>
    <r>
      <rPr>
        <sz val="11"/>
        <color theme="1"/>
        <rFont val="Calibri"/>
        <family val="2"/>
        <scheme val="minor"/>
      </rPr>
      <t>-Solution</t>
    </r>
  </si>
  <si>
    <t xml:space="preserve">
Concentration Li</t>
  </si>
  <si>
    <t>Amount of dissolved lithium</t>
  </si>
  <si>
    <t xml:space="preserve">
Assumption: lye = water; Target concentration Li =</t>
  </si>
  <si>
    <t>Molar mass [g / mol]</t>
  </si>
  <si>
    <t>ratio of carbonate to metal</t>
  </si>
  <si>
    <t>Molmenge [mol]</t>
  </si>
  <si>
    <t xml:space="preserve">
Molar mass [g / mol]</t>
  </si>
  <si>
    <t>Li2CO3 (Real, incl. Rec efficiency) [t]</t>
  </si>
  <si>
    <t xml:space="preserve">
Filter Li</t>
  </si>
  <si>
    <t>Plants and aggregates Route 2</t>
  </si>
  <si>
    <t>Piece. p.a</t>
  </si>
  <si>
    <t>d</t>
  </si>
  <si>
    <t>Capacity unit</t>
  </si>
  <si>
    <t>Price (nett)</t>
  </si>
  <si>
    <t xml:space="preserve">
Investments</t>
  </si>
  <si>
    <t>Maintenance</t>
  </si>
  <si>
    <t>Source</t>
  </si>
  <si>
    <t xml:space="preserve">
Assumptions</t>
  </si>
  <si>
    <t>Mixing dryer</t>
  </si>
  <si>
    <t>Magnetic separator</t>
  </si>
  <si>
    <t>Aerial sighting</t>
  </si>
  <si>
    <t>Granulator</t>
  </si>
  <si>
    <t>Extraction (DMC and water), solvent cleaning</t>
  </si>
  <si>
    <t>Hydro</t>
  </si>
  <si>
    <t>Sprinkling</t>
  </si>
  <si>
    <t>Cristallisation Ni</t>
  </si>
  <si>
    <t>Cristallisation Co</t>
  </si>
  <si>
    <t>Cristallisation Mn</t>
  </si>
  <si>
    <t>Precipitation Li</t>
  </si>
  <si>
    <t>Process Step</t>
  </si>
  <si>
    <t>Employer social security contributions [%]</t>
  </si>
  <si>
    <t>Annual costs per person [EUR]</t>
  </si>
  <si>
    <t>Annual costs for personnel group [EUR]</t>
  </si>
  <si>
    <t>Cum. Costs per year [EUR / YEAR]</t>
  </si>
  <si>
    <t xml:space="preserve">
Data source, explanation</t>
  </si>
  <si>
    <t>Mechanical processing</t>
  </si>
  <si>
    <t>Material &amp; Energy Flow Analysis -  Route 3</t>
  </si>
  <si>
    <t>Tonnen</t>
  </si>
  <si>
    <t>Stunden</t>
  </si>
  <si>
    <t>kWh / Batterie</t>
  </si>
  <si>
    <t>Working Days</t>
  </si>
  <si>
    <t xml:space="preserve">
Dismantling time</t>
  </si>
  <si>
    <t>Dense oxygen</t>
  </si>
  <si>
    <t>Einheit</t>
  </si>
  <si>
    <t>Natural Gas (CH4)</t>
  </si>
  <si>
    <t>Dismantling till cell</t>
  </si>
  <si>
    <t>various alloys, steel, paint</t>
  </si>
  <si>
    <t>Steel (System)</t>
  </si>
  <si>
    <t xml:space="preserve">
for incineration</t>
  </si>
  <si>
    <t xml:space="preserve">Aluminium  </t>
  </si>
  <si>
    <t>From here module dismantling</t>
  </si>
  <si>
    <t>2. Pyrolysis</t>
  </si>
  <si>
    <t>max. 600°C</t>
  </si>
  <si>
    <t>Battery cells</t>
  </si>
  <si>
    <t>Assumption of density LiPF6 (assuming CO2):</t>
  </si>
  <si>
    <t>3. Mechanical processing</t>
  </si>
  <si>
    <t>Steel (Cells)</t>
  </si>
  <si>
    <t>Other (active material)</t>
  </si>
  <si>
    <t>Has fallen through the sieve (adhering active material)</t>
  </si>
  <si>
    <t>4. Pyrometallurgy</t>
  </si>
  <si>
    <t>Exhaust gases</t>
  </si>
  <si>
    <t>Material &amp; Energy Flow Analysis - Hydrometallurgy Legierung Route 3</t>
  </si>
  <si>
    <t>Iron (Total)</t>
  </si>
  <si>
    <t>Alloy mass total</t>
  </si>
  <si>
    <t>Co-Solution (Circulation)</t>
  </si>
  <si>
    <t>is neglected</t>
  </si>
  <si>
    <t>Cristallsiation Co</t>
  </si>
  <si>
    <t>Material &amp; Energy Flow Analysis Hydrometallurgy Slag Route 3</t>
  </si>
  <si>
    <t>Betriebsmittel</t>
  </si>
  <si>
    <t xml:space="preserve">
Rotary kiln</t>
  </si>
  <si>
    <r>
      <t>Silicium (SiO</t>
    </r>
    <r>
      <rPr>
        <vertAlign val="subscript"/>
        <sz val="11"/>
        <color theme="1"/>
        <rFont val="Calibri"/>
        <family val="2"/>
        <scheme val="minor"/>
      </rPr>
      <t>2</t>
    </r>
    <r>
      <rPr>
        <sz val="11"/>
        <color theme="1"/>
        <rFont val="Calibri"/>
        <family val="2"/>
        <scheme val="minor"/>
      </rPr>
      <t>)</t>
    </r>
  </si>
  <si>
    <t>Slag total</t>
  </si>
  <si>
    <t>Sand (mixture with gypsum)</t>
  </si>
  <si>
    <t xml:space="preserve">
Ratio of carbonate to metal</t>
  </si>
  <si>
    <t>Masse [t]</t>
  </si>
  <si>
    <r>
      <t>Li</t>
    </r>
    <r>
      <rPr>
        <vertAlign val="subscript"/>
        <sz val="11"/>
        <color theme="1"/>
        <rFont val="Calibri"/>
        <family val="2"/>
        <scheme val="minor"/>
      </rPr>
      <t>2</t>
    </r>
    <r>
      <rPr>
        <sz val="11"/>
        <color theme="1"/>
        <rFont val="Calibri"/>
        <family val="2"/>
        <scheme val="minor"/>
      </rPr>
      <t>CO</t>
    </r>
    <r>
      <rPr>
        <vertAlign val="subscript"/>
        <sz val="11"/>
        <color theme="1"/>
        <rFont val="Calibri"/>
        <family val="2"/>
        <scheme val="minor"/>
      </rPr>
      <t>3</t>
    </r>
    <r>
      <rPr>
        <sz val="11"/>
        <color theme="1"/>
        <rFont val="Calibri"/>
        <family val="2"/>
        <scheme val="minor"/>
      </rPr>
      <t xml:space="preserve"> (Real, incl. Rec. Efficiency) [t]</t>
    </r>
  </si>
  <si>
    <t>Plants and aggregates Route 3</t>
  </si>
  <si>
    <t xml:space="preserve">
Depreciation</t>
  </si>
  <si>
    <t>Annahmen</t>
  </si>
  <si>
    <t>Storage (deffective)</t>
  </si>
  <si>
    <t xml:space="preserve">
Mechanical processing</t>
  </si>
  <si>
    <t>Magnetic seperation</t>
  </si>
  <si>
    <t>Blast furnace</t>
  </si>
  <si>
    <t>Blast furnace periphery</t>
  </si>
  <si>
    <t>Gas scrubber</t>
  </si>
  <si>
    <t>Mill</t>
  </si>
  <si>
    <t>Mill (Alloy)</t>
  </si>
  <si>
    <t>Mill (Slag)</t>
  </si>
  <si>
    <t>Band filter  &lt;15um</t>
  </si>
  <si>
    <t>Exposure (140 °C)</t>
  </si>
  <si>
    <t>Filter SiO2, CaSO4</t>
  </si>
  <si>
    <t>Precipitation Li (90°C)</t>
  </si>
  <si>
    <t>Filter Li</t>
  </si>
  <si>
    <t>Staff route 3</t>
  </si>
  <si>
    <t>Number</t>
  </si>
  <si>
    <t>Gross employee salary
[EUR / year]</t>
  </si>
  <si>
    <t>Energy requirement calculation - basis for MEFA</t>
  </si>
  <si>
    <t xml:space="preserve">System </t>
  </si>
  <si>
    <t>Connected load [kW]</t>
  </si>
  <si>
    <t>Surcharge factor (periphery)</t>
  </si>
  <si>
    <t>Total power [kW]</t>
  </si>
  <si>
    <t>required capacity</t>
  </si>
  <si>
    <t>Degression coefficient</t>
  </si>
  <si>
    <t>Total performance according to degression
[kW]</t>
  </si>
  <si>
    <t>Throughput per year</t>
  </si>
  <si>
    <t>Maximum annual hours [h / a]</t>
  </si>
  <si>
    <t>Annual energy demand
[kWh / a]
[kWh/a]</t>
  </si>
  <si>
    <t>Batch time [h]</t>
  </si>
  <si>
    <t>Number of batches per year</t>
  </si>
  <si>
    <t>Industrial truck</t>
  </si>
  <si>
    <t>Unloading place and device</t>
  </si>
  <si>
    <t>Disassembly place and tools</t>
  </si>
  <si>
    <t>Blast Furnance</t>
  </si>
  <si>
    <t>Blast furnance periphery</t>
  </si>
  <si>
    <t>Loesche LM15.2</t>
  </si>
  <si>
    <t>Evaporation crystallisator</t>
  </si>
  <si>
    <t>Approx. Phys. Optimum (see below)</t>
  </si>
  <si>
    <t>Filter Fe, Al</t>
  </si>
  <si>
    <t>Prozess step</t>
  </si>
  <si>
    <t>Process/ Apparatus</t>
  </si>
  <si>
    <t>Degression</t>
  </si>
  <si>
    <t>Unlaoding place and device</t>
  </si>
  <si>
    <t>Cutting mill</t>
  </si>
  <si>
    <t>Dry</t>
  </si>
  <si>
    <t>Waste gas cleaning</t>
  </si>
  <si>
    <t>Zigzag sighting 1</t>
  </si>
  <si>
    <t>50% power of Shredder 1</t>
  </si>
  <si>
    <t>Zigzag sighting 2</t>
  </si>
  <si>
    <t>Surface capacitor</t>
  </si>
  <si>
    <t>Filtration &lt;10um</t>
  </si>
  <si>
    <t>Filtration Cu &lt;50um</t>
  </si>
  <si>
    <t>Precipitation Al+Fe</t>
  </si>
  <si>
    <t>Filtration &lt;15um</t>
  </si>
  <si>
    <t xml:space="preserve">
Process / apparatus</t>
  </si>
  <si>
    <t>Total performance according to degression</t>
  </si>
  <si>
    <t>Annual energy demand
[kWh / a]</t>
  </si>
  <si>
    <t>50% longer process duration if disassembled to cell level</t>
  </si>
  <si>
    <t>Pyrolyse</t>
  </si>
  <si>
    <t>Densitiy of battery cell 2500 kg/m3; Linear increase of energy compared to temparature</t>
  </si>
  <si>
    <t>Reference offer, Outotec Lacrox FFP 1516</t>
  </si>
  <si>
    <t>Evaporation crystallisor</t>
  </si>
  <si>
    <t>Approximations</t>
  </si>
  <si>
    <t xml:space="preserve">
General material values ​​and formulas</t>
  </si>
  <si>
    <t>Heat capacity H2SO4 (c)</t>
  </si>
  <si>
    <t>kJ/ kg*K</t>
  </si>
  <si>
    <t xml:space="preserve">
Assumption: solution = 100% H2SO4</t>
  </si>
  <si>
    <t>Heating the solution</t>
  </si>
  <si>
    <r>
      <t>Q= c*m*</t>
    </r>
    <r>
      <rPr>
        <sz val="11"/>
        <color theme="1"/>
        <rFont val="Calibri"/>
        <family val="2"/>
      </rPr>
      <t>Δ</t>
    </r>
    <r>
      <rPr>
        <sz val="9.9"/>
        <color theme="1"/>
        <rFont val="Calibri"/>
        <family val="2"/>
      </rPr>
      <t>T</t>
    </r>
  </si>
  <si>
    <t>kJ</t>
  </si>
  <si>
    <t>spec. Heat of evaporation q</t>
  </si>
  <si>
    <t>kJ/ kg</t>
  </si>
  <si>
    <t xml:space="preserve">
Assumption: solution = 100% water</t>
  </si>
  <si>
    <t>Evaporation of water</t>
  </si>
  <si>
    <t>Q=q*m</t>
  </si>
  <si>
    <t xml:space="preserve">
Exposure</t>
  </si>
  <si>
    <t>Temperatur Input</t>
  </si>
  <si>
    <t>°C</t>
  </si>
  <si>
    <t>Target temperature</t>
  </si>
  <si>
    <t>Q (Route 1, Alloy)</t>
  </si>
  <si>
    <t>MJ p.a.</t>
  </si>
  <si>
    <t>Q (Route 1, Slag)</t>
  </si>
  <si>
    <t>Q (Route 2)</t>
  </si>
  <si>
    <t>Cristallisation</t>
  </si>
  <si>
    <t>Q (Nickel, Route 1 Alloy)</t>
  </si>
  <si>
    <t>Q (Cobalt, Route 1 Alloy)</t>
  </si>
  <si>
    <t>Q (Manganese, Route 1, Slag)</t>
  </si>
  <si>
    <t>Q (Nickel, Route 2)</t>
  </si>
  <si>
    <t>Q (Cobalt, Route 2)</t>
  </si>
  <si>
    <t>Q (Manganese, Route 2)</t>
  </si>
  <si>
    <t>Q (Nickel, Route 3, Alloy)</t>
  </si>
  <si>
    <t>Q (Cobalt, Route 3, Alloy)</t>
  </si>
  <si>
    <t>Q (Manganese, Route 3, Slag)</t>
  </si>
  <si>
    <t>Concentration of lithium</t>
  </si>
  <si>
    <t>Q (Route 3, Slag)</t>
  </si>
  <si>
    <t>no Li concentration necessary</t>
  </si>
  <si>
    <t xml:space="preserve">
Concentration of wastewater</t>
  </si>
  <si>
    <t xml:space="preserve">
Electrolyte recovery</t>
  </si>
  <si>
    <t xml:space="preserve">
Surface capacitor</t>
  </si>
  <si>
    <t>Temperature steam</t>
  </si>
  <si>
    <t>Condensate temperature</t>
  </si>
  <si>
    <t>Molar enthalpy of vaporization</t>
  </si>
  <si>
    <t>kJ/mol</t>
  </si>
  <si>
    <t>Molar mass water</t>
  </si>
  <si>
    <t>kg/mol</t>
  </si>
  <si>
    <t>specific enthalpy of vaporization steam</t>
  </si>
  <si>
    <t>kJ/kg</t>
  </si>
  <si>
    <t>specific enthalpy of evaporation condensate</t>
  </si>
  <si>
    <t>Mass flow of steam (link to the model)</t>
  </si>
  <si>
    <t>ton</t>
  </si>
  <si>
    <t>Heat to be dissipated</t>
  </si>
  <si>
    <t>MJ</t>
  </si>
  <si>
    <t>Efficiency</t>
  </si>
  <si>
    <t>Stoichiometry Route 1</t>
  </si>
  <si>
    <t>Alloy:</t>
  </si>
  <si>
    <t>Source: GESTIS substance database</t>
  </si>
  <si>
    <t>https://www.dguv.de/ifa/gestis/gestis-stoffdatenbank/index-2.jsp</t>
  </si>
  <si>
    <t>Fraction</t>
  </si>
  <si>
    <t>Density [g /cm³]</t>
  </si>
  <si>
    <t>Molar mass [g /mol]</t>
  </si>
  <si>
    <t>Parts of metal: parts of sulphate</t>
  </si>
  <si>
    <t>Solubility in water at T = 20 ° C (standard)</t>
  </si>
  <si>
    <t>1:1</t>
  </si>
  <si>
    <t>Cobalt sulfate</t>
  </si>
  <si>
    <t>kg/m³</t>
  </si>
  <si>
    <t>Nickel sulfate</t>
  </si>
  <si>
    <t>Manganese sulfate</t>
  </si>
  <si>
    <t>Lithium sulfate</t>
  </si>
  <si>
    <t>Copper sulfate</t>
  </si>
  <si>
    <t>Iron sulfate</t>
  </si>
  <si>
    <t>-SO4</t>
  </si>
  <si>
    <t>Aluminium sulfate</t>
  </si>
  <si>
    <t>H2SO4</t>
  </si>
  <si>
    <t>Nickel sulfate (NiSO4)</t>
  </si>
  <si>
    <t>1 Mol A + 1 Mol B= 1 Mol C</t>
  </si>
  <si>
    <t>Cobalt sulfate (CoSO4)</t>
  </si>
  <si>
    <t>Copper sulfate (CuSO4)</t>
  </si>
  <si>
    <t>Iron sulfate (FeSO4)</t>
  </si>
  <si>
    <t>Solution (approximate)</t>
  </si>
  <si>
    <r>
      <t>Fe(OH)</t>
    </r>
    <r>
      <rPr>
        <vertAlign val="subscript"/>
        <sz val="11"/>
        <color theme="1"/>
        <rFont val="Calibri"/>
        <family val="2"/>
        <scheme val="minor"/>
      </rPr>
      <t>3</t>
    </r>
  </si>
  <si>
    <t>Sodium hydroxide (100% for hydroxide formation of Al + Fe)</t>
  </si>
  <si>
    <t>1:3</t>
  </si>
  <si>
    <t>Kerosene (mean)</t>
  </si>
  <si>
    <t>Water content (nickel sulfate)</t>
  </si>
  <si>
    <t>6:1</t>
  </si>
  <si>
    <t>Water content (cobalt sulfate)</t>
  </si>
  <si>
    <t>7:1</t>
  </si>
  <si>
    <t>Slag:</t>
  </si>
  <si>
    <t>2:3</t>
  </si>
  <si>
    <t>2:1</t>
  </si>
  <si>
    <t>Calcium</t>
  </si>
  <si>
    <t>Calcium oxide (CaO)</t>
  </si>
  <si>
    <t>Silicon dioxide (SiO2)</t>
  </si>
  <si>
    <t>insoluble</t>
  </si>
  <si>
    <t>Aluminum sulfate (Al2 (SO4) 3)</t>
  </si>
  <si>
    <t>Manganese Sulphate (MnSO4)</t>
  </si>
  <si>
    <t xml:space="preserve">
Lithium sulfate (Li2SO4)</t>
  </si>
  <si>
    <t>Calcium sulfate (CaSO4)</t>
  </si>
  <si>
    <t>practically insoluble</t>
  </si>
  <si>
    <t>Silicon (mean)</t>
  </si>
  <si>
    <r>
      <t>Al(OH)</t>
    </r>
    <r>
      <rPr>
        <vertAlign val="subscript"/>
        <sz val="11"/>
        <color theme="1"/>
        <rFont val="Calibri"/>
        <family val="2"/>
        <scheme val="minor"/>
      </rPr>
      <t>3</t>
    </r>
  </si>
  <si>
    <r>
      <t>Ca(OH)</t>
    </r>
    <r>
      <rPr>
        <vertAlign val="subscript"/>
        <sz val="11"/>
        <color theme="1"/>
        <rFont val="Calibri"/>
        <family val="2"/>
        <scheme val="minor"/>
      </rPr>
      <t>2</t>
    </r>
  </si>
  <si>
    <t>Sodium hydroxide (100% for hydroxide formation of Al, Fe, Ca)</t>
  </si>
  <si>
    <t>1:3 bzw. 1:2</t>
  </si>
  <si>
    <t>Water content (manganese sulfate)</t>
  </si>
  <si>
    <t>Stoichiometry Route 2</t>
  </si>
  <si>
    <t>Lithium sulfate (Li2SO4)</t>
  </si>
  <si>
    <t>Graphite (Average)</t>
  </si>
  <si>
    <t>Stoichiometry Route 3</t>
  </si>
  <si>
    <t>Coper sulfate (CuSO4)</t>
  </si>
  <si>
    <t>Water content (Nickel sulfate)</t>
  </si>
  <si>
    <t>Water content (Kobalt sulfate)</t>
  </si>
  <si>
    <t>Silicium dioxide (SiO2)</t>
  </si>
  <si>
    <r>
      <t>Aluminium sulfate (Al</t>
    </r>
    <r>
      <rPr>
        <vertAlign val="subscript"/>
        <sz val="11"/>
        <color theme="1"/>
        <rFont val="Calibri"/>
        <family val="2"/>
        <scheme val="minor"/>
      </rPr>
      <t>2</t>
    </r>
    <r>
      <rPr>
        <sz val="11"/>
        <color theme="1"/>
        <rFont val="Calibri"/>
        <family val="2"/>
        <scheme val="minor"/>
      </rPr>
      <t>(SO4)</t>
    </r>
    <r>
      <rPr>
        <vertAlign val="subscript"/>
        <sz val="11"/>
        <color theme="1"/>
        <rFont val="Calibri"/>
        <family val="2"/>
        <scheme val="minor"/>
      </rPr>
      <t>3</t>
    </r>
    <r>
      <rPr>
        <sz val="11"/>
        <color theme="1"/>
        <rFont val="Calibri"/>
        <family val="2"/>
        <scheme val="minor"/>
      </rPr>
      <t>)</t>
    </r>
  </si>
  <si>
    <t>Manganese sulfate (MnSO4)</t>
  </si>
  <si>
    <r>
      <t>Lithium sulfate (Li</t>
    </r>
    <r>
      <rPr>
        <vertAlign val="subscript"/>
        <sz val="11"/>
        <color theme="1"/>
        <rFont val="Calibri"/>
        <family val="2"/>
        <scheme val="minor"/>
      </rPr>
      <t>2</t>
    </r>
    <r>
      <rPr>
        <sz val="11"/>
        <color theme="1"/>
        <rFont val="Calibri"/>
        <family val="2"/>
        <scheme val="minor"/>
      </rPr>
      <t>SO4)</t>
    </r>
  </si>
  <si>
    <t>Calculation of the CO2 equivalents for various substances based on the Ecoinvent 3.8 database</t>
  </si>
  <si>
    <t>Calculation with: IPCC 2013 - Climate change, GWP 100a</t>
  </si>
  <si>
    <t>Product</t>
  </si>
  <si>
    <t>(Recycling) process</t>
  </si>
  <si>
    <t>potentielle Gutschrift</t>
  </si>
  <si>
    <t>Ecoinvent process</t>
  </si>
  <si>
    <t>customizable kg CO2 equivalent / kg product</t>
  </si>
  <si>
    <t>kg CO2 equivalent / kg product Standard (Ecoinvent)</t>
  </si>
  <si>
    <t xml:space="preserve">
Annotation</t>
  </si>
  <si>
    <t>Process water</t>
  </si>
  <si>
    <t>market for tap water [Europe without Switzerland]</t>
  </si>
  <si>
    <t>Exposure, stripping</t>
  </si>
  <si>
    <t>sulfuric acid production [RER]</t>
  </si>
  <si>
    <t>Precipitation</t>
  </si>
  <si>
    <t>sodium hydroxide to generic market for neutralising agent [GLO]</t>
  </si>
  <si>
    <t>market for hydrogen peroxide, without water, in 50% solution state [RER]</t>
  </si>
  <si>
    <t>Extraction</t>
  </si>
  <si>
    <t>market for kerosene [Europe without Switzerland]</t>
  </si>
  <si>
    <t>Nitrogen, liquid (inert gas)</t>
  </si>
  <si>
    <t>market for nitrogen, liquid [RER]</t>
  </si>
  <si>
    <t>org. Solvent; Cyanex 272, 301GN, D2EHPA</t>
  </si>
  <si>
    <t>Solvent production, organic [GLO]</t>
  </si>
  <si>
    <t>Aluminum hydroxide</t>
  </si>
  <si>
    <t>Hydrometallurgy</t>
  </si>
  <si>
    <t>market for aluminium hydroxide [GLO]</t>
  </si>
  <si>
    <t>Al2(OH)3</t>
  </si>
  <si>
    <t>Copper production</t>
  </si>
  <si>
    <t>copper production, primary [RER]</t>
  </si>
  <si>
    <t>Graphite production</t>
  </si>
  <si>
    <t>graphite production, battery grade [RoW]</t>
  </si>
  <si>
    <t>Manganese sulphate production</t>
  </si>
  <si>
    <t>market for manganese sulfate [GLO]</t>
  </si>
  <si>
    <t>Production of nickel sulphate</t>
  </si>
  <si>
    <t>market for nickel sulfate [GLO]</t>
  </si>
  <si>
    <t xml:space="preserve">Nickel </t>
  </si>
  <si>
    <t>Nickel production</t>
  </si>
  <si>
    <t>market for nickel, 99.5% [GLO]</t>
  </si>
  <si>
    <t>see nickel sulfate</t>
  </si>
  <si>
    <t>Production of cobalt sulphate</t>
  </si>
  <si>
    <t>market for cobalt [GLO]</t>
  </si>
  <si>
    <t>Lithium carbonate</t>
  </si>
  <si>
    <t>Production of lithium carbonate</t>
  </si>
  <si>
    <t>market for lithium carbonate [GLO]</t>
  </si>
  <si>
    <t>Heat from natural gas</t>
  </si>
  <si>
    <t>Natural gas combustion</t>
  </si>
  <si>
    <t>heat production, natural gas, at industrial furnace &gt;100kW [Europe without Switzerland]</t>
  </si>
  <si>
    <t xml:space="preserve">
/ m³ natural gas</t>
  </si>
  <si>
    <t>Exhaust pyrometallurgy</t>
  </si>
  <si>
    <t>Incineration of plastics etc.</t>
  </si>
  <si>
    <t>market for process-specific burdens, municipal waste incineration [RoW]</t>
  </si>
  <si>
    <t>/kg (nicht m³); über Energiebedarf der Aufbereitung im Tool abgedeckt</t>
  </si>
  <si>
    <t>Polypropylene granulate (PP)</t>
  </si>
  <si>
    <t>PP production</t>
  </si>
  <si>
    <t>market for polypropylene, granulate [GLO]</t>
  </si>
  <si>
    <t>Iron making</t>
  </si>
  <si>
    <t>pig iron production [GLO]</t>
  </si>
  <si>
    <t>Fe2(OH)3 N/A; Estimated by ratio Al to Al2(OH)3 (1.741 kg CO2-eq. / 9.98) see Al2OH3</t>
  </si>
  <si>
    <t>Primary aluminum, ingots</t>
  </si>
  <si>
    <t>Melting + pouring</t>
  </si>
  <si>
    <t>aluminium production, primary, ingot [IAI Area, EU27 &amp; EFTA]</t>
  </si>
  <si>
    <t>Cable recycling</t>
  </si>
  <si>
    <t>Treatment cable</t>
  </si>
  <si>
    <t>treatment of waste electric wiring, collection for final disposal [CH]</t>
  </si>
  <si>
    <t>Cable scrap</t>
  </si>
  <si>
    <t>market for used cable [GLO]</t>
  </si>
  <si>
    <t>see treatment cables</t>
  </si>
  <si>
    <t>Recycling control units (electronic products)</t>
  </si>
  <si>
    <t>Treatment of electronic components</t>
  </si>
  <si>
    <t>treatment of electronics scrap from control units [RER]</t>
  </si>
  <si>
    <t>same</t>
  </si>
  <si>
    <t>Electronic scrap, control units</t>
  </si>
  <si>
    <t>market for electronics scrap from control units [GLO]</t>
  </si>
  <si>
    <t>Incineration of hazardous waste</t>
  </si>
  <si>
    <t>Waste incineration</t>
  </si>
  <si>
    <t>treatment of hazardous waste, hazardous waste incineration [Europe without Switzerland]</t>
  </si>
  <si>
    <t>Industrial wastewater (electrical industry)</t>
  </si>
  <si>
    <t>Treatment of industrial wastewater</t>
  </si>
  <si>
    <t>treatment of wastewater from wafer fabrication, capacity 1.1E10l/year [CH]</t>
  </si>
  <si>
    <t>m³ (assumption m³ = t)</t>
  </si>
  <si>
    <t>Limestone production</t>
  </si>
  <si>
    <t>limestone production, crushed, washed [CH]</t>
  </si>
  <si>
    <t>Quartz sand (Silicon)</t>
  </si>
  <si>
    <t>Quartz sand production</t>
  </si>
  <si>
    <t>silica sand production [DE]</t>
  </si>
  <si>
    <t>Sodium carbonate (soda)</t>
  </si>
  <si>
    <t>Production of sodium carbonate</t>
  </si>
  <si>
    <t>soda production, solvay process [RER]</t>
  </si>
  <si>
    <t>Assumption: also for sodium hydrogen carbonate</t>
  </si>
  <si>
    <t>Wastewater treatment</t>
  </si>
  <si>
    <t>treatment of wastewater, average, capacity 1E9l/year [Europe without Switzerland]</t>
  </si>
  <si>
    <t>Production of electrolyte</t>
  </si>
  <si>
    <t>lithium hexafluorophosphate production [RoW]</t>
  </si>
  <si>
    <t>Oxygen, liquid</t>
  </si>
  <si>
    <t>Oxygen production</t>
  </si>
  <si>
    <t>market for oxygen, liquid [RER]</t>
  </si>
  <si>
    <t>Calcium sulfate (gypsum)</t>
  </si>
  <si>
    <t>Treatment plaster</t>
  </si>
  <si>
    <t>market for waste gypsum [Europe without Switzerland]</t>
  </si>
  <si>
    <t>Electricity, Germany, 2020</t>
  </si>
  <si>
    <t>Power generation</t>
  </si>
  <si>
    <t>German Environmental Agency (UBA), specif. CO2-Emission factor in the German electricity mix</t>
  </si>
  <si>
    <t>g/ kWh</t>
  </si>
  <si>
    <t>Energy mix scenario (2020)</t>
  </si>
  <si>
    <t>Source:</t>
  </si>
  <si>
    <t>Reference value 2020 (UBA)</t>
  </si>
  <si>
    <t>Custom (Macro Level)</t>
  </si>
  <si>
    <t>Recycling efficiencies</t>
  </si>
  <si>
    <t>A potential reduction of the process efficiency of the hydrometallurgical due to complex material creation in the pyrometallurgy is not considered</t>
  </si>
  <si>
    <t>upstream</t>
  </si>
  <si>
    <t>total</t>
  </si>
  <si>
    <t>Dissasembly Total</t>
  </si>
  <si>
    <t>Pyrometallurgy alloy:</t>
  </si>
  <si>
    <t>Umicore Patent US 8,840,702 B2</t>
  </si>
  <si>
    <t>Selectivity alloy / slag</t>
  </si>
  <si>
    <t>Iron alloy+slag (A+S)</t>
  </si>
  <si>
    <t>Recoverable in alloy and slag</t>
  </si>
  <si>
    <t>Pyrometallurgy slag:</t>
  </si>
  <si>
    <t>Rest in fly ash (loss)</t>
  </si>
  <si>
    <t>Iron (A+S)</t>
  </si>
  <si>
    <t>Limestone CaO</t>
  </si>
  <si>
    <t>Slag generator</t>
  </si>
  <si>
    <t>Quartz sand / silicon (SiO2)</t>
  </si>
  <si>
    <t>Hydrometallurgy alloy:</t>
  </si>
  <si>
    <t>Cementation / filtering</t>
  </si>
  <si>
    <t>Cu</t>
  </si>
  <si>
    <t>Precipitation / Filtering Fe</t>
  </si>
  <si>
    <t>Fe</t>
  </si>
  <si>
    <t>Co + Ni extraction</t>
  </si>
  <si>
    <t>LithoRec_II_Final_Report(2016) p.46</t>
  </si>
  <si>
    <t>Co</t>
  </si>
  <si>
    <t>Critallization Ni</t>
  </si>
  <si>
    <t>Ni</t>
  </si>
  <si>
    <t>Hydrometallurgy slag:</t>
  </si>
  <si>
    <t>CaSO4</t>
  </si>
  <si>
    <t>SiO2</t>
  </si>
  <si>
    <t>Precipitation / Filtering Al</t>
  </si>
  <si>
    <t>Al</t>
  </si>
  <si>
    <t>Mn</t>
  </si>
  <si>
    <t>Precipitation / filtering Li</t>
  </si>
  <si>
    <t>Expert estimate</t>
  </si>
  <si>
    <t>LithoRec_II_Final_Report(2016) p.173</t>
  </si>
  <si>
    <t>Evaporation + condensation</t>
  </si>
  <si>
    <t>Zigzag 1, Aluminum</t>
  </si>
  <si>
    <t>Zigzag 1, Plastic</t>
  </si>
  <si>
    <t>Including electronic components</t>
  </si>
  <si>
    <t>Sieving efficiency (for hydrometallurgy)</t>
  </si>
  <si>
    <t>Zigzag 2, Copper foil</t>
  </si>
  <si>
    <t>Zigzag 2, Aluminum foil</t>
  </si>
  <si>
    <t>Zigzag 2, Plastic film</t>
  </si>
  <si>
    <t>Filter / washing</t>
  </si>
  <si>
    <t>Assumption (purer than Route 1)</t>
  </si>
  <si>
    <t>Precipitation / Filtering Li</t>
  </si>
  <si>
    <t>Disassembly Total</t>
  </si>
  <si>
    <t>Filter general</t>
  </si>
  <si>
    <t>Filter Cobalt</t>
  </si>
  <si>
    <t>Accurec BATTERY RECYCLING DATASHEET</t>
  </si>
  <si>
    <t>Filter Nickel</t>
  </si>
  <si>
    <t>Filter Graphite</t>
  </si>
  <si>
    <t>Zigzag, Copper foil</t>
  </si>
  <si>
    <t>Zigzag, Aluminum foil</t>
  </si>
  <si>
    <t>Zigzag, Plastic film</t>
  </si>
  <si>
    <t>Umicore Patent US 8,840,702 B2; Accurce battery recycling datasheet</t>
  </si>
  <si>
    <t>Quartz sand SiO2</t>
  </si>
  <si>
    <t>Substitution factors for recycled material versus primary material</t>
  </si>
  <si>
    <t>Recycled Material</t>
  </si>
  <si>
    <t>Substituted primary material</t>
  </si>
  <si>
    <t>Substitution factor material</t>
  </si>
  <si>
    <t>Except 'cable' all materials/fractions have 1.0 as a default substitution factor. The factor reflects how much primary material is substituted by secondary material and considers secondary material quality. The factor can be varied between 0-1 (0%-100%)</t>
  </si>
  <si>
    <t xml:space="preserve">Aluminium </t>
  </si>
  <si>
    <t>Primary aluminum</t>
  </si>
  <si>
    <t>Kupfer</t>
  </si>
  <si>
    <t>Ecoinvent</t>
  </si>
  <si>
    <t>Plastic (PP)</t>
  </si>
  <si>
    <t>Hydro-metallurgy alloy</t>
  </si>
  <si>
    <t xml:space="preserve">
Copper (elemental)</t>
  </si>
  <si>
    <t>Iron hydroxide</t>
  </si>
  <si>
    <r>
      <t>NiSO</t>
    </r>
    <r>
      <rPr>
        <b/>
        <vertAlign val="subscript"/>
        <sz val="11"/>
        <color theme="1"/>
        <rFont val="Calibri"/>
        <family val="2"/>
        <scheme val="minor"/>
      </rPr>
      <t>4</t>
    </r>
    <r>
      <rPr>
        <b/>
        <sz val="11"/>
        <color theme="1"/>
        <rFont val="Calibri"/>
        <family val="2"/>
        <scheme val="minor"/>
      </rPr>
      <t xml:space="preserve"> * 6 H</t>
    </r>
    <r>
      <rPr>
        <b/>
        <vertAlign val="subscript"/>
        <sz val="11"/>
        <color theme="1"/>
        <rFont val="Calibri"/>
        <family val="2"/>
        <scheme val="minor"/>
      </rPr>
      <t>2</t>
    </r>
    <r>
      <rPr>
        <b/>
        <sz val="11"/>
        <color theme="1"/>
        <rFont val="Calibri"/>
        <family val="2"/>
        <scheme val="minor"/>
      </rPr>
      <t>O</t>
    </r>
  </si>
  <si>
    <r>
      <t>CoSO</t>
    </r>
    <r>
      <rPr>
        <b/>
        <vertAlign val="subscript"/>
        <sz val="11"/>
        <color theme="1"/>
        <rFont val="Calibri"/>
        <family val="2"/>
        <scheme val="minor"/>
      </rPr>
      <t>4</t>
    </r>
    <r>
      <rPr>
        <b/>
        <sz val="11"/>
        <color theme="1"/>
        <rFont val="Calibri"/>
        <family val="2"/>
        <scheme val="minor"/>
      </rPr>
      <t xml:space="preserve"> * 7 H</t>
    </r>
    <r>
      <rPr>
        <b/>
        <vertAlign val="subscript"/>
        <sz val="11"/>
        <color theme="1"/>
        <rFont val="Calibri"/>
        <family val="2"/>
        <scheme val="minor"/>
      </rPr>
      <t>2</t>
    </r>
    <r>
      <rPr>
        <b/>
        <sz val="11"/>
        <color theme="1"/>
        <rFont val="Calibri"/>
        <family val="2"/>
        <scheme val="minor"/>
      </rPr>
      <t>O</t>
    </r>
  </si>
  <si>
    <t>Hydrometallurgy slag</t>
  </si>
  <si>
    <t xml:space="preserve">
Calcium sulfate (gypsum)</t>
  </si>
  <si>
    <t>Silicon dioxide (quartz sand)</t>
  </si>
  <si>
    <t>Quartz sand / Silicon</t>
  </si>
  <si>
    <t>Iron hydroxide (mixture)</t>
  </si>
  <si>
    <t>Aluminum hydroxide (mixture)</t>
  </si>
  <si>
    <r>
      <t>MnSO</t>
    </r>
    <r>
      <rPr>
        <b/>
        <vertAlign val="subscript"/>
        <sz val="11"/>
        <color theme="1"/>
        <rFont val="Calibri"/>
        <family val="2"/>
        <scheme val="minor"/>
      </rPr>
      <t xml:space="preserve">4 </t>
    </r>
    <r>
      <rPr>
        <b/>
        <sz val="11"/>
        <color theme="1"/>
        <rFont val="Calibri"/>
        <family val="2"/>
        <scheme val="minor"/>
      </rPr>
      <t>* H</t>
    </r>
    <r>
      <rPr>
        <b/>
        <vertAlign val="subscript"/>
        <sz val="11"/>
        <color theme="1"/>
        <rFont val="Calibri"/>
        <family val="2"/>
        <scheme val="minor"/>
      </rPr>
      <t>2</t>
    </r>
    <r>
      <rPr>
        <b/>
        <sz val="11"/>
        <color theme="1"/>
        <rFont val="Calibri"/>
        <family val="2"/>
        <scheme val="minor"/>
      </rPr>
      <t>O</t>
    </r>
  </si>
  <si>
    <r>
      <t>Li</t>
    </r>
    <r>
      <rPr>
        <b/>
        <vertAlign val="subscript"/>
        <sz val="11"/>
        <color theme="1"/>
        <rFont val="Calibri"/>
        <family val="2"/>
        <scheme val="minor"/>
      </rPr>
      <t>2</t>
    </r>
    <r>
      <rPr>
        <b/>
        <sz val="11"/>
        <color theme="1"/>
        <rFont val="Calibri"/>
        <family val="2"/>
        <scheme val="minor"/>
      </rPr>
      <t>CO</t>
    </r>
    <r>
      <rPr>
        <b/>
        <vertAlign val="subscript"/>
        <sz val="11"/>
        <color theme="1"/>
        <rFont val="Calibri"/>
        <family val="2"/>
        <scheme val="minor"/>
      </rPr>
      <t>3</t>
    </r>
    <r>
      <rPr>
        <b/>
        <sz val="11"/>
        <color theme="1"/>
        <rFont val="Calibri"/>
        <family val="2"/>
        <scheme val="minor"/>
      </rPr>
      <t xml:space="preserve"> (anhydrous)</t>
    </r>
  </si>
  <si>
    <t>Aluminum foil primarily</t>
  </si>
  <si>
    <t>Copper foil primary</t>
  </si>
  <si>
    <t>Plastic (rest)</t>
  </si>
  <si>
    <t>Pouch opening and washing</t>
  </si>
  <si>
    <t>Cathode</t>
  </si>
  <si>
    <t>Other (cell)</t>
  </si>
  <si>
    <t>Scenarios</t>
  </si>
  <si>
    <t>Capacities</t>
  </si>
  <si>
    <t>Layers rest</t>
  </si>
  <si>
    <t>Layers disassembly</t>
  </si>
  <si>
    <t>Useful life</t>
  </si>
  <si>
    <t>Default (5 years)</t>
  </si>
  <si>
    <t>Average</t>
  </si>
  <si>
    <t>Custom</t>
  </si>
  <si>
    <t>Sieving</t>
  </si>
  <si>
    <t>Digestion (slag)</t>
  </si>
  <si>
    <t>Leaching (slag)</t>
  </si>
  <si>
    <t>Filter SiO2, CaSO4 (slag)</t>
  </si>
  <si>
    <t>Precipitation Fe, Al (slag)</t>
  </si>
  <si>
    <t>Filtration Fe, Al (slag)</t>
  </si>
  <si>
    <t>Extraction Mn (slag)</t>
  </si>
  <si>
    <t>Scrubbing Mn (slag)</t>
  </si>
  <si>
    <t>Stripping Mn (slag)</t>
  </si>
  <si>
    <t>Cristallisation Mn (slag)</t>
  </si>
  <si>
    <t>Precipitation Li (slag)</t>
  </si>
  <si>
    <t>Filtration Li (slag)</t>
  </si>
  <si>
    <t>Unloading</t>
  </si>
  <si>
    <t>Filtration SiO2, CaSO4 (slag)</t>
  </si>
  <si>
    <t>Crystallization Mn (slag)</t>
  </si>
  <si>
    <t>Precipitation, Filtration Li (slag)</t>
  </si>
  <si>
    <t>Precipitation, filtration Fe</t>
  </si>
  <si>
    <t>Effort</t>
  </si>
  <si>
    <t>Concentration Li (slag)</t>
  </si>
  <si>
    <t>Extraction Co + Ni</t>
  </si>
  <si>
    <t>Sieve</t>
  </si>
  <si>
    <t>Aluminum</t>
  </si>
  <si>
    <t>Aluminum (foil)</t>
  </si>
  <si>
    <t>Copper (foil)</t>
  </si>
  <si>
    <t>DOI: 10.5281/zenodo.6342833</t>
  </si>
  <si>
    <t>batteries/ h</t>
  </si>
  <si>
    <t>batteries</t>
  </si>
  <si>
    <t>t. batteries/ h</t>
  </si>
  <si>
    <t>1 day storage range; 8 batteries per container</t>
  </si>
  <si>
    <t>battery systems</t>
  </si>
  <si>
    <t>batteries/h</t>
  </si>
  <si>
    <t>Tool for the environmental and economic impact assessment of industrial recycling routes for lithium-ion traction batteries</t>
  </si>
  <si>
    <r>
      <t xml:space="preserve">3. Customize process and product data on the other sheets (cells in </t>
    </r>
    <r>
      <rPr>
        <b/>
        <sz val="11"/>
        <color theme="7"/>
        <rFont val="Calibri"/>
        <family val="2"/>
        <scheme val="minor"/>
      </rPr>
      <t>orange</t>
    </r>
    <r>
      <rPr>
        <sz val="11"/>
        <color theme="1"/>
        <rFont val="Calibri"/>
        <family val="2"/>
        <scheme val="minor"/>
      </rPr>
      <t>)</t>
    </r>
  </si>
  <si>
    <t>1. Customize your recycling route under investigation on the sheet 'Macro'</t>
  </si>
  <si>
    <t>https://energiemarie.de/umzug/kosten/sondermuell</t>
  </si>
  <si>
    <t>see paper or ecoinvent database</t>
  </si>
  <si>
    <t>The information used in this model was obtained through publicly available information such as patents, papers, and presentations. Additionally, life cycle inventory datasets for the environmental assessment are obtained from the ecoinvent database. Due to the competitive nature of the field, it is difficult to obtain specific information from industry. We have made every attempt to be as accurate and correct as possible in our assumptions and calculations used in this model. The processes represented in this model are generic in nature and do not reflect specific company processes.</t>
  </si>
  <si>
    <t>Pyrolysis</t>
  </si>
  <si>
    <t>Pyrolysis &amp; Pyrometallurgy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</si>
</sst>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0">
    <numFmt numFmtId="164" formatCode="_(&quot;€&quot;* #,##0_);_(&quot;€&quot;* \(#,##0\);_(&quot;€&quot;* &quot;-&quot;_);_(@_)"/>
    <numFmt numFmtId="165" formatCode="_(&quot;€&quot;* #,##0.00_);_(&quot;€&quot;* \(#,##0.00\);_(&quot;€&quot;* &quot;-&quot;??_);_(@_)"/>
    <numFmt numFmtId="166" formatCode="_(* #,##0.00_);_(* \(#,##0.00\);_(* &quot;-&quot;??_);_(@_)"/>
    <numFmt numFmtId="167" formatCode="_-* #,##0.00\ _€_-;\-* #,##0.00\ _€_-;_-* &quot;-&quot;??\ _€_-;_-@_-"/>
    <numFmt numFmtId="168" formatCode="_-* #,##0\ &quot;€&quot;_-;\-* #,##0\ &quot;€&quot;_-;_-* &quot;-&quot;??\ &quot;€&quot;_-;_-@_-"/>
    <numFmt numFmtId="169" formatCode="0.0"/>
    <numFmt numFmtId="170" formatCode="0.0%"/>
    <numFmt numFmtId="171" formatCode="_-* #,##0\ _€_-;\-* #,##0\ _€_-;_-* &quot;-&quot;??\ _€_-;_-@_-"/>
    <numFmt numFmtId="172" formatCode="_-* #,##0_-;\-* #,##0_-;_-* &quot;-&quot;??_-;_-@_-"/>
    <numFmt numFmtId="173" formatCode="_-* #,##0.0_-;\-* #,##0.0_-;_-* &quot;-&quot;??_-;_-@_-"/>
    <numFmt numFmtId="174" formatCode="_-* #,##0\ _€_-;\-* #,##0\ _€_-;_-* &quot;-&quot;?\ _€_-;_-@_-"/>
    <numFmt numFmtId="175" formatCode="_-* #,##0.0\ _€_-;\-* #,##0.0\ _€_-;_-* &quot;-&quot;?\ _€_-;_-@_-"/>
    <numFmt numFmtId="176" formatCode="_-* #,##0.0\ _€_-;\-* #,##0.0\ _€_-;_-* &quot;-&quot;??\ _€_-;_-@_-"/>
    <numFmt numFmtId="177" formatCode="0.000"/>
    <numFmt numFmtId="178" formatCode="0.0000"/>
    <numFmt numFmtId="179" formatCode="#,##0.0"/>
    <numFmt numFmtId="180" formatCode="_-* #,##0.000\ &quot;€&quot;_-;\-* #,##0.000\ &quot;€&quot;_-;_-* &quot;-&quot;??\ &quot;€&quot;_-;_-@_-"/>
    <numFmt numFmtId="181" formatCode="_-* #,##0.0\ &quot;€&quot;_-;\-* #,##0.0\ &quot;€&quot;_-;_-* &quot;-&quot;??\ &quot;€&quot;_-;_-@_-"/>
    <numFmt numFmtId="182" formatCode="_-* #,##0.000_-;\-* #,##0.000_-;_-* &quot;-&quot;??_-;_-@_-"/>
    <numFmt numFmtId="183" formatCode="_-* #,##0.0000_-;\-* #,##0.0000_-;_-* &quot;-&quot;??_-;_-@_-"/>
    <numFmt numFmtId="184" formatCode="_-* #,##0.00000_-;\-* #,##0.00000_-;_-* &quot;-&quot;??_-;_-@_-"/>
    <numFmt numFmtId="185" formatCode="_-* #,##0.00000000_-;\-* #,##0.00000000_-;_-* &quot;-&quot;??_-;_-@_-"/>
    <numFmt numFmtId="186" formatCode="#,##0.0_ ;\-#,##0.0\ "/>
    <numFmt numFmtId="187" formatCode="_-* #,##0.000\ _€_-;\-* #,##0.000\ _€_-;_-* &quot;-&quot;??\ _€_-;_-@_-"/>
    <numFmt numFmtId="188" formatCode="#,##0.000"/>
    <numFmt numFmtId="189" formatCode="#,##0.0000000"/>
    <numFmt numFmtId="190" formatCode="#,##0\ &quot;€&quot;"/>
    <numFmt numFmtId="191" formatCode="0.0000000"/>
    <numFmt numFmtId="192" formatCode="_-* #,##0.0000\ _€_-;\-* #,##0.0000\ _€_-;_-* &quot;-&quot;??\ _€_-;_-@_-"/>
    <numFmt numFmtId="193" formatCode="#,##0.000_ ;\-#,##0.000\ "/>
  </numFmts>
  <fonts count="47" x14ac:knownFonts="1">
    <font>
      <sz val="11"/>
      <color theme="1"/>
      <name val="Calibri"/>
      <family val="2"/>
      <scheme val="minor"/>
    </font>
    <font>
      <b/>
      <sz val="16"/>
      <color theme="1"/>
      <name val="Arial"/>
      <family val="2"/>
    </font>
    <font>
      <sz val="11"/>
      <color theme="1"/>
      <name val="Arial"/>
      <family val="2"/>
    </font>
    <font>
      <b/>
      <sz val="11"/>
      <color theme="1"/>
      <name val="Arial"/>
      <family val="2"/>
    </font>
    <font>
      <b/>
      <sz val="12"/>
      <color theme="1"/>
      <name val="Arial"/>
      <family val="2"/>
    </font>
    <font>
      <b/>
      <sz val="14"/>
      <color theme="1"/>
      <name val="Arial"/>
      <family val="2"/>
    </font>
    <font>
      <i/>
      <sz val="11"/>
      <color theme="1"/>
      <name val="Arial"/>
      <family val="2"/>
    </font>
    <font>
      <vertAlign val="subscript"/>
      <sz val="11"/>
      <color theme="1"/>
      <name val="Arial"/>
      <family val="2"/>
    </font>
    <font>
      <sz val="11"/>
      <color theme="1"/>
      <name val="Calibri"/>
      <family val="2"/>
      <scheme val="minor"/>
    </font>
    <font>
      <i/>
      <vertAlign val="subscript"/>
      <sz val="11"/>
      <color theme="1"/>
      <name val="Arial"/>
      <family val="2"/>
    </font>
    <font>
      <b/>
      <sz val="11"/>
      <color theme="1"/>
      <name val="Calibri"/>
      <family val="2"/>
      <scheme val="minor"/>
    </font>
    <font>
      <sz val="11"/>
      <name val="Arial"/>
      <family val="2"/>
    </font>
    <font>
      <b/>
      <sz val="11"/>
      <color theme="0"/>
      <name val="Arial"/>
      <family val="2"/>
    </font>
    <font>
      <sz val="11"/>
      <color theme="0"/>
      <name val="Arial"/>
      <family val="2"/>
    </font>
    <font>
      <b/>
      <sz val="11"/>
      <name val="Arial"/>
      <family val="2"/>
    </font>
    <font>
      <u/>
      <sz val="11"/>
      <color theme="10"/>
      <name val="Arial"/>
      <family val="2"/>
    </font>
    <font>
      <sz val="11"/>
      <color rgb="FFFF0000"/>
      <name val="Arial"/>
      <family val="2"/>
    </font>
    <font>
      <b/>
      <sz val="9"/>
      <color indexed="81"/>
      <name val="Segoe UI"/>
      <family val="2"/>
    </font>
    <font>
      <b/>
      <sz val="16"/>
      <color theme="1"/>
      <name val="Calibri"/>
      <family val="2"/>
      <scheme val="minor"/>
    </font>
    <font>
      <b/>
      <sz val="14"/>
      <color theme="1"/>
      <name val="Calibri"/>
      <family val="2"/>
      <scheme val="minor"/>
    </font>
    <font>
      <b/>
      <sz val="12"/>
      <color theme="1"/>
      <name val="Calibri"/>
      <family val="2"/>
      <scheme val="minor"/>
    </font>
    <font>
      <b/>
      <sz val="11"/>
      <color theme="8"/>
      <name val="Calibri"/>
      <family val="2"/>
      <scheme val="minor"/>
    </font>
    <font>
      <sz val="11"/>
      <color theme="1"/>
      <name val="Calibri"/>
      <family val="2"/>
    </font>
    <font>
      <sz val="9.9"/>
      <color theme="1"/>
      <name val="Calibri"/>
      <family val="2"/>
    </font>
    <font>
      <vertAlign val="subscript"/>
      <sz val="11"/>
      <color theme="1"/>
      <name val="Calibri"/>
      <family val="2"/>
      <scheme val="minor"/>
    </font>
    <font>
      <sz val="11"/>
      <color theme="1" tint="0.499984740745262"/>
      <name val="Calibri"/>
      <family val="2"/>
      <scheme val="minor"/>
    </font>
    <font>
      <u/>
      <sz val="11"/>
      <color theme="1"/>
      <name val="Calibri"/>
      <family val="2"/>
      <scheme val="minor"/>
    </font>
    <font>
      <i/>
      <sz val="11"/>
      <color theme="0"/>
      <name val="Arial"/>
      <family val="2"/>
    </font>
    <font>
      <vertAlign val="superscript"/>
      <sz val="11"/>
      <color theme="1"/>
      <name val="Calibri"/>
      <family val="2"/>
      <scheme val="minor"/>
    </font>
    <font>
      <sz val="11"/>
      <color rgb="FFFF0000"/>
      <name val="Calibri"/>
      <family val="2"/>
      <scheme val="minor"/>
    </font>
    <font>
      <sz val="11"/>
      <color theme="6"/>
      <name val="Calibri"/>
      <family val="2"/>
      <scheme val="minor"/>
    </font>
    <font>
      <b/>
      <vertAlign val="subscript"/>
      <sz val="11"/>
      <color theme="1"/>
      <name val="Calibri"/>
      <family val="2"/>
      <scheme val="minor"/>
    </font>
    <font>
      <b/>
      <sz val="11"/>
      <color rgb="FFFF0000"/>
      <name val="Calibri"/>
      <family val="2"/>
      <scheme val="minor"/>
    </font>
    <font>
      <b/>
      <sz val="18"/>
      <color theme="3"/>
      <name val="Calibri Light"/>
      <family val="2"/>
      <scheme val="major"/>
    </font>
    <font>
      <sz val="10"/>
      <name val="Verdana"/>
      <family val="2"/>
    </font>
    <font>
      <b/>
      <sz val="18"/>
      <color theme="1"/>
      <name val="Calibri"/>
      <family val="2"/>
      <scheme val="minor"/>
    </font>
    <font>
      <sz val="11"/>
      <color rgb="FF006100"/>
      <name val="Calibri"/>
      <family val="2"/>
      <scheme val="minor"/>
    </font>
    <font>
      <sz val="11"/>
      <color rgb="FF9C0006"/>
      <name val="Calibri"/>
      <family val="2"/>
      <scheme val="minor"/>
    </font>
    <font>
      <b/>
      <sz val="11"/>
      <name val="Calibri"/>
      <family val="2"/>
      <scheme val="minor"/>
    </font>
    <font>
      <sz val="10"/>
      <color theme="1"/>
      <name val="Calibri"/>
      <family val="2"/>
      <scheme val="minor"/>
    </font>
    <font>
      <sz val="9"/>
      <color indexed="81"/>
      <name val="Segoe UI"/>
      <family val="2"/>
    </font>
    <font>
      <i/>
      <sz val="11"/>
      <color theme="7"/>
      <name val="Arial"/>
      <family val="2"/>
    </font>
    <font>
      <sz val="11"/>
      <color theme="7"/>
      <name val="Arial"/>
      <family val="2"/>
    </font>
    <font>
      <b/>
      <sz val="20"/>
      <color theme="1"/>
      <name val="Arial"/>
      <family val="2"/>
    </font>
    <font>
      <b/>
      <sz val="11"/>
      <color theme="7"/>
      <name val="Calibri"/>
      <family val="2"/>
      <scheme val="minor"/>
    </font>
    <font>
      <sz val="11"/>
      <name val="Calibri"/>
      <family val="2"/>
      <scheme val="minor"/>
    </font>
    <font>
      <u/>
      <sz val="11"/>
      <color theme="10"/>
      <name val="Calibri"/>
      <family val="2"/>
      <scheme val="minor"/>
    </font>
  </fonts>
  <fills count="21">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rgb="FFBE1E3C"/>
        <bgColor indexed="64"/>
      </patternFill>
    </fill>
    <fill>
      <patternFill patternType="solid">
        <fgColor rgb="FFE76980"/>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rgb="FFA9D08E"/>
        <bgColor indexed="64"/>
      </patternFill>
    </fill>
    <fill>
      <patternFill patternType="solid">
        <fgColor theme="6" tint="0.59999389629810485"/>
        <bgColor indexed="64"/>
      </patternFill>
    </fill>
    <fill>
      <patternFill patternType="solid">
        <fgColor rgb="FFC6EFCE"/>
      </patternFill>
    </fill>
    <fill>
      <patternFill patternType="solid">
        <fgColor rgb="FFFFC7CE"/>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bgColor indexed="64"/>
      </patternFill>
    </fill>
    <fill>
      <patternFill patternType="solid">
        <fgColor rgb="FFFF0000"/>
        <bgColor indexed="64"/>
      </patternFill>
    </fill>
  </fills>
  <borders count="103">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right style="medium">
        <color indexed="64"/>
      </right>
      <top/>
      <bottom/>
      <diagonal/>
    </border>
    <border>
      <left style="medium">
        <color indexed="64"/>
      </left>
      <right/>
      <top/>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medium">
        <color indexed="64"/>
      </right>
      <top style="hair">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double">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double">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medium">
        <color indexed="64"/>
      </left>
      <right/>
      <top/>
      <bottom style="dotted">
        <color indexed="64"/>
      </bottom>
      <diagonal/>
    </border>
    <border>
      <left style="double">
        <color indexed="64"/>
      </left>
      <right style="thin">
        <color indexed="64"/>
      </right>
      <top/>
      <bottom style="dotted">
        <color indexed="64"/>
      </bottom>
      <diagonal/>
    </border>
    <border>
      <left style="thin">
        <color indexed="64"/>
      </left>
      <right style="thin">
        <color indexed="64"/>
      </right>
      <top/>
      <bottom style="dotted">
        <color indexed="64"/>
      </bottom>
      <diagonal/>
    </border>
    <border>
      <left/>
      <right style="medium">
        <color indexed="64"/>
      </right>
      <top/>
      <bottom style="dotted">
        <color indexed="64"/>
      </bottom>
      <diagonal/>
    </border>
    <border>
      <left style="medium">
        <color indexed="64"/>
      </left>
      <right/>
      <top style="dotted">
        <color indexed="64"/>
      </top>
      <bottom style="dotted">
        <color indexed="64"/>
      </bottom>
      <diagonal/>
    </border>
    <border>
      <left style="double">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dotted">
        <color indexed="64"/>
      </bottom>
      <diagonal/>
    </border>
    <border>
      <left/>
      <right style="medium">
        <color indexed="64"/>
      </right>
      <top style="dotted">
        <color indexed="64"/>
      </top>
      <bottom style="dotted">
        <color indexed="64"/>
      </bottom>
      <diagonal/>
    </border>
    <border>
      <left style="medium">
        <color indexed="64"/>
      </left>
      <right/>
      <top style="dotted">
        <color indexed="64"/>
      </top>
      <bottom style="medium">
        <color indexed="64"/>
      </bottom>
      <diagonal/>
    </border>
    <border>
      <left style="double">
        <color indexed="64"/>
      </left>
      <right style="thin">
        <color indexed="64"/>
      </right>
      <top style="dotted">
        <color indexed="64"/>
      </top>
      <bottom/>
      <diagonal/>
    </border>
    <border>
      <left style="thin">
        <color indexed="64"/>
      </left>
      <right style="thin">
        <color indexed="64"/>
      </right>
      <top style="dotted">
        <color indexed="64"/>
      </top>
      <bottom/>
      <diagonal/>
    </border>
    <border>
      <left/>
      <right style="medium">
        <color indexed="64"/>
      </right>
      <top style="dotted">
        <color indexed="64"/>
      </top>
      <bottom/>
      <diagonal/>
    </border>
    <border>
      <left style="medium">
        <color indexed="64"/>
      </left>
      <right/>
      <top style="dotted">
        <color indexed="64"/>
      </top>
      <bottom/>
      <diagonal/>
    </border>
    <border>
      <left style="double">
        <color indexed="64"/>
      </left>
      <right style="thin">
        <color indexed="64"/>
      </right>
      <top style="dotted">
        <color indexed="64"/>
      </top>
      <bottom style="medium">
        <color indexed="64"/>
      </bottom>
      <diagonal/>
    </border>
    <border>
      <left style="thin">
        <color indexed="64"/>
      </left>
      <right style="thin">
        <color indexed="64"/>
      </right>
      <top style="dotted">
        <color indexed="64"/>
      </top>
      <bottom style="medium">
        <color indexed="64"/>
      </bottom>
      <diagonal/>
    </border>
    <border>
      <left/>
      <right style="medium">
        <color indexed="64"/>
      </right>
      <top style="dotted">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double">
        <color indexed="64"/>
      </bottom>
      <diagonal/>
    </border>
    <border>
      <left style="medium">
        <color indexed="64"/>
      </left>
      <right style="thin">
        <color indexed="64"/>
      </right>
      <top/>
      <bottom/>
      <diagonal/>
    </border>
    <border>
      <left style="thin">
        <color indexed="64"/>
      </left>
      <right style="medium">
        <color indexed="64"/>
      </right>
      <top/>
      <bottom/>
      <diagonal/>
    </border>
    <border>
      <left/>
      <right style="medium">
        <color indexed="64"/>
      </right>
      <top/>
      <bottom style="thin">
        <color indexed="64"/>
      </bottom>
      <diagonal/>
    </border>
    <border>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right style="medium">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double">
        <color indexed="64"/>
      </bottom>
      <diagonal/>
    </border>
    <border>
      <left style="thin">
        <color indexed="64"/>
      </left>
      <right style="medium">
        <color indexed="64"/>
      </right>
      <top style="medium">
        <color indexed="64"/>
      </top>
      <bottom/>
      <diagonal/>
    </border>
    <border>
      <left/>
      <right style="thin">
        <color indexed="64"/>
      </right>
      <top/>
      <bottom style="double">
        <color indexed="64"/>
      </bottom>
      <diagonal/>
    </border>
    <border>
      <left style="thin">
        <color indexed="64"/>
      </left>
      <right/>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Dashed">
        <color indexed="64"/>
      </top>
      <bottom/>
      <diagonal/>
    </border>
    <border>
      <left style="medium">
        <color indexed="64"/>
      </left>
      <right/>
      <top/>
      <bottom style="thin">
        <color indexed="64"/>
      </bottom>
      <diagonal/>
    </border>
  </borders>
  <cellStyleXfs count="13">
    <xf numFmtId="0" fontId="0" fillId="0" borderId="0"/>
    <xf numFmtId="9" fontId="8" fillId="0" borderId="0" applyFont="0" applyFill="0" applyBorder="0" applyAlignment="0" applyProtection="0"/>
    <xf numFmtId="165" fontId="8" fillId="0" borderId="0" applyFont="0" applyFill="0" applyBorder="0" applyAlignment="0" applyProtection="0"/>
    <xf numFmtId="166" fontId="8" fillId="0" borderId="0" applyFont="0" applyFill="0" applyBorder="0" applyAlignment="0" applyProtection="0"/>
    <xf numFmtId="0" fontId="11" fillId="0" borderId="0"/>
    <xf numFmtId="9" fontId="11" fillId="0" borderId="0" applyFont="0" applyFill="0" applyBorder="0" applyAlignment="0" applyProtection="0"/>
    <xf numFmtId="0" fontId="15" fillId="0" borderId="0" applyNumberFormat="0" applyFill="0" applyBorder="0" applyAlignment="0" applyProtection="0"/>
    <xf numFmtId="0" fontId="33" fillId="0" borderId="0" applyNumberFormat="0" applyFill="0" applyBorder="0" applyAlignment="0" applyProtection="0"/>
    <xf numFmtId="9" fontId="34" fillId="0" borderId="0" applyFont="0" applyFill="0" applyBorder="0" applyAlignment="0" applyProtection="0"/>
    <xf numFmtId="0" fontId="34" fillId="0" borderId="0"/>
    <xf numFmtId="165" fontId="8" fillId="0" borderId="0" applyFont="0" applyFill="0" applyBorder="0" applyAlignment="0" applyProtection="0"/>
    <xf numFmtId="0" fontId="36" fillId="15" borderId="0" applyNumberFormat="0" applyBorder="0" applyAlignment="0" applyProtection="0"/>
    <xf numFmtId="0" fontId="37" fillId="16" borderId="0" applyNumberFormat="0" applyBorder="0" applyAlignment="0" applyProtection="0"/>
  </cellStyleXfs>
  <cellXfs count="1070">
    <xf numFmtId="0" fontId="0" fillId="0" borderId="0" xfId="0"/>
    <xf numFmtId="0" fontId="2" fillId="0" borderId="0" xfId="0" applyFont="1"/>
    <xf numFmtId="0" fontId="4" fillId="0" borderId="0" xfId="0" applyFont="1"/>
    <xf numFmtId="0" fontId="1" fillId="2" borderId="0" xfId="0" applyFont="1" applyFill="1" applyAlignment="1" applyProtection="1">
      <alignment vertical="center"/>
      <protection locked="0"/>
    </xf>
    <xf numFmtId="0" fontId="2" fillId="2" borderId="0" xfId="0" applyFont="1" applyFill="1" applyProtection="1">
      <protection locked="0"/>
    </xf>
    <xf numFmtId="0" fontId="2" fillId="2" borderId="1" xfId="0" applyFont="1" applyFill="1" applyBorder="1" applyProtection="1">
      <protection locked="0"/>
    </xf>
    <xf numFmtId="0" fontId="5" fillId="2" borderId="0" xfId="0" applyFont="1" applyFill="1" applyProtection="1">
      <protection locked="0"/>
    </xf>
    <xf numFmtId="0" fontId="2" fillId="2" borderId="5" xfId="0" applyFont="1" applyFill="1" applyBorder="1" applyProtection="1">
      <protection locked="0"/>
    </xf>
    <xf numFmtId="0" fontId="2" fillId="2" borderId="6" xfId="0" applyFont="1" applyFill="1" applyBorder="1" applyProtection="1">
      <protection locked="0"/>
    </xf>
    <xf numFmtId="0" fontId="2" fillId="2" borderId="7" xfId="0" applyFont="1" applyFill="1" applyBorder="1" applyProtection="1">
      <protection locked="0"/>
    </xf>
    <xf numFmtId="0" fontId="2" fillId="2" borderId="8" xfId="0" applyFont="1" applyFill="1" applyBorder="1" applyProtection="1">
      <protection locked="0"/>
    </xf>
    <xf numFmtId="0" fontId="3" fillId="2" borderId="0" xfId="0" applyFont="1" applyFill="1" applyProtection="1">
      <protection locked="0"/>
    </xf>
    <xf numFmtId="0" fontId="6" fillId="2" borderId="0" xfId="0" applyFont="1" applyFill="1" applyAlignment="1" applyProtection="1">
      <alignment horizontal="left"/>
      <protection locked="0"/>
    </xf>
    <xf numFmtId="0" fontId="6" fillId="2" borderId="6" xfId="0" applyFont="1" applyFill="1" applyBorder="1" applyAlignment="1" applyProtection="1">
      <alignment horizontal="left"/>
      <protection locked="0"/>
    </xf>
    <xf numFmtId="0" fontId="6" fillId="3" borderId="0" xfId="2" applyNumberFormat="1" applyFont="1" applyFill="1" applyBorder="1" applyAlignment="1" applyProtection="1">
      <protection locked="0"/>
    </xf>
    <xf numFmtId="0" fontId="6" fillId="3" borderId="0" xfId="0" applyFont="1" applyFill="1" applyAlignment="1" applyProtection="1">
      <alignment horizontal="right"/>
      <protection locked="0"/>
    </xf>
    <xf numFmtId="3" fontId="6" fillId="3" borderId="0" xfId="0" applyNumberFormat="1" applyFont="1" applyFill="1" applyProtection="1">
      <protection locked="0"/>
    </xf>
    <xf numFmtId="0" fontId="3" fillId="2" borderId="5" xfId="0" applyFont="1" applyFill="1" applyBorder="1" applyProtection="1">
      <protection locked="0"/>
    </xf>
    <xf numFmtId="0" fontId="3" fillId="2" borderId="6" xfId="0" applyFont="1" applyFill="1" applyBorder="1" applyProtection="1">
      <protection locked="0"/>
    </xf>
    <xf numFmtId="0" fontId="6" fillId="2" borderId="6" xfId="0" applyFont="1" applyFill="1" applyBorder="1" applyProtection="1">
      <protection locked="0"/>
    </xf>
    <xf numFmtId="165" fontId="6" fillId="2" borderId="6" xfId="2" applyFont="1" applyFill="1" applyBorder="1" applyAlignment="1" applyProtection="1">
      <alignment horizontal="left"/>
      <protection locked="0"/>
    </xf>
    <xf numFmtId="0" fontId="6" fillId="2" borderId="0" xfId="0" applyFont="1" applyFill="1" applyProtection="1">
      <protection locked="0"/>
    </xf>
    <xf numFmtId="2" fontId="2" fillId="2" borderId="0" xfId="0" applyNumberFormat="1" applyFont="1" applyFill="1" applyProtection="1">
      <protection locked="0"/>
    </xf>
    <xf numFmtId="3" fontId="2" fillId="2" borderId="0" xfId="0" applyNumberFormat="1" applyFont="1" applyFill="1" applyProtection="1">
      <protection locked="0"/>
    </xf>
    <xf numFmtId="0" fontId="11" fillId="0" borderId="0" xfId="4" applyAlignment="1">
      <alignment horizontal="center" vertical="center"/>
    </xf>
    <xf numFmtId="0" fontId="13" fillId="0" borderId="0" xfId="4" applyFont="1" applyAlignment="1">
      <alignment horizontal="center" vertical="center" wrapText="1"/>
    </xf>
    <xf numFmtId="0" fontId="11" fillId="0" borderId="0" xfId="4"/>
    <xf numFmtId="0" fontId="14" fillId="0" borderId="0" xfId="4" applyFont="1" applyAlignment="1">
      <alignment horizontal="center" vertical="center"/>
    </xf>
    <xf numFmtId="0" fontId="11" fillId="3" borderId="16" xfId="4" applyFill="1" applyBorder="1" applyAlignment="1">
      <alignment vertical="center"/>
    </xf>
    <xf numFmtId="0" fontId="13" fillId="4" borderId="17" xfId="4" applyFont="1" applyFill="1" applyBorder="1" applyAlignment="1">
      <alignment horizontal="center" vertical="center"/>
    </xf>
    <xf numFmtId="0" fontId="13" fillId="0" borderId="0" xfId="4" applyFont="1" applyAlignment="1">
      <alignment horizontal="center" vertical="center"/>
    </xf>
    <xf numFmtId="0" fontId="11" fillId="3" borderId="19" xfId="4" applyFill="1" applyBorder="1" applyAlignment="1">
      <alignment vertical="center"/>
    </xf>
    <xf numFmtId="0" fontId="11" fillId="3" borderId="21" xfId="4" applyFill="1" applyBorder="1" applyAlignment="1">
      <alignment vertical="center"/>
    </xf>
    <xf numFmtId="0" fontId="11" fillId="3" borderId="22" xfId="4" applyFill="1" applyBorder="1" applyAlignment="1">
      <alignment vertical="center"/>
    </xf>
    <xf numFmtId="0" fontId="11" fillId="3" borderId="24" xfId="4" applyFill="1" applyBorder="1" applyAlignment="1">
      <alignment vertical="center"/>
    </xf>
    <xf numFmtId="0" fontId="12" fillId="4" borderId="29" xfId="4" applyFont="1" applyFill="1" applyBorder="1" applyAlignment="1">
      <alignment horizontal="center" vertical="center"/>
    </xf>
    <xf numFmtId="0" fontId="12" fillId="4" borderId="30" xfId="4" applyFont="1" applyFill="1" applyBorder="1" applyAlignment="1">
      <alignment horizontal="center" vertical="center"/>
    </xf>
    <xf numFmtId="0" fontId="12" fillId="5" borderId="12" xfId="4" applyFont="1" applyFill="1" applyBorder="1" applyAlignment="1">
      <alignment vertical="center"/>
    </xf>
    <xf numFmtId="0" fontId="13" fillId="5" borderId="32" xfId="4" applyFont="1" applyFill="1" applyBorder="1" applyAlignment="1">
      <alignment vertical="center"/>
    </xf>
    <xf numFmtId="2" fontId="12" fillId="5" borderId="33" xfId="4" applyNumberFormat="1" applyFont="1" applyFill="1" applyBorder="1" applyAlignment="1">
      <alignment vertical="center"/>
    </xf>
    <xf numFmtId="10" fontId="12" fillId="5" borderId="13" xfId="4" applyNumberFormat="1" applyFont="1" applyFill="1" applyBorder="1" applyAlignment="1">
      <alignment horizontal="right" vertical="center"/>
    </xf>
    <xf numFmtId="0" fontId="11" fillId="3" borderId="35" xfId="4" applyFill="1" applyBorder="1" applyAlignment="1">
      <alignment vertical="center"/>
    </xf>
    <xf numFmtId="170" fontId="2" fillId="3" borderId="37" xfId="5" applyNumberFormat="1" applyFont="1" applyFill="1" applyBorder="1" applyAlignment="1">
      <alignment vertical="center"/>
    </xf>
    <xf numFmtId="0" fontId="11" fillId="3" borderId="39" xfId="4" applyFill="1" applyBorder="1" applyAlignment="1">
      <alignment vertical="center"/>
    </xf>
    <xf numFmtId="170" fontId="2" fillId="3" borderId="41" xfId="5" applyNumberFormat="1" applyFont="1" applyFill="1" applyBorder="1" applyAlignment="1">
      <alignment vertical="center"/>
    </xf>
    <xf numFmtId="0" fontId="15" fillId="0" borderId="0" xfId="6"/>
    <xf numFmtId="0" fontId="11" fillId="3" borderId="38" xfId="4" applyFill="1" applyBorder="1" applyAlignment="1">
      <alignment horizontal="left" vertical="center"/>
    </xf>
    <xf numFmtId="0" fontId="11" fillId="3" borderId="42" xfId="4" applyFill="1" applyBorder="1" applyAlignment="1">
      <alignment horizontal="left" vertical="center"/>
    </xf>
    <xf numFmtId="0" fontId="11" fillId="3" borderId="43" xfId="4" applyFill="1" applyBorder="1" applyAlignment="1">
      <alignment vertical="center"/>
    </xf>
    <xf numFmtId="170" fontId="2" fillId="3" borderId="45" xfId="5" applyNumberFormat="1" applyFont="1" applyFill="1" applyBorder="1" applyAlignment="1">
      <alignment vertical="center"/>
    </xf>
    <xf numFmtId="170" fontId="12" fillId="5" borderId="13" xfId="4" applyNumberFormat="1" applyFont="1" applyFill="1" applyBorder="1" applyAlignment="1">
      <alignment vertical="center"/>
    </xf>
    <xf numFmtId="0" fontId="11" fillId="0" borderId="0" xfId="4" applyAlignment="1">
      <alignment vertical="center"/>
    </xf>
    <xf numFmtId="0" fontId="12" fillId="0" borderId="0" xfId="4" applyFont="1" applyAlignment="1">
      <alignment horizontal="center" vertical="center"/>
    </xf>
    <xf numFmtId="0" fontId="11" fillId="3" borderId="35" xfId="4" applyFill="1" applyBorder="1" applyAlignment="1">
      <alignment vertical="center" wrapText="1"/>
    </xf>
    <xf numFmtId="0" fontId="11" fillId="3" borderId="39" xfId="4" applyFill="1" applyBorder="1" applyAlignment="1">
      <alignment vertical="center" wrapText="1"/>
    </xf>
    <xf numFmtId="0" fontId="11" fillId="3" borderId="43" xfId="4" applyFill="1" applyBorder="1" applyAlignment="1">
      <alignment vertical="center" wrapText="1"/>
    </xf>
    <xf numFmtId="0" fontId="11" fillId="3" borderId="47" xfId="4" applyFill="1" applyBorder="1" applyAlignment="1">
      <alignment vertical="center"/>
    </xf>
    <xf numFmtId="170" fontId="2" fillId="3" borderId="49" xfId="5" applyNumberFormat="1" applyFont="1" applyFill="1" applyBorder="1" applyAlignment="1">
      <alignment vertical="center"/>
    </xf>
    <xf numFmtId="0" fontId="14" fillId="0" borderId="0" xfId="4" applyFont="1" applyAlignment="1">
      <alignment vertical="center"/>
    </xf>
    <xf numFmtId="2" fontId="12" fillId="4" borderId="30" xfId="4" applyNumberFormat="1" applyFont="1" applyFill="1" applyBorder="1" applyAlignment="1">
      <alignment vertical="center"/>
    </xf>
    <xf numFmtId="9" fontId="12" fillId="4" borderId="51" xfId="5" applyFont="1" applyFill="1" applyBorder="1" applyAlignment="1">
      <alignment vertical="center"/>
    </xf>
    <xf numFmtId="0" fontId="16" fillId="0" borderId="0" xfId="4" applyFont="1"/>
    <xf numFmtId="2" fontId="16" fillId="0" borderId="0" xfId="4" applyNumberFormat="1" applyFont="1" applyAlignment="1">
      <alignment vertical="center"/>
    </xf>
    <xf numFmtId="167" fontId="11" fillId="0" borderId="0" xfId="4" applyNumberFormat="1"/>
    <xf numFmtId="0" fontId="18" fillId="0" borderId="0" xfId="0" applyFont="1" applyAlignment="1">
      <alignment vertical="top"/>
    </xf>
    <xf numFmtId="0" fontId="19" fillId="0" borderId="0" xfId="0" applyFont="1" applyAlignment="1">
      <alignment vertical="top" wrapText="1"/>
    </xf>
    <xf numFmtId="0" fontId="19" fillId="0" borderId="0" xfId="0" applyFont="1" applyAlignment="1">
      <alignment vertical="top"/>
    </xf>
    <xf numFmtId="0" fontId="20" fillId="0" borderId="18" xfId="0" applyFont="1" applyBorder="1" applyAlignment="1">
      <alignment vertical="top" wrapText="1"/>
    </xf>
    <xf numFmtId="0" fontId="21" fillId="0" borderId="9" xfId="0" applyFont="1"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0" fillId="0" borderId="0" xfId="0" applyAlignment="1">
      <alignment vertical="top" wrapText="1"/>
    </xf>
    <xf numFmtId="0" fontId="21" fillId="0" borderId="9" xfId="0" applyFont="1" applyBorder="1" applyAlignment="1">
      <alignment vertical="top"/>
    </xf>
    <xf numFmtId="0" fontId="0" fillId="0" borderId="52" xfId="0" applyBorder="1" applyAlignment="1">
      <alignment vertical="top" wrapText="1"/>
    </xf>
    <xf numFmtId="0" fontId="0" fillId="0" borderId="53" xfId="0" applyBorder="1" applyAlignment="1">
      <alignment vertical="top" wrapText="1"/>
    </xf>
    <xf numFmtId="0" fontId="0" fillId="0" borderId="54" xfId="0" applyBorder="1" applyAlignment="1">
      <alignment vertical="top" wrapText="1"/>
    </xf>
    <xf numFmtId="167" fontId="0" fillId="0" borderId="53" xfId="0" applyNumberFormat="1" applyBorder="1" applyAlignment="1">
      <alignment horizontal="right" vertical="top" wrapText="1"/>
    </xf>
    <xf numFmtId="0" fontId="0" fillId="0" borderId="53" xfId="0" applyBorder="1" applyAlignment="1">
      <alignment horizontal="right" vertical="top" wrapText="1"/>
    </xf>
    <xf numFmtId="172" fontId="0" fillId="0" borderId="53" xfId="3" applyNumberFormat="1" applyFont="1" applyBorder="1" applyAlignment="1">
      <alignment vertical="top" wrapText="1"/>
    </xf>
    <xf numFmtId="0" fontId="0" fillId="0" borderId="55" xfId="0" applyBorder="1" applyAlignment="1">
      <alignment vertical="top" wrapText="1"/>
    </xf>
    <xf numFmtId="0" fontId="0" fillId="0" borderId="57" xfId="0" applyBorder="1" applyAlignment="1">
      <alignment vertical="top" wrapText="1"/>
    </xf>
    <xf numFmtId="166" fontId="0" fillId="0" borderId="53" xfId="0" applyNumberFormat="1" applyBorder="1" applyAlignment="1">
      <alignment horizontal="right" vertical="top" wrapText="1"/>
    </xf>
    <xf numFmtId="169" fontId="0" fillId="0" borderId="0" xfId="0" applyNumberFormat="1" applyAlignment="1">
      <alignment vertical="top" wrapText="1"/>
    </xf>
    <xf numFmtId="0" fontId="0" fillId="0" borderId="58" xfId="0" applyBorder="1" applyAlignment="1">
      <alignment vertical="top" wrapText="1"/>
    </xf>
    <xf numFmtId="0" fontId="0" fillId="0" borderId="59" xfId="0" applyBorder="1" applyAlignment="1">
      <alignment horizontal="right" vertical="top" wrapText="1"/>
    </xf>
    <xf numFmtId="0" fontId="0" fillId="0" borderId="60" xfId="0" applyBorder="1" applyAlignment="1">
      <alignment vertical="top" wrapText="1"/>
    </xf>
    <xf numFmtId="0" fontId="0" fillId="0" borderId="61" xfId="0" applyBorder="1" applyAlignment="1">
      <alignment vertical="top" wrapText="1"/>
    </xf>
    <xf numFmtId="0" fontId="0" fillId="0" borderId="62" xfId="0" applyBorder="1" applyAlignment="1">
      <alignment vertical="top" wrapText="1"/>
    </xf>
    <xf numFmtId="0" fontId="0" fillId="0" borderId="63" xfId="0" applyBorder="1" applyAlignment="1">
      <alignment vertical="top" wrapText="1"/>
    </xf>
    <xf numFmtId="0" fontId="0" fillId="0" borderId="64" xfId="0" applyBorder="1" applyAlignment="1">
      <alignment vertical="top" wrapText="1"/>
    </xf>
    <xf numFmtId="169" fontId="0" fillId="0" borderId="65" xfId="0" applyNumberFormat="1" applyBorder="1" applyAlignment="1">
      <alignment vertical="top" wrapText="1"/>
    </xf>
    <xf numFmtId="0" fontId="0" fillId="0" borderId="66" xfId="0" applyBorder="1" applyAlignment="1">
      <alignment vertical="top" wrapText="1"/>
    </xf>
    <xf numFmtId="0" fontId="0" fillId="0" borderId="0" xfId="0" applyAlignment="1">
      <alignment horizontal="right" vertical="top" wrapText="1"/>
    </xf>
    <xf numFmtId="0" fontId="20" fillId="0" borderId="0" xfId="0" applyFont="1" applyAlignment="1">
      <alignment vertical="top" wrapText="1"/>
    </xf>
    <xf numFmtId="0" fontId="0" fillId="0" borderId="65" xfId="0" applyBorder="1" applyAlignment="1">
      <alignment vertical="top" wrapText="1"/>
    </xf>
    <xf numFmtId="167" fontId="0" fillId="0" borderId="0" xfId="0" applyNumberFormat="1" applyAlignment="1">
      <alignment horizontal="right" vertical="top" wrapText="1"/>
    </xf>
    <xf numFmtId="0" fontId="0" fillId="0" borderId="56" xfId="0" applyBorder="1" applyAlignment="1">
      <alignment vertical="top" wrapText="1"/>
    </xf>
    <xf numFmtId="0" fontId="21" fillId="0" borderId="0" xfId="0" applyFont="1" applyAlignment="1">
      <alignment vertical="top"/>
    </xf>
    <xf numFmtId="0" fontId="10" fillId="0" borderId="53" xfId="0" applyFont="1" applyBorder="1" applyAlignment="1">
      <alignment vertical="top" wrapText="1"/>
    </xf>
    <xf numFmtId="0" fontId="10" fillId="7" borderId="53" xfId="0" applyFont="1" applyFill="1" applyBorder="1" applyAlignment="1">
      <alignment vertical="top" wrapText="1"/>
    </xf>
    <xf numFmtId="0" fontId="10" fillId="8" borderId="53" xfId="0" applyFont="1" applyFill="1" applyBorder="1" applyAlignment="1">
      <alignment vertical="top" wrapText="1"/>
    </xf>
    <xf numFmtId="0" fontId="10" fillId="8" borderId="67" xfId="0" applyFont="1" applyFill="1" applyBorder="1" applyAlignment="1">
      <alignment vertical="top" wrapText="1"/>
    </xf>
    <xf numFmtId="0" fontId="10" fillId="6" borderId="53" xfId="0" applyFont="1" applyFill="1" applyBorder="1" applyAlignment="1">
      <alignment vertical="top" wrapText="1"/>
    </xf>
    <xf numFmtId="0" fontId="10" fillId="9" borderId="53" xfId="0" applyFont="1" applyFill="1" applyBorder="1" applyAlignment="1">
      <alignment vertical="top" wrapText="1"/>
    </xf>
    <xf numFmtId="0" fontId="10" fillId="9" borderId="53" xfId="0" applyFont="1" applyFill="1" applyBorder="1" applyAlignment="1">
      <alignment horizontal="left" vertical="top" wrapText="1"/>
    </xf>
    <xf numFmtId="0" fontId="10" fillId="0" borderId="0" xfId="0" applyFont="1" applyAlignment="1">
      <alignment vertical="top" wrapText="1"/>
    </xf>
    <xf numFmtId="0" fontId="10" fillId="0" borderId="0" xfId="0" applyFont="1" applyAlignment="1">
      <alignment vertical="top"/>
    </xf>
    <xf numFmtId="0" fontId="0" fillId="0" borderId="4" xfId="0" applyBorder="1" applyAlignment="1">
      <alignment vertical="top" wrapText="1"/>
    </xf>
    <xf numFmtId="0" fontId="0" fillId="0" borderId="62" xfId="0" applyBorder="1" applyAlignment="1">
      <alignment horizontal="left" vertical="top" wrapText="1"/>
    </xf>
    <xf numFmtId="0" fontId="0" fillId="0" borderId="6" xfId="0" applyBorder="1" applyAlignment="1">
      <alignment vertical="top" wrapText="1"/>
    </xf>
    <xf numFmtId="166" fontId="0" fillId="0" borderId="68" xfId="3" applyFont="1" applyFill="1" applyBorder="1" applyAlignment="1">
      <alignment vertical="top" wrapText="1"/>
    </xf>
    <xf numFmtId="0" fontId="0" fillId="0" borderId="68" xfId="0" applyBorder="1" applyAlignment="1">
      <alignment vertical="top" wrapText="1"/>
    </xf>
    <xf numFmtId="0" fontId="0" fillId="0" borderId="68" xfId="0" applyBorder="1" applyAlignment="1">
      <alignment horizontal="left" vertical="top" wrapText="1"/>
    </xf>
    <xf numFmtId="166" fontId="0" fillId="0" borderId="68" xfId="3" applyFont="1" applyFill="1" applyBorder="1" applyAlignment="1">
      <alignment horizontal="left" vertical="top" wrapText="1"/>
    </xf>
    <xf numFmtId="0" fontId="0" fillId="0" borderId="8" xfId="0" applyBorder="1" applyAlignment="1">
      <alignment vertical="top" wrapText="1"/>
    </xf>
    <xf numFmtId="166" fontId="0" fillId="0" borderId="65" xfId="3" applyFont="1" applyFill="1" applyBorder="1" applyAlignment="1">
      <alignment vertical="top" wrapText="1"/>
    </xf>
    <xf numFmtId="166" fontId="0" fillId="0" borderId="65" xfId="3" applyFont="1" applyFill="1" applyBorder="1" applyAlignment="1">
      <alignment horizontal="left" vertical="top" wrapText="1"/>
    </xf>
    <xf numFmtId="166" fontId="0" fillId="0" borderId="62" xfId="3" applyFont="1" applyFill="1" applyBorder="1" applyAlignment="1">
      <alignment vertical="top" wrapText="1"/>
    </xf>
    <xf numFmtId="166" fontId="0" fillId="0" borderId="68" xfId="3" applyFont="1" applyBorder="1" applyAlignment="1">
      <alignment vertical="top" wrapText="1"/>
    </xf>
    <xf numFmtId="167" fontId="0" fillId="0" borderId="68" xfId="0" applyNumberFormat="1" applyBorder="1" applyAlignment="1">
      <alignment horizontal="right" vertical="top" wrapText="1"/>
    </xf>
    <xf numFmtId="167" fontId="0" fillId="0" borderId="68" xfId="0" applyNumberFormat="1" applyBorder="1" applyAlignment="1">
      <alignment vertical="top" wrapText="1"/>
    </xf>
    <xf numFmtId="167" fontId="0" fillId="0" borderId="65" xfId="0" applyNumberFormat="1" applyBorder="1" applyAlignment="1">
      <alignment vertical="top" wrapText="1"/>
    </xf>
    <xf numFmtId="0" fontId="0" fillId="0" borderId="0" xfId="0" applyAlignment="1">
      <alignment wrapText="1"/>
    </xf>
    <xf numFmtId="0" fontId="0" fillId="0" borderId="0" xfId="0" applyAlignment="1">
      <alignment horizontal="left" vertical="top"/>
    </xf>
    <xf numFmtId="0" fontId="0" fillId="0" borderId="53" xfId="0" applyBorder="1"/>
    <xf numFmtId="0" fontId="10" fillId="0" borderId="53" xfId="0" applyFont="1" applyBorder="1"/>
    <xf numFmtId="0" fontId="10" fillId="0" borderId="0" xfId="0" applyFont="1"/>
    <xf numFmtId="0" fontId="10" fillId="0" borderId="65" xfId="0" applyFont="1" applyBorder="1" applyAlignment="1">
      <alignment wrapText="1"/>
    </xf>
    <xf numFmtId="0" fontId="10" fillId="0" borderId="0" xfId="0" applyFont="1" applyAlignment="1">
      <alignment wrapText="1"/>
    </xf>
    <xf numFmtId="0" fontId="10" fillId="0" borderId="0" xfId="0" applyFont="1" applyAlignment="1">
      <alignment horizontal="left" vertical="top"/>
    </xf>
    <xf numFmtId="0" fontId="10" fillId="0" borderId="69" xfId="0" applyFont="1" applyBorder="1"/>
    <xf numFmtId="0" fontId="10" fillId="0" borderId="70" xfId="0" applyFont="1" applyBorder="1"/>
    <xf numFmtId="0" fontId="10" fillId="0" borderId="71" xfId="0" applyFont="1" applyBorder="1"/>
    <xf numFmtId="0" fontId="0" fillId="0" borderId="6" xfId="0" applyBorder="1"/>
    <xf numFmtId="9" fontId="0" fillId="0" borderId="53" xfId="1" applyFont="1" applyBorder="1"/>
    <xf numFmtId="0" fontId="0" fillId="0" borderId="52" xfId="0" applyBorder="1"/>
    <xf numFmtId="172" fontId="0" fillId="0" borderId="53" xfId="0" applyNumberFormat="1" applyBorder="1"/>
    <xf numFmtId="0" fontId="0" fillId="0" borderId="53" xfId="0" quotePrefix="1" applyBorder="1"/>
    <xf numFmtId="172" fontId="0" fillId="0" borderId="54" xfId="0" applyNumberFormat="1" applyBorder="1"/>
    <xf numFmtId="2" fontId="0" fillId="0" borderId="53" xfId="0" applyNumberFormat="1" applyBorder="1"/>
    <xf numFmtId="0" fontId="0" fillId="0" borderId="55" xfId="0" applyBorder="1"/>
    <xf numFmtId="0" fontId="0" fillId="0" borderId="56" xfId="0" applyBorder="1"/>
    <xf numFmtId="172" fontId="0" fillId="0" borderId="56" xfId="0" applyNumberFormat="1" applyBorder="1"/>
    <xf numFmtId="0" fontId="0" fillId="0" borderId="56" xfId="0" quotePrefix="1" applyBorder="1"/>
    <xf numFmtId="173" fontId="0" fillId="0" borderId="57" xfId="0" applyNumberFormat="1" applyBorder="1"/>
    <xf numFmtId="0" fontId="0" fillId="0" borderId="64" xfId="0" applyBorder="1"/>
    <xf numFmtId="0" fontId="0" fillId="0" borderId="65" xfId="0" applyBorder="1"/>
    <xf numFmtId="0" fontId="0" fillId="0" borderId="66" xfId="0" applyBorder="1"/>
    <xf numFmtId="173" fontId="0" fillId="0" borderId="53" xfId="0" applyNumberFormat="1" applyBorder="1"/>
    <xf numFmtId="0" fontId="0" fillId="0" borderId="54" xfId="0" applyBorder="1"/>
    <xf numFmtId="0" fontId="0" fillId="0" borderId="52" xfId="0" quotePrefix="1" applyBorder="1"/>
    <xf numFmtId="172" fontId="0" fillId="0" borderId="57" xfId="0" applyNumberFormat="1" applyBorder="1"/>
    <xf numFmtId="0" fontId="10" fillId="0" borderId="53" xfId="0" applyFont="1" applyBorder="1" applyAlignment="1">
      <alignment wrapText="1"/>
    </xf>
    <xf numFmtId="0" fontId="10" fillId="6" borderId="67" xfId="0" applyFont="1" applyFill="1" applyBorder="1" applyAlignment="1">
      <alignment vertical="top" wrapText="1"/>
    </xf>
    <xf numFmtId="0" fontId="10" fillId="9" borderId="67" xfId="0" applyFont="1" applyFill="1" applyBorder="1" applyAlignment="1">
      <alignment vertical="top" wrapText="1"/>
    </xf>
    <xf numFmtId="0" fontId="10" fillId="0" borderId="67" xfId="0" applyFont="1" applyBorder="1" applyAlignment="1">
      <alignment horizontal="left" vertical="top" wrapText="1"/>
    </xf>
    <xf numFmtId="0" fontId="10" fillId="0" borderId="6" xfId="0" applyFont="1" applyBorder="1"/>
    <xf numFmtId="0" fontId="10" fillId="0" borderId="68" xfId="0" applyFont="1" applyBorder="1"/>
    <xf numFmtId="0" fontId="10" fillId="0" borderId="62" xfId="0" applyFont="1" applyBorder="1"/>
    <xf numFmtId="0" fontId="10" fillId="0" borderId="4" xfId="0" applyFont="1" applyBorder="1"/>
    <xf numFmtId="0" fontId="10" fillId="0" borderId="68" xfId="0" applyFont="1" applyBorder="1" applyAlignment="1">
      <alignment wrapText="1"/>
    </xf>
    <xf numFmtId="0" fontId="10" fillId="0" borderId="4" xfId="0" applyFont="1" applyBorder="1" applyAlignment="1">
      <alignment horizontal="left" vertical="top"/>
    </xf>
    <xf numFmtId="172" fontId="0" fillId="0" borderId="68" xfId="0" applyNumberFormat="1" applyBorder="1"/>
    <xf numFmtId="0" fontId="0" fillId="0" borderId="68" xfId="0" applyBorder="1"/>
    <xf numFmtId="0" fontId="0" fillId="0" borderId="68" xfId="0" applyBorder="1" applyAlignment="1">
      <alignment wrapText="1"/>
    </xf>
    <xf numFmtId="0" fontId="0" fillId="0" borderId="6" xfId="0" applyBorder="1" applyAlignment="1">
      <alignment horizontal="left" vertical="top"/>
    </xf>
    <xf numFmtId="172" fontId="0" fillId="0" borderId="0" xfId="0" quotePrefix="1" applyNumberFormat="1"/>
    <xf numFmtId="172" fontId="0" fillId="0" borderId="6" xfId="3" applyNumberFormat="1" applyFont="1" applyBorder="1"/>
    <xf numFmtId="172" fontId="0" fillId="0" borderId="0" xfId="0" applyNumberFormat="1"/>
    <xf numFmtId="172" fontId="0" fillId="0" borderId="6" xfId="0" applyNumberFormat="1" applyBorder="1"/>
    <xf numFmtId="0" fontId="0" fillId="0" borderId="8" xfId="0" applyBorder="1"/>
    <xf numFmtId="0" fontId="0" fillId="0" borderId="65" xfId="0" applyBorder="1" applyAlignment="1">
      <alignment wrapText="1"/>
    </xf>
    <xf numFmtId="0" fontId="0" fillId="0" borderId="8" xfId="0" applyBorder="1" applyAlignment="1">
      <alignment horizontal="left" vertical="top"/>
    </xf>
    <xf numFmtId="0" fontId="0" fillId="0" borderId="4" xfId="0" applyBorder="1"/>
    <xf numFmtId="0" fontId="0" fillId="0" borderId="62" xfId="0" applyBorder="1"/>
    <xf numFmtId="0" fontId="25" fillId="0" borderId="6" xfId="0" applyFont="1" applyBorder="1"/>
    <xf numFmtId="172" fontId="25" fillId="0" borderId="6" xfId="3" applyNumberFormat="1" applyFont="1" applyFill="1" applyBorder="1"/>
    <xf numFmtId="0" fontId="25" fillId="0" borderId="68" xfId="0" applyFont="1" applyBorder="1"/>
    <xf numFmtId="172" fontId="0" fillId="0" borderId="6" xfId="3" applyNumberFormat="1" applyFont="1" applyFill="1" applyBorder="1"/>
    <xf numFmtId="0" fontId="0" fillId="0" borderId="68" xfId="0" applyBorder="1" applyAlignment="1">
      <alignment vertical="top"/>
    </xf>
    <xf numFmtId="173" fontId="0" fillId="0" borderId="6" xfId="0" applyNumberFormat="1" applyBorder="1"/>
    <xf numFmtId="2" fontId="0" fillId="0" borderId="0" xfId="0" applyNumberFormat="1"/>
    <xf numFmtId="174" fontId="0" fillId="0" borderId="68" xfId="0" applyNumberFormat="1" applyBorder="1"/>
    <xf numFmtId="175" fontId="0" fillId="0" borderId="6" xfId="0" applyNumberFormat="1" applyBorder="1"/>
    <xf numFmtId="175" fontId="0" fillId="0" borderId="0" xfId="0" applyNumberFormat="1"/>
    <xf numFmtId="0" fontId="0" fillId="0" borderId="72" xfId="0" applyBorder="1"/>
    <xf numFmtId="174" fontId="0" fillId="0" borderId="72" xfId="0" applyNumberFormat="1" applyBorder="1"/>
    <xf numFmtId="0" fontId="0" fillId="0" borderId="72" xfId="0" applyBorder="1" applyAlignment="1">
      <alignment wrapText="1"/>
    </xf>
    <xf numFmtId="0" fontId="0" fillId="0" borderId="72" xfId="0" applyBorder="1" applyAlignment="1">
      <alignment horizontal="left" vertical="top"/>
    </xf>
    <xf numFmtId="0" fontId="18" fillId="0" borderId="0" xfId="0" applyFont="1"/>
    <xf numFmtId="0" fontId="10" fillId="0" borderId="62" xfId="0" applyFont="1" applyBorder="1" applyAlignment="1">
      <alignment wrapText="1"/>
    </xf>
    <xf numFmtId="0" fontId="10" fillId="0" borderId="62" xfId="0" applyFont="1" applyBorder="1" applyAlignment="1">
      <alignment horizontal="left" vertical="top"/>
    </xf>
    <xf numFmtId="0" fontId="0" fillId="0" borderId="68" xfId="0" applyBorder="1" applyAlignment="1">
      <alignment horizontal="left" vertical="top"/>
    </xf>
    <xf numFmtId="172" fontId="0" fillId="0" borderId="53" xfId="0" applyNumberFormat="1" applyBorder="1" applyAlignment="1">
      <alignment vertical="top" wrapText="1"/>
    </xf>
    <xf numFmtId="174" fontId="0" fillId="0" borderId="65" xfId="0" applyNumberFormat="1" applyBorder="1"/>
    <xf numFmtId="0" fontId="0" fillId="0" borderId="65" xfId="0" applyBorder="1" applyAlignment="1">
      <alignment horizontal="left" vertical="top"/>
    </xf>
    <xf numFmtId="173" fontId="0" fillId="0" borderId="53" xfId="0" applyNumberFormat="1" applyBorder="1" applyAlignment="1">
      <alignment vertical="top" wrapText="1"/>
    </xf>
    <xf numFmtId="175" fontId="0" fillId="0" borderId="68" xfId="0" applyNumberFormat="1" applyBorder="1"/>
    <xf numFmtId="173" fontId="0" fillId="0" borderId="68" xfId="0" applyNumberFormat="1" applyBorder="1"/>
    <xf numFmtId="171" fontId="0" fillId="0" borderId="68" xfId="0" applyNumberFormat="1" applyBorder="1" applyAlignment="1">
      <alignment horizontal="right"/>
    </xf>
    <xf numFmtId="0" fontId="26" fillId="0" borderId="8" xfId="0" applyFont="1" applyBorder="1"/>
    <xf numFmtId="172" fontId="26" fillId="0" borderId="65" xfId="0" applyNumberFormat="1" applyFont="1" applyBorder="1"/>
    <xf numFmtId="0" fontId="26" fillId="0" borderId="65" xfId="0" applyFont="1" applyBorder="1"/>
    <xf numFmtId="0" fontId="26" fillId="0" borderId="65" xfId="0" applyFont="1" applyBorder="1" applyAlignment="1">
      <alignment wrapText="1"/>
    </xf>
    <xf numFmtId="0" fontId="26" fillId="0" borderId="65" xfId="0" applyFont="1" applyBorder="1" applyAlignment="1">
      <alignment horizontal="left" vertical="top"/>
    </xf>
    <xf numFmtId="0" fontId="0" fillId="0" borderId="68" xfId="0" applyBorder="1" applyAlignment="1">
      <alignment horizontal="right" wrapText="1"/>
    </xf>
    <xf numFmtId="172" fontId="0" fillId="0" borderId="65" xfId="0" applyNumberFormat="1" applyBorder="1"/>
    <xf numFmtId="0" fontId="0" fillId="0" borderId="65" xfId="0" applyBorder="1" applyAlignment="1">
      <alignment horizontal="right" wrapText="1"/>
    </xf>
    <xf numFmtId="0" fontId="0" fillId="0" borderId="73" xfId="0" applyBorder="1"/>
    <xf numFmtId="1" fontId="0" fillId="0" borderId="68" xfId="0" applyNumberFormat="1" applyBorder="1"/>
    <xf numFmtId="172" fontId="0" fillId="0" borderId="68" xfId="3" applyNumberFormat="1" applyFont="1" applyFill="1" applyBorder="1"/>
    <xf numFmtId="0" fontId="0" fillId="0" borderId="6" xfId="0" applyBorder="1" applyAlignment="1">
      <alignment wrapText="1"/>
    </xf>
    <xf numFmtId="0" fontId="19" fillId="0" borderId="0" xfId="0" applyFont="1" applyAlignment="1">
      <alignment horizontal="left" vertical="top" wrapText="1"/>
    </xf>
    <xf numFmtId="0" fontId="0" fillId="0" borderId="0" xfId="0" applyAlignment="1">
      <alignment horizontal="left" vertical="top" wrapText="1"/>
    </xf>
    <xf numFmtId="0" fontId="10" fillId="0" borderId="53" xfId="0" applyFont="1" applyBorder="1" applyAlignment="1">
      <alignment vertical="top"/>
    </xf>
    <xf numFmtId="173" fontId="0" fillId="0" borderId="53" xfId="3" applyNumberFormat="1" applyFont="1" applyBorder="1" applyAlignment="1">
      <alignment horizontal="right" vertical="top" wrapText="1"/>
    </xf>
    <xf numFmtId="9" fontId="0" fillId="0" borderId="53" xfId="1" applyFont="1" applyBorder="1" applyAlignment="1">
      <alignment vertical="top" wrapText="1"/>
    </xf>
    <xf numFmtId="2" fontId="0" fillId="0" borderId="62" xfId="0" applyNumberFormat="1" applyBorder="1" applyAlignment="1">
      <alignment vertical="top" wrapText="1"/>
    </xf>
    <xf numFmtId="166" fontId="0" fillId="0" borderId="0" xfId="0" applyNumberFormat="1" applyAlignment="1">
      <alignment horizontal="right" vertical="top" wrapText="1"/>
    </xf>
    <xf numFmtId="166" fontId="0" fillId="0" borderId="0" xfId="3" applyFont="1" applyBorder="1" applyAlignment="1">
      <alignment vertical="top" wrapText="1"/>
    </xf>
    <xf numFmtId="170" fontId="0" fillId="0" borderId="0" xfId="1" applyNumberFormat="1" applyFont="1" applyBorder="1" applyAlignment="1">
      <alignment vertical="top" wrapText="1"/>
    </xf>
    <xf numFmtId="170" fontId="0" fillId="0" borderId="0" xfId="1" applyNumberFormat="1" applyFont="1" applyAlignment="1">
      <alignment vertical="top" wrapText="1"/>
    </xf>
    <xf numFmtId="166" fontId="0" fillId="0" borderId="68" xfId="3" applyFont="1" applyBorder="1" applyAlignment="1">
      <alignment horizontal="left" vertical="top" wrapText="1"/>
    </xf>
    <xf numFmtId="166" fontId="0" fillId="0" borderId="65" xfId="3" applyFont="1" applyBorder="1" applyAlignment="1">
      <alignment vertical="top" wrapText="1"/>
    </xf>
    <xf numFmtId="166" fontId="0" fillId="0" borderId="65" xfId="3" applyFont="1" applyBorder="1" applyAlignment="1">
      <alignment horizontal="left" vertical="top" wrapText="1"/>
    </xf>
    <xf numFmtId="0" fontId="10" fillId="0" borderId="67" xfId="0" applyFont="1" applyBorder="1" applyAlignment="1">
      <alignment vertical="top" wrapText="1"/>
    </xf>
    <xf numFmtId="166" fontId="0" fillId="0" borderId="62" xfId="3" applyFont="1" applyBorder="1" applyAlignment="1">
      <alignment vertical="top" wrapText="1"/>
    </xf>
    <xf numFmtId="0" fontId="0" fillId="0" borderId="1" xfId="0" applyBorder="1" applyAlignment="1">
      <alignment vertical="top" wrapText="1"/>
    </xf>
    <xf numFmtId="0" fontId="0" fillId="0" borderId="65" xfId="0" applyBorder="1" applyAlignment="1">
      <alignment horizontal="left" vertical="top" wrapText="1"/>
    </xf>
    <xf numFmtId="167" fontId="0" fillId="0" borderId="65" xfId="0" applyNumberFormat="1" applyBorder="1" applyAlignment="1">
      <alignment horizontal="right" vertical="top" wrapText="1"/>
    </xf>
    <xf numFmtId="167" fontId="0" fillId="0" borderId="65" xfId="0" applyNumberFormat="1" applyBorder="1" applyAlignment="1">
      <alignment horizontal="left" vertical="top" wrapText="1"/>
    </xf>
    <xf numFmtId="0" fontId="0" fillId="0" borderId="68" xfId="0" applyBorder="1" applyAlignment="1">
      <alignment horizontal="right" vertical="top" wrapText="1"/>
    </xf>
    <xf numFmtId="167" fontId="0" fillId="0" borderId="68" xfId="0" applyNumberFormat="1" applyBorder="1" applyAlignment="1">
      <alignment horizontal="left" vertical="top" wrapText="1"/>
    </xf>
    <xf numFmtId="167" fontId="0" fillId="0" borderId="0" xfId="0" applyNumberFormat="1" applyAlignment="1">
      <alignment horizontal="left" vertical="top" wrapText="1"/>
    </xf>
    <xf numFmtId="167" fontId="0" fillId="0" borderId="1" xfId="0" applyNumberFormat="1" applyBorder="1" applyAlignment="1">
      <alignment horizontal="left" vertical="top" wrapText="1"/>
    </xf>
    <xf numFmtId="0" fontId="0" fillId="0" borderId="1" xfId="0" applyBorder="1" applyAlignment="1">
      <alignment horizontal="left" vertical="top" wrapText="1"/>
    </xf>
    <xf numFmtId="0" fontId="0" fillId="0" borderId="67" xfId="0" applyBorder="1" applyAlignment="1">
      <alignment vertical="top" wrapText="1"/>
    </xf>
    <xf numFmtId="0" fontId="0" fillId="0" borderId="0" xfId="0" applyAlignment="1">
      <alignment vertical="top"/>
    </xf>
    <xf numFmtId="0" fontId="10" fillId="0" borderId="6" xfId="0" applyFont="1" applyBorder="1" applyAlignment="1">
      <alignment vertical="top" wrapText="1"/>
    </xf>
    <xf numFmtId="0" fontId="10" fillId="0" borderId="68" xfId="0" applyFont="1" applyBorder="1" applyAlignment="1">
      <alignment vertical="top" wrapText="1"/>
    </xf>
    <xf numFmtId="172" fontId="0" fillId="0" borderId="6" xfId="0" applyNumberFormat="1" applyBorder="1" applyAlignment="1">
      <alignment vertical="top" wrapText="1"/>
    </xf>
    <xf numFmtId="2" fontId="0" fillId="0" borderId="68" xfId="0" applyNumberFormat="1" applyBorder="1"/>
    <xf numFmtId="172" fontId="0" fillId="0" borderId="74" xfId="0" applyNumberFormat="1" applyBorder="1"/>
    <xf numFmtId="172" fontId="0" fillId="0" borderId="6" xfId="3" applyNumberFormat="1" applyFont="1" applyFill="1" applyBorder="1" applyAlignment="1">
      <alignment vertical="top" wrapText="1"/>
    </xf>
    <xf numFmtId="173" fontId="0" fillId="0" borderId="6" xfId="0" applyNumberFormat="1" applyBorder="1" applyAlignment="1">
      <alignment vertical="top" wrapText="1"/>
    </xf>
    <xf numFmtId="170" fontId="0" fillId="0" borderId="68" xfId="0" applyNumberFormat="1" applyBorder="1" applyAlignment="1">
      <alignment horizontal="left" vertical="top"/>
    </xf>
    <xf numFmtId="169" fontId="0" fillId="0" borderId="6" xfId="0" applyNumberFormat="1" applyBorder="1" applyAlignment="1">
      <alignment vertical="top" wrapText="1"/>
    </xf>
    <xf numFmtId="0" fontId="0" fillId="0" borderId="0" xfId="0" quotePrefix="1"/>
    <xf numFmtId="173" fontId="0" fillId="0" borderId="0" xfId="3" applyNumberFormat="1" applyFont="1" applyFill="1"/>
    <xf numFmtId="174" fontId="0" fillId="0" borderId="6" xfId="0" applyNumberFormat="1" applyBorder="1" applyAlignment="1">
      <alignment vertical="top" wrapText="1"/>
    </xf>
    <xf numFmtId="173" fontId="0" fillId="0" borderId="0" xfId="0" applyNumberFormat="1"/>
    <xf numFmtId="175" fontId="0" fillId="0" borderId="6" xfId="0" applyNumberFormat="1" applyBorder="1" applyAlignment="1">
      <alignment vertical="top" wrapText="1"/>
    </xf>
    <xf numFmtId="0" fontId="0" fillId="0" borderId="0" xfId="0" applyAlignment="1">
      <alignment horizontal="center"/>
    </xf>
    <xf numFmtId="0" fontId="10" fillId="0" borderId="53" xfId="0" applyFont="1" applyBorder="1" applyAlignment="1">
      <alignment horizontal="center" wrapText="1"/>
    </xf>
    <xf numFmtId="0" fontId="0" fillId="0" borderId="53" xfId="0" applyBorder="1" applyAlignment="1">
      <alignment horizontal="center"/>
    </xf>
    <xf numFmtId="178" fontId="0" fillId="0" borderId="53" xfId="0" applyNumberFormat="1" applyBorder="1"/>
    <xf numFmtId="177" fontId="0" fillId="0" borderId="53" xfId="0" applyNumberFormat="1" applyBorder="1"/>
    <xf numFmtId="3" fontId="27" fillId="10" borderId="0" xfId="0" applyNumberFormat="1" applyFont="1" applyFill="1" applyProtection="1">
      <protection locked="0"/>
    </xf>
    <xf numFmtId="9" fontId="0" fillId="0" borderId="0" xfId="1" applyFont="1" applyBorder="1"/>
    <xf numFmtId="9" fontId="0" fillId="0" borderId="0" xfId="1" applyFont="1"/>
    <xf numFmtId="0" fontId="0" fillId="0" borderId="60" xfId="0" applyBorder="1"/>
    <xf numFmtId="9" fontId="0" fillId="0" borderId="17" xfId="1" applyFont="1" applyBorder="1"/>
    <xf numFmtId="9" fontId="0" fillId="0" borderId="75" xfId="1" applyFont="1" applyBorder="1"/>
    <xf numFmtId="0" fontId="0" fillId="0" borderId="18" xfId="0" applyBorder="1"/>
    <xf numFmtId="0" fontId="0" fillId="0" borderId="17" xfId="0" applyBorder="1"/>
    <xf numFmtId="0" fontId="0" fillId="0" borderId="61" xfId="0" applyBorder="1"/>
    <xf numFmtId="9" fontId="0" fillId="0" borderId="76" xfId="1" applyFont="1" applyBorder="1"/>
    <xf numFmtId="3" fontId="0" fillId="0" borderId="17" xfId="1" applyNumberFormat="1" applyFont="1" applyBorder="1"/>
    <xf numFmtId="0" fontId="0" fillId="0" borderId="77" xfId="0" applyBorder="1"/>
    <xf numFmtId="0" fontId="0" fillId="0" borderId="10" xfId="0" applyBorder="1" applyAlignment="1">
      <alignment horizontal="left"/>
    </xf>
    <xf numFmtId="0" fontId="0" fillId="0" borderId="10" xfId="0" applyBorder="1"/>
    <xf numFmtId="168" fontId="0" fillId="0" borderId="10" xfId="2" applyNumberFormat="1" applyFont="1" applyBorder="1"/>
    <xf numFmtId="9" fontId="0" fillId="0" borderId="10" xfId="1" applyFont="1" applyBorder="1"/>
    <xf numFmtId="0" fontId="0" fillId="0" borderId="11" xfId="0" applyBorder="1"/>
    <xf numFmtId="168" fontId="0" fillId="0" borderId="0" xfId="2" applyNumberFormat="1" applyFont="1" applyBorder="1"/>
    <xf numFmtId="0" fontId="0" fillId="0" borderId="26" xfId="0" applyBorder="1"/>
    <xf numFmtId="168" fontId="0" fillId="0" borderId="26" xfId="2" applyNumberFormat="1" applyFont="1" applyBorder="1"/>
    <xf numFmtId="9" fontId="0" fillId="0" borderId="26" xfId="1" applyFont="1" applyBorder="1"/>
    <xf numFmtId="0" fontId="0" fillId="0" borderId="27" xfId="0" applyBorder="1"/>
    <xf numFmtId="2" fontId="0" fillId="0" borderId="10" xfId="0" applyNumberFormat="1" applyBorder="1"/>
    <xf numFmtId="2" fontId="0" fillId="0" borderId="26" xfId="0" applyNumberFormat="1" applyBorder="1"/>
    <xf numFmtId="172" fontId="0" fillId="0" borderId="68" xfId="0" applyNumberFormat="1" applyBorder="1" applyAlignment="1">
      <alignment vertical="top" wrapText="1"/>
    </xf>
    <xf numFmtId="0" fontId="0" fillId="0" borderId="76" xfId="0" applyBorder="1"/>
    <xf numFmtId="0" fontId="0" fillId="0" borderId="75" xfId="0" applyBorder="1"/>
    <xf numFmtId="168" fontId="0" fillId="0" borderId="0" xfId="2" applyNumberFormat="1" applyFont="1" applyFill="1" applyBorder="1"/>
    <xf numFmtId="168" fontId="0" fillId="0" borderId="0" xfId="0" applyNumberFormat="1"/>
    <xf numFmtId="0" fontId="10" fillId="0" borderId="28" xfId="0" applyFont="1" applyBorder="1" applyAlignment="1">
      <alignment horizontal="left"/>
    </xf>
    <xf numFmtId="0" fontId="10" fillId="0" borderId="50" xfId="0" applyFont="1" applyBorder="1" applyAlignment="1">
      <alignment horizontal="left"/>
    </xf>
    <xf numFmtId="0" fontId="0" fillId="0" borderId="0" xfId="0" applyAlignment="1">
      <alignment horizontal="left"/>
    </xf>
    <xf numFmtId="0" fontId="0" fillId="0" borderId="26" xfId="0" applyBorder="1" applyAlignment="1">
      <alignment horizontal="left"/>
    </xf>
    <xf numFmtId="0" fontId="10" fillId="0" borderId="51" xfId="0" applyFont="1" applyBorder="1" applyAlignment="1">
      <alignment horizontal="left"/>
    </xf>
    <xf numFmtId="0" fontId="21" fillId="0" borderId="17" xfId="0" applyFont="1" applyBorder="1" applyAlignment="1">
      <alignment horizontal="right" vertical="top" wrapText="1"/>
    </xf>
    <xf numFmtId="0" fontId="19" fillId="0" borderId="0" xfId="0" applyFont="1"/>
    <xf numFmtId="9" fontId="19" fillId="11" borderId="53" xfId="1" applyFont="1" applyFill="1" applyBorder="1"/>
    <xf numFmtId="0" fontId="10" fillId="11" borderId="53" xfId="0" applyFont="1" applyFill="1" applyBorder="1"/>
    <xf numFmtId="0" fontId="0" fillId="11" borderId="53" xfId="0" applyFill="1" applyBorder="1"/>
    <xf numFmtId="9" fontId="0" fillId="0" borderId="68" xfId="1" applyFont="1" applyBorder="1"/>
    <xf numFmtId="9" fontId="0" fillId="0" borderId="68" xfId="1" applyFont="1" applyFill="1" applyBorder="1"/>
    <xf numFmtId="9" fontId="30" fillId="0" borderId="68" xfId="1" applyFont="1" applyBorder="1"/>
    <xf numFmtId="0" fontId="0" fillId="0" borderId="5" xfId="0" applyBorder="1"/>
    <xf numFmtId="9" fontId="30" fillId="0" borderId="5" xfId="0" applyNumberFormat="1" applyFont="1" applyBorder="1"/>
    <xf numFmtId="9" fontId="0" fillId="0" borderId="5" xfId="1" applyFont="1" applyBorder="1"/>
    <xf numFmtId="9" fontId="0" fillId="0" borderId="5" xfId="1" applyFont="1" applyFill="1" applyBorder="1"/>
    <xf numFmtId="9" fontId="0" fillId="0" borderId="5" xfId="0" applyNumberFormat="1" applyBorder="1"/>
    <xf numFmtId="9" fontId="0" fillId="0" borderId="68" xfId="0" applyNumberFormat="1" applyBorder="1"/>
    <xf numFmtId="9" fontId="30" fillId="0" borderId="5" xfId="1" applyFont="1" applyBorder="1"/>
    <xf numFmtId="9" fontId="30" fillId="0" borderId="68" xfId="0" applyNumberFormat="1" applyFont="1" applyBorder="1"/>
    <xf numFmtId="9" fontId="0" fillId="0" borderId="65" xfId="1" applyFont="1" applyBorder="1"/>
    <xf numFmtId="9" fontId="0" fillId="0" borderId="65" xfId="0" applyNumberFormat="1" applyBorder="1"/>
    <xf numFmtId="9" fontId="0" fillId="0" borderId="0" xfId="0" applyNumberFormat="1"/>
    <xf numFmtId="0" fontId="19" fillId="11" borderId="53" xfId="0" applyFont="1" applyFill="1" applyBorder="1"/>
    <xf numFmtId="0" fontId="0" fillId="11" borderId="68" xfId="0" applyFill="1" applyBorder="1"/>
    <xf numFmtId="9" fontId="0" fillId="0" borderId="62" xfId="1" applyFont="1" applyBorder="1"/>
    <xf numFmtId="9" fontId="8" fillId="0" borderId="68" xfId="1" applyFont="1" applyBorder="1"/>
    <xf numFmtId="0" fontId="10" fillId="11" borderId="53" xfId="0" applyFont="1" applyFill="1" applyBorder="1" applyAlignment="1">
      <alignment wrapText="1"/>
    </xf>
    <xf numFmtId="9" fontId="0" fillId="0" borderId="53" xfId="1" applyFont="1" applyFill="1" applyBorder="1" applyAlignment="1">
      <alignment horizontal="center"/>
    </xf>
    <xf numFmtId="9" fontId="0" fillId="0" borderId="53" xfId="1" applyFont="1" applyFill="1" applyBorder="1"/>
    <xf numFmtId="9" fontId="0" fillId="0" borderId="53" xfId="1" applyFont="1" applyBorder="1" applyAlignment="1">
      <alignment horizontal="center"/>
    </xf>
    <xf numFmtId="0" fontId="0" fillId="0" borderId="0" xfId="0" applyAlignment="1">
      <alignment horizontal="center" vertical="center" textRotation="90" wrapText="1"/>
    </xf>
    <xf numFmtId="9" fontId="0" fillId="0" borderId="0" xfId="1" applyFont="1" applyBorder="1" applyAlignment="1">
      <alignment horizontal="center"/>
    </xf>
    <xf numFmtId="0" fontId="0" fillId="0" borderId="78" xfId="0" applyBorder="1"/>
    <xf numFmtId="0" fontId="0" fillId="0" borderId="57" xfId="0" applyBorder="1"/>
    <xf numFmtId="173" fontId="0" fillId="0" borderId="62" xfId="0" applyNumberFormat="1" applyBorder="1"/>
    <xf numFmtId="0" fontId="0" fillId="0" borderId="62" xfId="0" applyBorder="1" applyAlignment="1">
      <alignment wrapText="1"/>
    </xf>
    <xf numFmtId="0" fontId="0" fillId="0" borderId="4" xfId="0" applyBorder="1" applyAlignment="1">
      <alignment horizontal="left" vertical="top"/>
    </xf>
    <xf numFmtId="0" fontId="0" fillId="0" borderId="1" xfId="0" applyBorder="1"/>
    <xf numFmtId="174" fontId="0" fillId="0" borderId="0" xfId="0" applyNumberFormat="1"/>
    <xf numFmtId="0" fontId="10" fillId="0" borderId="69" xfId="0" applyFont="1" applyBorder="1" applyAlignment="1">
      <alignment vertical="top" wrapText="1"/>
    </xf>
    <xf numFmtId="0" fontId="10" fillId="0" borderId="70" xfId="0" applyFont="1" applyBorder="1" applyAlignment="1">
      <alignment vertical="top" wrapText="1"/>
    </xf>
    <xf numFmtId="0" fontId="10" fillId="0" borderId="71" xfId="0" applyFont="1" applyBorder="1" applyAlignment="1">
      <alignment vertical="top" wrapText="1"/>
    </xf>
    <xf numFmtId="0" fontId="10" fillId="0" borderId="54" xfId="0" applyFont="1" applyBorder="1"/>
    <xf numFmtId="0" fontId="0" fillId="0" borderId="73" xfId="0" applyBorder="1" applyAlignment="1">
      <alignment vertical="top" wrapText="1"/>
    </xf>
    <xf numFmtId="172" fontId="0" fillId="0" borderId="56" xfId="0" applyNumberFormat="1" applyBorder="1" applyAlignment="1">
      <alignment vertical="top" wrapText="1"/>
    </xf>
    <xf numFmtId="176" fontId="0" fillId="0" borderId="68" xfId="0" applyNumberFormat="1" applyBorder="1"/>
    <xf numFmtId="0" fontId="0" fillId="0" borderId="7" xfId="0" applyBorder="1"/>
    <xf numFmtId="0" fontId="0" fillId="0" borderId="7" xfId="0" applyBorder="1" applyAlignment="1">
      <alignment wrapText="1"/>
    </xf>
    <xf numFmtId="0" fontId="0" fillId="0" borderId="7" xfId="0" applyBorder="1" applyAlignment="1">
      <alignment horizontal="left" vertical="top"/>
    </xf>
    <xf numFmtId="172" fontId="0" fillId="0" borderId="68" xfId="3" applyNumberFormat="1" applyFont="1" applyBorder="1" applyAlignment="1">
      <alignment vertical="top" wrapText="1"/>
    </xf>
    <xf numFmtId="166" fontId="0" fillId="0" borderId="0" xfId="3" applyFont="1" applyFill="1" applyBorder="1" applyAlignment="1">
      <alignment horizontal="right" vertical="top" wrapText="1"/>
    </xf>
    <xf numFmtId="171" fontId="0" fillId="0" borderId="0" xfId="0" applyNumberFormat="1" applyAlignment="1">
      <alignment horizontal="right" vertical="top" wrapText="1"/>
    </xf>
    <xf numFmtId="171" fontId="0" fillId="0" borderId="0" xfId="3" applyNumberFormat="1" applyFont="1" applyFill="1" applyBorder="1" applyAlignment="1">
      <alignment vertical="top" wrapText="1"/>
    </xf>
    <xf numFmtId="172" fontId="0" fillId="0" borderId="0" xfId="3" applyNumberFormat="1" applyFont="1" applyFill="1" applyBorder="1" applyAlignment="1">
      <alignment horizontal="right" vertical="top" wrapText="1"/>
    </xf>
    <xf numFmtId="173" fontId="0" fillId="0" borderId="0" xfId="3" applyNumberFormat="1" applyFont="1" applyFill="1" applyBorder="1" applyAlignment="1">
      <alignment vertical="top" wrapText="1"/>
    </xf>
    <xf numFmtId="166" fontId="0" fillId="0" borderId="0" xfId="3" applyFont="1" applyFill="1" applyBorder="1" applyAlignment="1">
      <alignment vertical="top" wrapText="1"/>
    </xf>
    <xf numFmtId="172" fontId="0" fillId="0" borderId="68" xfId="3" applyNumberFormat="1" applyFont="1" applyFill="1" applyBorder="1" applyAlignment="1">
      <alignment vertical="top" wrapText="1"/>
    </xf>
    <xf numFmtId="172" fontId="0" fillId="0" borderId="65" xfId="3" applyNumberFormat="1" applyFont="1" applyFill="1" applyBorder="1" applyAlignment="1">
      <alignment vertical="top" wrapText="1"/>
    </xf>
    <xf numFmtId="172" fontId="0" fillId="0" borderId="65" xfId="3" applyNumberFormat="1" applyFont="1" applyBorder="1" applyAlignment="1">
      <alignment vertical="top" wrapText="1"/>
    </xf>
    <xf numFmtId="172" fontId="0" fillId="0" borderId="62" xfId="0" applyNumberFormat="1" applyBorder="1" applyAlignment="1">
      <alignment vertical="top" wrapText="1"/>
    </xf>
    <xf numFmtId="172" fontId="0" fillId="0" borderId="0" xfId="0" applyNumberFormat="1" applyAlignment="1">
      <alignment vertical="top" wrapText="1"/>
    </xf>
    <xf numFmtId="172" fontId="10" fillId="9" borderId="53" xfId="0" applyNumberFormat="1" applyFont="1" applyFill="1" applyBorder="1" applyAlignment="1">
      <alignment vertical="top" wrapText="1"/>
    </xf>
    <xf numFmtId="167" fontId="0" fillId="0" borderId="0" xfId="0" applyNumberFormat="1" applyAlignment="1">
      <alignment vertical="top" wrapText="1"/>
    </xf>
    <xf numFmtId="171" fontId="0" fillId="0" borderId="68" xfId="0" applyNumberFormat="1" applyBorder="1" applyAlignment="1">
      <alignment vertical="top" wrapText="1"/>
    </xf>
    <xf numFmtId="166" fontId="0" fillId="0" borderId="0" xfId="0" applyNumberFormat="1" applyAlignment="1">
      <alignment vertical="top" wrapText="1"/>
    </xf>
    <xf numFmtId="172" fontId="0" fillId="0" borderId="68" xfId="0" applyNumberFormat="1" applyBorder="1" applyAlignment="1">
      <alignment horizontal="right" vertical="top" wrapText="1"/>
    </xf>
    <xf numFmtId="172" fontId="0" fillId="0" borderId="65" xfId="0" applyNumberFormat="1" applyBorder="1" applyAlignment="1">
      <alignment vertical="top" wrapText="1"/>
    </xf>
    <xf numFmtId="172" fontId="0" fillId="0" borderId="0" xfId="0" applyNumberFormat="1" applyAlignment="1">
      <alignment horizontal="right" vertical="top" wrapText="1"/>
    </xf>
    <xf numFmtId="172" fontId="0" fillId="0" borderId="1" xfId="0" applyNumberFormat="1" applyBorder="1" applyAlignment="1">
      <alignment vertical="top" wrapText="1"/>
    </xf>
    <xf numFmtId="172" fontId="0" fillId="0" borderId="65" xfId="0" applyNumberFormat="1" applyBorder="1" applyAlignment="1">
      <alignment horizontal="right" vertical="top" wrapText="1"/>
    </xf>
    <xf numFmtId="0" fontId="0" fillId="0" borderId="0" xfId="0" applyAlignment="1">
      <alignment horizontal="right"/>
    </xf>
    <xf numFmtId="172" fontId="0" fillId="0" borderId="0" xfId="3" applyNumberFormat="1" applyFont="1" applyBorder="1" applyAlignment="1">
      <alignment vertical="top" wrapText="1"/>
    </xf>
    <xf numFmtId="20" fontId="0" fillId="0" borderId="0" xfId="0" quotePrefix="1" applyNumberFormat="1"/>
    <xf numFmtId="171" fontId="0" fillId="0" borderId="68" xfId="3" applyNumberFormat="1" applyFont="1" applyBorder="1" applyAlignment="1">
      <alignment vertical="top" wrapText="1"/>
    </xf>
    <xf numFmtId="172" fontId="0" fillId="0" borderId="0" xfId="3" applyNumberFormat="1" applyFont="1" applyFill="1" applyBorder="1" applyAlignment="1">
      <alignment vertical="top" wrapText="1"/>
    </xf>
    <xf numFmtId="172" fontId="10" fillId="7" borderId="53" xfId="0" applyNumberFormat="1" applyFont="1" applyFill="1" applyBorder="1" applyAlignment="1">
      <alignment vertical="top" wrapText="1"/>
    </xf>
    <xf numFmtId="172" fontId="0" fillId="0" borderId="62" xfId="3" applyNumberFormat="1" applyFont="1" applyFill="1" applyBorder="1" applyAlignment="1">
      <alignment vertical="top" wrapText="1"/>
    </xf>
    <xf numFmtId="171" fontId="0" fillId="0" borderId="62" xfId="0" applyNumberFormat="1" applyBorder="1" applyAlignment="1">
      <alignment vertical="top" wrapText="1"/>
    </xf>
    <xf numFmtId="3" fontId="0" fillId="0" borderId="62" xfId="0" applyNumberFormat="1" applyBorder="1" applyAlignment="1">
      <alignment vertical="top" wrapText="1"/>
    </xf>
    <xf numFmtId="3" fontId="0" fillId="0" borderId="68" xfId="3" applyNumberFormat="1" applyFont="1" applyBorder="1" applyAlignment="1">
      <alignment vertical="top" wrapText="1"/>
    </xf>
    <xf numFmtId="172" fontId="32" fillId="13" borderId="53" xfId="0" applyNumberFormat="1" applyFont="1" applyFill="1" applyBorder="1" applyAlignment="1">
      <alignment vertical="top" wrapText="1"/>
    </xf>
    <xf numFmtId="0" fontId="32" fillId="13" borderId="53" xfId="0" applyFont="1" applyFill="1" applyBorder="1" applyAlignment="1">
      <alignment horizontal="left" vertical="top" wrapText="1"/>
    </xf>
    <xf numFmtId="0" fontId="29" fillId="0" borderId="62" xfId="0" applyFont="1" applyBorder="1" applyAlignment="1">
      <alignment vertical="top" wrapText="1"/>
    </xf>
    <xf numFmtId="3" fontId="29" fillId="0" borderId="62" xfId="0" applyNumberFormat="1" applyFont="1" applyBorder="1" applyAlignment="1">
      <alignment vertical="top" wrapText="1"/>
    </xf>
    <xf numFmtId="0" fontId="29" fillId="0" borderId="68" xfId="0" applyFont="1" applyBorder="1" applyAlignment="1">
      <alignment vertical="top" wrapText="1"/>
    </xf>
    <xf numFmtId="3" fontId="29" fillId="0" borderId="68" xfId="3" applyNumberFormat="1" applyFont="1" applyBorder="1" applyAlignment="1">
      <alignment vertical="top" wrapText="1"/>
    </xf>
    <xf numFmtId="0" fontId="29" fillId="0" borderId="65" xfId="0" applyFont="1" applyBorder="1" applyAlignment="1">
      <alignment vertical="top" wrapText="1"/>
    </xf>
    <xf numFmtId="165" fontId="0" fillId="0" borderId="0" xfId="2" applyFont="1" applyBorder="1"/>
    <xf numFmtId="165" fontId="0" fillId="0" borderId="17" xfId="2" applyFont="1" applyBorder="1"/>
    <xf numFmtId="166" fontId="0" fillId="0" borderId="62" xfId="0" applyNumberFormat="1" applyBorder="1" applyAlignment="1">
      <alignment vertical="top" wrapText="1"/>
    </xf>
    <xf numFmtId="165" fontId="0" fillId="0" borderId="0" xfId="0" applyNumberFormat="1"/>
    <xf numFmtId="0" fontId="10" fillId="0" borderId="52" xfId="0" applyFont="1" applyBorder="1"/>
    <xf numFmtId="4" fontId="2" fillId="2" borderId="0" xfId="0" applyNumberFormat="1" applyFont="1" applyFill="1" applyProtection="1">
      <protection locked="0"/>
    </xf>
    <xf numFmtId="0" fontId="10" fillId="0" borderId="50" xfId="0" applyFont="1" applyBorder="1" applyAlignment="1">
      <alignment horizontal="left" wrapText="1"/>
    </xf>
    <xf numFmtId="0" fontId="10" fillId="0" borderId="51" xfId="0" applyFont="1" applyBorder="1" applyAlignment="1">
      <alignment horizontal="left" wrapText="1"/>
    </xf>
    <xf numFmtId="169" fontId="0" fillId="0" borderId="10" xfId="0" applyNumberFormat="1" applyBorder="1"/>
    <xf numFmtId="169" fontId="0" fillId="0" borderId="0" xfId="0" applyNumberFormat="1"/>
    <xf numFmtId="169" fontId="0" fillId="0" borderId="26" xfId="0" applyNumberFormat="1" applyBorder="1"/>
    <xf numFmtId="165" fontId="6" fillId="2" borderId="0" xfId="2" applyFont="1" applyFill="1" applyBorder="1" applyAlignment="1" applyProtection="1">
      <alignment horizontal="left"/>
      <protection locked="0"/>
    </xf>
    <xf numFmtId="0" fontId="10" fillId="0" borderId="4" xfId="0" applyFont="1" applyBorder="1" applyAlignment="1">
      <alignment vertical="top" wrapText="1"/>
    </xf>
    <xf numFmtId="172" fontId="0" fillId="0" borderId="8" xfId="0" applyNumberFormat="1" applyBorder="1" applyAlignment="1">
      <alignment vertical="top" wrapText="1"/>
    </xf>
    <xf numFmtId="173" fontId="0" fillId="0" borderId="68" xfId="3" applyNumberFormat="1" applyFont="1" applyFill="1" applyBorder="1" applyAlignment="1">
      <alignment vertical="top" wrapText="1"/>
    </xf>
    <xf numFmtId="0" fontId="0" fillId="0" borderId="6" xfId="0" applyBorder="1" applyAlignment="1">
      <alignment vertical="top"/>
    </xf>
    <xf numFmtId="20" fontId="0" fillId="0" borderId="53" xfId="0" quotePrefix="1" applyNumberFormat="1" applyBorder="1"/>
    <xf numFmtId="173" fontId="0" fillId="0" borderId="54" xfId="0" applyNumberFormat="1" applyBorder="1"/>
    <xf numFmtId="2" fontId="0" fillId="0" borderId="56" xfId="0" applyNumberFormat="1" applyBorder="1"/>
    <xf numFmtId="172" fontId="0" fillId="0" borderId="57" xfId="3" applyNumberFormat="1" applyFont="1" applyFill="1" applyBorder="1"/>
    <xf numFmtId="0" fontId="0" fillId="0" borderId="52" xfId="0" applyBorder="1" applyAlignment="1">
      <alignment wrapText="1"/>
    </xf>
    <xf numFmtId="172" fontId="0" fillId="0" borderId="53" xfId="3" applyNumberFormat="1" applyFont="1" applyFill="1" applyBorder="1"/>
    <xf numFmtId="167" fontId="0" fillId="0" borderId="53" xfId="0" applyNumberFormat="1" applyBorder="1"/>
    <xf numFmtId="167" fontId="0" fillId="0" borderId="56" xfId="0" applyNumberFormat="1" applyBorder="1"/>
    <xf numFmtId="0" fontId="0" fillId="0" borderId="62" xfId="0" applyBorder="1" applyAlignment="1">
      <alignment horizontal="left" vertical="top"/>
    </xf>
    <xf numFmtId="172" fontId="0" fillId="0" borderId="65" xfId="3" applyNumberFormat="1" applyFont="1" applyFill="1" applyBorder="1"/>
    <xf numFmtId="0" fontId="0" fillId="0" borderId="68" xfId="0" applyBorder="1" applyAlignment="1">
      <alignment horizontal="left" wrapText="1"/>
    </xf>
    <xf numFmtId="171" fontId="0" fillId="0" borderId="68" xfId="0" applyNumberFormat="1" applyBorder="1"/>
    <xf numFmtId="0" fontId="10" fillId="0" borderId="55" xfId="0" applyFont="1" applyBorder="1" applyAlignment="1">
      <alignment vertical="top" wrapText="1"/>
    </xf>
    <xf numFmtId="0" fontId="10" fillId="0" borderId="9" xfId="0" applyFont="1" applyBorder="1"/>
    <xf numFmtId="0" fontId="0" fillId="0" borderId="71" xfId="0" applyBorder="1"/>
    <xf numFmtId="9" fontId="0" fillId="0" borderId="54" xfId="1" applyFont="1" applyFill="1" applyBorder="1"/>
    <xf numFmtId="9" fontId="0" fillId="0" borderId="57" xfId="1" applyFont="1" applyFill="1" applyBorder="1"/>
    <xf numFmtId="9" fontId="0" fillId="0" borderId="6" xfId="1" applyFont="1" applyFill="1" applyBorder="1" applyAlignment="1">
      <alignment horizontal="left" vertical="top"/>
    </xf>
    <xf numFmtId="174" fontId="0" fillId="0" borderId="6" xfId="0" applyNumberFormat="1" applyBorder="1"/>
    <xf numFmtId="0" fontId="10" fillId="0" borderId="17" xfId="0" applyFont="1" applyBorder="1"/>
    <xf numFmtId="0" fontId="0" fillId="12" borderId="53" xfId="0" applyFill="1" applyBorder="1" applyAlignment="1">
      <alignment horizontal="center"/>
    </xf>
    <xf numFmtId="0" fontId="0" fillId="12" borderId="53" xfId="1" applyNumberFormat="1" applyFont="1" applyFill="1" applyBorder="1" applyAlignment="1">
      <alignment horizontal="center"/>
    </xf>
    <xf numFmtId="183" fontId="0" fillId="0" borderId="0" xfId="3" applyNumberFormat="1" applyFont="1" applyFill="1" applyBorder="1" applyAlignment="1">
      <alignment horizontal="center" vertical="center"/>
    </xf>
    <xf numFmtId="182" fontId="0" fillId="0" borderId="17" xfId="3" applyNumberFormat="1" applyFont="1" applyBorder="1" applyAlignment="1">
      <alignment horizontal="center" vertical="center"/>
    </xf>
    <xf numFmtId="182" fontId="0" fillId="0" borderId="27" xfId="3" applyNumberFormat="1" applyFont="1" applyBorder="1" applyAlignment="1">
      <alignment horizontal="center" vertical="center"/>
    </xf>
    <xf numFmtId="183" fontId="0" fillId="0" borderId="0" xfId="3" applyNumberFormat="1" applyFont="1" applyBorder="1" applyAlignment="1">
      <alignment horizontal="center" vertical="center"/>
    </xf>
    <xf numFmtId="183" fontId="0" fillId="0" borderId="17" xfId="3" applyNumberFormat="1" applyFont="1" applyBorder="1" applyAlignment="1">
      <alignment horizontal="center" vertical="center"/>
    </xf>
    <xf numFmtId="1" fontId="0" fillId="12" borderId="53" xfId="0" applyNumberFormat="1" applyFill="1" applyBorder="1" applyAlignment="1">
      <alignment horizontal="center"/>
    </xf>
    <xf numFmtId="183" fontId="0" fillId="0" borderId="0" xfId="3" applyNumberFormat="1" applyFont="1" applyFill="1" applyBorder="1"/>
    <xf numFmtId="183" fontId="0" fillId="0" borderId="0" xfId="3" applyNumberFormat="1" applyFont="1" applyBorder="1"/>
    <xf numFmtId="183" fontId="0" fillId="0" borderId="17" xfId="3" applyNumberFormat="1" applyFont="1" applyBorder="1"/>
    <xf numFmtId="0" fontId="0" fillId="0" borderId="77" xfId="0" applyBorder="1" applyAlignment="1">
      <alignment vertical="top" wrapText="1"/>
    </xf>
    <xf numFmtId="183" fontId="0" fillId="0" borderId="26" xfId="3" applyNumberFormat="1" applyFont="1" applyBorder="1"/>
    <xf numFmtId="183" fontId="0" fillId="0" borderId="27" xfId="3" applyNumberFormat="1" applyFont="1" applyBorder="1"/>
    <xf numFmtId="183" fontId="0" fillId="0" borderId="6" xfId="3" applyNumberFormat="1" applyFont="1" applyBorder="1"/>
    <xf numFmtId="183" fontId="0" fillId="0" borderId="6" xfId="3" applyNumberFormat="1" applyFont="1" applyFill="1" applyBorder="1" applyAlignment="1">
      <alignment horizontal="center" vertical="center"/>
    </xf>
    <xf numFmtId="183" fontId="0" fillId="0" borderId="6" xfId="3" applyNumberFormat="1" applyFont="1" applyFill="1" applyBorder="1"/>
    <xf numFmtId="183" fontId="0" fillId="0" borderId="86" xfId="3" applyNumberFormat="1" applyFont="1" applyFill="1" applyBorder="1"/>
    <xf numFmtId="183" fontId="0" fillId="0" borderId="86" xfId="3" applyNumberFormat="1" applyFont="1" applyBorder="1"/>
    <xf numFmtId="165" fontId="0" fillId="0" borderId="5" xfId="2" applyFont="1" applyBorder="1"/>
    <xf numFmtId="165" fontId="0" fillId="0" borderId="6" xfId="2" applyFont="1" applyBorder="1"/>
    <xf numFmtId="0" fontId="0" fillId="0" borderId="87" xfId="0" applyBorder="1"/>
    <xf numFmtId="3" fontId="0" fillId="0" borderId="6" xfId="2" applyNumberFormat="1" applyFont="1" applyBorder="1"/>
    <xf numFmtId="4" fontId="0" fillId="0" borderId="6" xfId="2" applyNumberFormat="1" applyFont="1" applyBorder="1"/>
    <xf numFmtId="2" fontId="0" fillId="0" borderId="6" xfId="0" applyNumberFormat="1" applyBorder="1"/>
    <xf numFmtId="2" fontId="0" fillId="0" borderId="86" xfId="0" applyNumberFormat="1" applyBorder="1"/>
    <xf numFmtId="0" fontId="0" fillId="0" borderId="88" xfId="0" applyBorder="1"/>
    <xf numFmtId="3" fontId="0" fillId="0" borderId="68" xfId="2" applyNumberFormat="1" applyFont="1" applyBorder="1"/>
    <xf numFmtId="4" fontId="0" fillId="0" borderId="68" xfId="2" applyNumberFormat="1" applyFont="1" applyBorder="1"/>
    <xf numFmtId="4" fontId="0" fillId="0" borderId="81" xfId="2" applyNumberFormat="1" applyFont="1" applyBorder="1"/>
    <xf numFmtId="3" fontId="0" fillId="0" borderId="62" xfId="1" applyNumberFormat="1" applyFont="1" applyBorder="1"/>
    <xf numFmtId="3" fontId="0" fillId="0" borderId="68" xfId="1" applyNumberFormat="1" applyFont="1" applyBorder="1"/>
    <xf numFmtId="3" fontId="0" fillId="0" borderId="65" xfId="1" applyNumberFormat="1" applyFont="1" applyBorder="1"/>
    <xf numFmtId="3" fontId="0" fillId="0" borderId="81" xfId="1" applyNumberFormat="1" applyFont="1" applyBorder="1"/>
    <xf numFmtId="0" fontId="2" fillId="0" borderId="53" xfId="0" applyFont="1" applyBorder="1"/>
    <xf numFmtId="0" fontId="2" fillId="0" borderId="65" xfId="0" applyFont="1" applyBorder="1"/>
    <xf numFmtId="0" fontId="0" fillId="0" borderId="65" xfId="0" applyBorder="1" applyAlignment="1">
      <alignment horizontal="center"/>
    </xf>
    <xf numFmtId="0" fontId="30" fillId="0" borderId="5" xfId="0" applyFont="1" applyBorder="1"/>
    <xf numFmtId="9" fontId="30" fillId="0" borderId="65" xfId="1" applyFont="1" applyBorder="1"/>
    <xf numFmtId="0" fontId="30" fillId="0" borderId="68" xfId="0" applyFont="1" applyBorder="1"/>
    <xf numFmtId="1" fontId="0" fillId="0" borderId="53" xfId="0" applyNumberFormat="1" applyBorder="1" applyAlignment="1">
      <alignment horizontal="right"/>
    </xf>
    <xf numFmtId="0" fontId="0" fillId="0" borderId="7" xfId="0" applyBorder="1" applyAlignment="1">
      <alignment horizontal="left" vertical="top" wrapText="1"/>
    </xf>
    <xf numFmtId="172" fontId="0" fillId="0" borderId="53" xfId="3" applyNumberFormat="1" applyFont="1" applyBorder="1"/>
    <xf numFmtId="0" fontId="0" fillId="12" borderId="62" xfId="1" applyNumberFormat="1" applyFont="1" applyFill="1" applyBorder="1" applyAlignment="1">
      <alignment horizontal="center"/>
    </xf>
    <xf numFmtId="0" fontId="0" fillId="0" borderId="3" xfId="1" applyNumberFormat="1" applyFont="1" applyFill="1" applyBorder="1" applyAlignment="1">
      <alignment horizontal="center"/>
    </xf>
    <xf numFmtId="0" fontId="0" fillId="0" borderId="67" xfId="0" applyBorder="1"/>
    <xf numFmtId="0" fontId="0" fillId="0" borderId="92" xfId="0" applyBorder="1"/>
    <xf numFmtId="0" fontId="0" fillId="0" borderId="65" xfId="0" applyBorder="1" applyAlignment="1">
      <alignment horizontal="right"/>
    </xf>
    <xf numFmtId="166" fontId="0" fillId="0" borderId="0" xfId="3" applyFont="1" applyBorder="1"/>
    <xf numFmtId="1" fontId="0" fillId="12" borderId="53" xfId="1" applyNumberFormat="1" applyFont="1" applyFill="1" applyBorder="1" applyAlignment="1">
      <alignment horizontal="center"/>
    </xf>
    <xf numFmtId="1" fontId="0" fillId="0" borderId="53" xfId="0" applyNumberFormat="1" applyBorder="1" applyAlignment="1">
      <alignment horizontal="center"/>
    </xf>
    <xf numFmtId="1" fontId="0" fillId="12" borderId="59" xfId="0" applyNumberFormat="1" applyFill="1" applyBorder="1" applyAlignment="1">
      <alignment horizontal="center"/>
    </xf>
    <xf numFmtId="171" fontId="0" fillId="0" borderId="53" xfId="0" applyNumberFormat="1" applyBorder="1" applyAlignment="1">
      <alignment horizontal="right"/>
    </xf>
    <xf numFmtId="9" fontId="0" fillId="0" borderId="53" xfId="1" applyFont="1" applyBorder="1" applyAlignment="1">
      <alignment horizontal="left" vertical="top" wrapText="1"/>
    </xf>
    <xf numFmtId="0" fontId="10" fillId="0" borderId="53" xfId="0" applyFont="1" applyBorder="1" applyAlignment="1">
      <alignment horizontal="center" vertical="top"/>
    </xf>
    <xf numFmtId="0" fontId="0" fillId="0" borderId="0" xfId="0" applyAlignment="1">
      <alignment horizontal="center" vertical="top" wrapText="1"/>
    </xf>
    <xf numFmtId="0" fontId="10" fillId="0" borderId="53" xfId="0" applyFont="1" applyBorder="1" applyAlignment="1">
      <alignment horizontal="center" vertical="top" wrapText="1"/>
    </xf>
    <xf numFmtId="0" fontId="10" fillId="0" borderId="53" xfId="0" applyFont="1" applyBorder="1" applyAlignment="1">
      <alignment horizontal="left" vertical="top" wrapText="1"/>
    </xf>
    <xf numFmtId="1" fontId="0" fillId="0" borderId="68" xfId="3" applyNumberFormat="1" applyFont="1" applyFill="1" applyBorder="1" applyAlignment="1">
      <alignment horizontal="left" vertical="top"/>
    </xf>
    <xf numFmtId="1" fontId="0" fillId="0" borderId="68" xfId="0" applyNumberFormat="1" applyBorder="1" applyAlignment="1">
      <alignment horizontal="left" vertical="top"/>
    </xf>
    <xf numFmtId="1" fontId="0" fillId="0" borderId="6" xfId="0" applyNumberFormat="1" applyBorder="1" applyAlignment="1">
      <alignment horizontal="left" vertical="top"/>
    </xf>
    <xf numFmtId="172" fontId="0" fillId="0" borderId="6" xfId="3" applyNumberFormat="1" applyFont="1" applyBorder="1" applyAlignment="1">
      <alignment vertical="top"/>
    </xf>
    <xf numFmtId="1" fontId="0" fillId="0" borderId="6" xfId="3" applyNumberFormat="1" applyFont="1" applyFill="1" applyBorder="1" applyAlignment="1">
      <alignment horizontal="left" vertical="top"/>
    </xf>
    <xf numFmtId="0" fontId="0" fillId="0" borderId="68" xfId="0" applyBorder="1" applyAlignment="1">
      <alignment vertical="center"/>
    </xf>
    <xf numFmtId="1" fontId="0" fillId="0" borderId="68" xfId="0" applyNumberFormat="1" applyBorder="1" applyAlignment="1">
      <alignment horizontal="left" vertical="center"/>
    </xf>
    <xf numFmtId="172" fontId="0" fillId="0" borderId="68" xfId="3" applyNumberFormat="1" applyFont="1" applyFill="1" applyBorder="1" applyAlignment="1">
      <alignment vertical="center"/>
    </xf>
    <xf numFmtId="172" fontId="0" fillId="0" borderId="53" xfId="3" applyNumberFormat="1" applyFont="1" applyFill="1" applyBorder="1" applyAlignment="1">
      <alignment vertical="top" wrapText="1"/>
    </xf>
    <xf numFmtId="0" fontId="0" fillId="0" borderId="71" xfId="0" applyBorder="1" applyAlignment="1">
      <alignment vertical="top" wrapText="1"/>
    </xf>
    <xf numFmtId="172" fontId="0" fillId="0" borderId="70" xfId="0" applyNumberFormat="1" applyBorder="1"/>
    <xf numFmtId="0" fontId="0" fillId="0" borderId="67" xfId="0" applyBorder="1" applyAlignment="1">
      <alignment horizontal="left" vertical="top" wrapText="1"/>
    </xf>
    <xf numFmtId="0" fontId="0" fillId="0" borderId="67" xfId="0" applyBorder="1" applyAlignment="1">
      <alignment horizontal="left"/>
    </xf>
    <xf numFmtId="0" fontId="0" fillId="0" borderId="92" xfId="0" applyBorder="1" applyAlignment="1">
      <alignment horizontal="left"/>
    </xf>
    <xf numFmtId="0" fontId="0" fillId="0" borderId="79" xfId="0" applyBorder="1" applyAlignment="1">
      <alignment horizontal="left" vertical="top" wrapText="1"/>
    </xf>
    <xf numFmtId="172" fontId="0" fillId="0" borderId="67" xfId="3" applyNumberFormat="1" applyFont="1" applyBorder="1" applyAlignment="1">
      <alignment horizontal="left"/>
    </xf>
    <xf numFmtId="0" fontId="0" fillId="0" borderId="79" xfId="0" applyBorder="1" applyAlignment="1">
      <alignment horizontal="left"/>
    </xf>
    <xf numFmtId="0" fontId="0" fillId="0" borderId="94" xfId="0" applyBorder="1"/>
    <xf numFmtId="172" fontId="0" fillId="0" borderId="70" xfId="3" applyNumberFormat="1" applyFont="1" applyBorder="1"/>
    <xf numFmtId="0" fontId="0" fillId="0" borderId="56" xfId="0" applyBorder="1" applyAlignment="1">
      <alignment horizontal="left"/>
    </xf>
    <xf numFmtId="0" fontId="10" fillId="0" borderId="69" xfId="0" applyFont="1" applyBorder="1" applyAlignment="1">
      <alignment vertical="center"/>
    </xf>
    <xf numFmtId="0" fontId="10" fillId="0" borderId="79" xfId="0" applyFont="1" applyBorder="1" applyAlignment="1">
      <alignment horizontal="left" vertical="center" wrapText="1"/>
    </xf>
    <xf numFmtId="0" fontId="10" fillId="0" borderId="70" xfId="0" applyFont="1" applyBorder="1" applyAlignment="1">
      <alignment vertical="center" wrapText="1"/>
    </xf>
    <xf numFmtId="0" fontId="10" fillId="0" borderId="71" xfId="0" applyFont="1" applyBorder="1" applyAlignment="1">
      <alignment vertical="center" wrapText="1"/>
    </xf>
    <xf numFmtId="0" fontId="10" fillId="0" borderId="0" xfId="0" applyFont="1" applyAlignment="1">
      <alignment horizontal="center" vertical="top" wrapText="1"/>
    </xf>
    <xf numFmtId="0" fontId="0" fillId="0" borderId="68" xfId="0" applyBorder="1" applyAlignment="1">
      <alignment horizontal="right"/>
    </xf>
    <xf numFmtId="172" fontId="0" fillId="0" borderId="0" xfId="3" applyNumberFormat="1" applyFont="1" applyBorder="1"/>
    <xf numFmtId="0" fontId="10" fillId="0" borderId="0" xfId="0" applyFont="1" applyAlignment="1">
      <alignment horizontal="center"/>
    </xf>
    <xf numFmtId="166" fontId="0" fillId="0" borderId="0" xfId="3" applyFont="1" applyFill="1" applyBorder="1"/>
    <xf numFmtId="0" fontId="0" fillId="0" borderId="53" xfId="0" applyBorder="1" applyAlignment="1">
      <alignment horizontal="right"/>
    </xf>
    <xf numFmtId="182" fontId="0" fillId="0" borderId="17" xfId="3" applyNumberFormat="1" applyFont="1" applyFill="1" applyBorder="1"/>
    <xf numFmtId="182" fontId="0" fillId="0" borderId="17" xfId="3" applyNumberFormat="1" applyFont="1" applyFill="1" applyBorder="1" applyAlignment="1">
      <alignment horizontal="center" vertical="center"/>
    </xf>
    <xf numFmtId="0" fontId="10" fillId="0" borderId="0" xfId="0" applyFont="1" applyAlignment="1">
      <alignment horizontal="right"/>
    </xf>
    <xf numFmtId="0" fontId="10" fillId="0" borderId="6" xfId="0" applyFont="1" applyBorder="1" applyAlignment="1">
      <alignment horizontal="right"/>
    </xf>
    <xf numFmtId="0" fontId="0" fillId="0" borderId="6" xfId="0" applyBorder="1" applyAlignment="1">
      <alignment horizontal="right"/>
    </xf>
    <xf numFmtId="2" fontId="0" fillId="0" borderId="6" xfId="0" applyNumberFormat="1" applyBorder="1" applyAlignment="1">
      <alignment horizontal="right" vertical="top"/>
    </xf>
    <xf numFmtId="0" fontId="0" fillId="0" borderId="8" xfId="0" applyBorder="1" applyAlignment="1">
      <alignment horizontal="right"/>
    </xf>
    <xf numFmtId="169" fontId="0" fillId="0" borderId="6" xfId="0" applyNumberFormat="1" applyBorder="1" applyAlignment="1">
      <alignment horizontal="right" vertical="top"/>
    </xf>
    <xf numFmtId="0" fontId="0" fillId="0" borderId="6" xfId="0" applyBorder="1" applyAlignment="1">
      <alignment horizontal="right" vertical="top"/>
    </xf>
    <xf numFmtId="0" fontId="0" fillId="0" borderId="4" xfId="0" applyBorder="1" applyAlignment="1">
      <alignment horizontal="right"/>
    </xf>
    <xf numFmtId="0" fontId="0" fillId="0" borderId="72" xfId="0" applyBorder="1" applyAlignment="1">
      <alignment horizontal="right"/>
    </xf>
    <xf numFmtId="0" fontId="10" fillId="0" borderId="62" xfId="0" applyFont="1" applyBorder="1" applyAlignment="1">
      <alignment horizontal="right"/>
    </xf>
    <xf numFmtId="2" fontId="0" fillId="0" borderId="68" xfId="0" applyNumberFormat="1" applyBorder="1" applyAlignment="1">
      <alignment horizontal="right" vertical="top"/>
    </xf>
    <xf numFmtId="0" fontId="26" fillId="0" borderId="65" xfId="0" applyFont="1" applyBorder="1" applyAlignment="1">
      <alignment horizontal="right"/>
    </xf>
    <xf numFmtId="0" fontId="0" fillId="0" borderId="68" xfId="0" applyBorder="1" applyAlignment="1">
      <alignment horizontal="right" vertical="top"/>
    </xf>
    <xf numFmtId="0" fontId="0" fillId="0" borderId="68" xfId="0" applyBorder="1" applyAlignment="1">
      <alignment horizontal="right" vertical="center"/>
    </xf>
    <xf numFmtId="0" fontId="0" fillId="0" borderId="7" xfId="0" applyBorder="1" applyAlignment="1">
      <alignment horizontal="right"/>
    </xf>
    <xf numFmtId="0" fontId="0" fillId="0" borderId="62" xfId="0" applyBorder="1" applyAlignment="1">
      <alignment horizontal="right"/>
    </xf>
    <xf numFmtId="172" fontId="0" fillId="0" borderId="68" xfId="0" applyNumberFormat="1" applyBorder="1" applyAlignment="1">
      <alignment horizontal="right"/>
    </xf>
    <xf numFmtId="172" fontId="0" fillId="0" borderId="65" xfId="3" applyNumberFormat="1" applyFont="1" applyFill="1" applyBorder="1" applyAlignment="1">
      <alignment horizontal="right"/>
    </xf>
    <xf numFmtId="169" fontId="0" fillId="0" borderId="68" xfId="0" applyNumberFormat="1" applyBorder="1" applyAlignment="1">
      <alignment horizontal="right" vertical="top"/>
    </xf>
    <xf numFmtId="0" fontId="10" fillId="14" borderId="53" xfId="0" applyFont="1" applyFill="1" applyBorder="1" applyAlignment="1">
      <alignment horizontal="left" vertical="top" wrapText="1"/>
    </xf>
    <xf numFmtId="0" fontId="10" fillId="14" borderId="53" xfId="0" applyFont="1" applyFill="1" applyBorder="1" applyAlignment="1">
      <alignment vertical="top" wrapText="1"/>
    </xf>
    <xf numFmtId="172" fontId="0" fillId="0" borderId="6" xfId="3" applyNumberFormat="1" applyFont="1" applyFill="1" applyBorder="1" applyAlignment="1">
      <alignment horizontal="right"/>
    </xf>
    <xf numFmtId="172" fontId="0" fillId="0" borderId="68" xfId="3" applyNumberFormat="1" applyFont="1" applyFill="1" applyBorder="1" applyAlignment="1">
      <alignment horizontal="right"/>
    </xf>
    <xf numFmtId="172" fontId="0" fillId="0" borderId="53" xfId="0" applyNumberFormat="1" applyBorder="1" applyAlignment="1">
      <alignment horizontal="right"/>
    </xf>
    <xf numFmtId="172" fontId="0" fillId="0" borderId="53" xfId="0" applyNumberFormat="1" applyBorder="1" applyAlignment="1">
      <alignment horizontal="right" vertical="top" wrapText="1"/>
    </xf>
    <xf numFmtId="2" fontId="0" fillId="0" borderId="53" xfId="0" applyNumberFormat="1" applyBorder="1" applyAlignment="1">
      <alignment horizontal="right" vertical="top" wrapText="1"/>
    </xf>
    <xf numFmtId="173" fontId="0" fillId="0" borderId="53" xfId="3" applyNumberFormat="1" applyFont="1" applyFill="1" applyBorder="1" applyAlignment="1">
      <alignment horizontal="right"/>
    </xf>
    <xf numFmtId="9" fontId="0" fillId="0" borderId="53" xfId="0" applyNumberFormat="1" applyBorder="1"/>
    <xf numFmtId="0" fontId="0" fillId="0" borderId="68" xfId="0" applyBorder="1" applyAlignment="1">
      <alignment horizontal="left"/>
    </xf>
    <xf numFmtId="0" fontId="10" fillId="0" borderId="0" xfId="0" applyFont="1" applyAlignment="1">
      <alignment horizontal="left" vertical="top" wrapText="1"/>
    </xf>
    <xf numFmtId="0" fontId="0" fillId="0" borderId="1" xfId="0" applyBorder="1" applyAlignment="1">
      <alignment horizontal="left" vertical="top"/>
    </xf>
    <xf numFmtId="9" fontId="0" fillId="0" borderId="53" xfId="1" applyFont="1" applyFill="1" applyBorder="1" applyAlignment="1">
      <alignment horizontal="center" vertical="top" wrapText="1"/>
    </xf>
    <xf numFmtId="165" fontId="0" fillId="0" borderId="82" xfId="2" applyFont="1" applyBorder="1"/>
    <xf numFmtId="165" fontId="0" fillId="0" borderId="86" xfId="2" applyFont="1" applyBorder="1"/>
    <xf numFmtId="165" fontId="0" fillId="0" borderId="27" xfId="2" applyFont="1" applyBorder="1"/>
    <xf numFmtId="165" fontId="0" fillId="0" borderId="5" xfId="0" applyNumberFormat="1" applyBorder="1"/>
    <xf numFmtId="165" fontId="0" fillId="0" borderId="5" xfId="2" applyFont="1" applyFill="1" applyBorder="1"/>
    <xf numFmtId="165" fontId="0" fillId="0" borderId="6" xfId="2" applyFont="1" applyFill="1" applyBorder="1"/>
    <xf numFmtId="165" fontId="0" fillId="0" borderId="17" xfId="2" applyFont="1" applyFill="1" applyBorder="1"/>
    <xf numFmtId="0" fontId="6" fillId="3" borderId="0" xfId="2" applyNumberFormat="1" applyFont="1" applyFill="1" applyBorder="1" applyAlignment="1" applyProtection="1">
      <alignment horizontal="right"/>
      <protection locked="0"/>
    </xf>
    <xf numFmtId="0" fontId="0" fillId="0" borderId="10" xfId="2" applyNumberFormat="1" applyFont="1" applyBorder="1"/>
    <xf numFmtId="0" fontId="0" fillId="0" borderId="0" xfId="1" applyNumberFormat="1" applyFont="1" applyBorder="1"/>
    <xf numFmtId="0" fontId="0" fillId="0" borderId="10" xfId="1" applyNumberFormat="1" applyFont="1" applyBorder="1"/>
    <xf numFmtId="0" fontId="0" fillId="0" borderId="26" xfId="1" applyNumberFormat="1" applyFont="1" applyBorder="1"/>
    <xf numFmtId="0" fontId="0" fillId="0" borderId="8" xfId="0" applyBorder="1" applyAlignment="1">
      <alignment horizontal="left" wrapText="1"/>
    </xf>
    <xf numFmtId="166" fontId="0" fillId="0" borderId="10" xfId="3" applyFont="1" applyBorder="1"/>
    <xf numFmtId="0" fontId="0" fillId="0" borderId="0" xfId="0" applyAlignment="1">
      <alignment horizontal="center" vertical="center" wrapText="1"/>
    </xf>
    <xf numFmtId="9" fontId="0" fillId="0" borderId="0" xfId="1" applyFont="1" applyFill="1" applyBorder="1"/>
    <xf numFmtId="0" fontId="0" fillId="0" borderId="0" xfId="1" applyNumberFormat="1" applyFont="1" applyFill="1" applyBorder="1"/>
    <xf numFmtId="9" fontId="0" fillId="0" borderId="26" xfId="1" applyFont="1" applyFill="1" applyBorder="1"/>
    <xf numFmtId="0" fontId="0" fillId="0" borderId="26" xfId="1" applyNumberFormat="1" applyFont="1" applyFill="1" applyBorder="1"/>
    <xf numFmtId="166" fontId="0" fillId="0" borderId="26" xfId="3" applyFont="1" applyFill="1" applyBorder="1"/>
    <xf numFmtId="9" fontId="0" fillId="0" borderId="10" xfId="1" applyFont="1" applyFill="1" applyBorder="1"/>
    <xf numFmtId="0" fontId="0" fillId="0" borderId="10" xfId="1" applyNumberFormat="1" applyFont="1" applyFill="1" applyBorder="1"/>
    <xf numFmtId="166" fontId="0" fillId="0" borderId="10" xfId="3" applyFont="1" applyFill="1" applyBorder="1"/>
    <xf numFmtId="166" fontId="0" fillId="0" borderId="26" xfId="3" applyFont="1" applyBorder="1"/>
    <xf numFmtId="0" fontId="0" fillId="0" borderId="74" xfId="0" applyBorder="1"/>
    <xf numFmtId="165" fontId="15" fillId="0" borderId="0" xfId="6" applyNumberFormat="1"/>
    <xf numFmtId="172" fontId="0" fillId="0" borderId="0" xfId="3" applyNumberFormat="1" applyFont="1" applyBorder="1" applyAlignment="1">
      <alignment horizontal="right"/>
    </xf>
    <xf numFmtId="2" fontId="10" fillId="0" borderId="50" xfId="0" applyNumberFormat="1" applyFont="1" applyBorder="1" applyAlignment="1">
      <alignment horizontal="center" vertical="center" wrapText="1"/>
    </xf>
    <xf numFmtId="2" fontId="0" fillId="0" borderId="10" xfId="3" applyNumberFormat="1" applyFont="1" applyBorder="1"/>
    <xf numFmtId="2" fontId="0" fillId="0" borderId="0" xfId="3" applyNumberFormat="1" applyFont="1" applyBorder="1"/>
    <xf numFmtId="2" fontId="0" fillId="0" borderId="26" xfId="3" applyNumberFormat="1" applyFont="1" applyBorder="1"/>
    <xf numFmtId="2" fontId="0" fillId="0" borderId="10" xfId="3" applyNumberFormat="1" applyFont="1" applyFill="1" applyBorder="1"/>
    <xf numFmtId="2" fontId="0" fillId="0" borderId="0" xfId="3" applyNumberFormat="1" applyFont="1" applyFill="1" applyBorder="1"/>
    <xf numFmtId="2" fontId="0" fillId="0" borderId="26" xfId="3" applyNumberFormat="1" applyFont="1" applyFill="1" applyBorder="1"/>
    <xf numFmtId="0" fontId="0" fillId="3" borderId="0" xfId="0" applyFill="1"/>
    <xf numFmtId="0" fontId="0" fillId="3" borderId="0" xfId="0" applyFill="1" applyAlignment="1">
      <alignment horizontal="left"/>
    </xf>
    <xf numFmtId="9" fontId="0" fillId="3" borderId="0" xfId="1" applyFont="1" applyFill="1" applyBorder="1"/>
    <xf numFmtId="0" fontId="0" fillId="3" borderId="0" xfId="1" applyNumberFormat="1" applyFont="1" applyFill="1" applyBorder="1"/>
    <xf numFmtId="166" fontId="0" fillId="3" borderId="0" xfId="3" applyFont="1" applyFill="1" applyBorder="1"/>
    <xf numFmtId="2" fontId="0" fillId="3" borderId="0" xfId="0" applyNumberFormat="1" applyFill="1"/>
    <xf numFmtId="2" fontId="0" fillId="3" borderId="0" xfId="3" applyNumberFormat="1" applyFont="1" applyFill="1" applyBorder="1"/>
    <xf numFmtId="172" fontId="0" fillId="3" borderId="0" xfId="3" applyNumberFormat="1" applyFont="1" applyFill="1" applyBorder="1"/>
    <xf numFmtId="166" fontId="0" fillId="0" borderId="68" xfId="0" applyNumberFormat="1" applyBorder="1" applyAlignment="1">
      <alignment vertical="top" wrapText="1"/>
    </xf>
    <xf numFmtId="172" fontId="0" fillId="0" borderId="10" xfId="3" applyNumberFormat="1" applyFont="1" applyBorder="1"/>
    <xf numFmtId="172" fontId="0" fillId="0" borderId="0" xfId="3" applyNumberFormat="1" applyFont="1" applyFill="1" applyBorder="1"/>
    <xf numFmtId="166" fontId="0" fillId="0" borderId="0" xfId="3" applyFont="1" applyFill="1" applyBorder="1" applyAlignment="1">
      <alignment horizontal="right"/>
    </xf>
    <xf numFmtId="0" fontId="0" fillId="0" borderId="9" xfId="0" applyBorder="1"/>
    <xf numFmtId="0" fontId="2" fillId="10" borderId="0" xfId="2" applyNumberFormat="1" applyFont="1" applyFill="1" applyBorder="1" applyAlignment="1" applyProtection="1">
      <protection locked="0"/>
    </xf>
    <xf numFmtId="167" fontId="0" fillId="0" borderId="0" xfId="0" applyNumberFormat="1"/>
    <xf numFmtId="166" fontId="0" fillId="0" borderId="10" xfId="3" applyFont="1" applyBorder="1" applyAlignment="1"/>
    <xf numFmtId="166" fontId="0" fillId="0" borderId="0" xfId="3" applyFont="1" applyBorder="1" applyAlignment="1"/>
    <xf numFmtId="166" fontId="0" fillId="0" borderId="26" xfId="3" applyFont="1" applyBorder="1" applyAlignment="1"/>
    <xf numFmtId="166" fontId="0" fillId="0" borderId="0" xfId="3" applyFont="1" applyFill="1" applyBorder="1" applyAlignment="1"/>
    <xf numFmtId="168" fontId="0" fillId="0" borderId="26" xfId="2" applyNumberFormat="1" applyFont="1" applyFill="1" applyBorder="1"/>
    <xf numFmtId="168" fontId="0" fillId="0" borderId="10" xfId="2" applyNumberFormat="1" applyFont="1" applyFill="1" applyBorder="1"/>
    <xf numFmtId="0" fontId="0" fillId="0" borderId="0" xfId="0" applyAlignment="1">
      <alignment vertical="center" wrapText="1"/>
    </xf>
    <xf numFmtId="0" fontId="10" fillId="0" borderId="11" xfId="0" applyFont="1" applyBorder="1"/>
    <xf numFmtId="182" fontId="0" fillId="0" borderId="11" xfId="3" applyNumberFormat="1" applyFont="1" applyBorder="1" applyAlignment="1">
      <alignment horizontal="center" vertical="center"/>
    </xf>
    <xf numFmtId="170" fontId="0" fillId="0" borderId="62" xfId="1" applyNumberFormat="1" applyFont="1" applyFill="1" applyBorder="1"/>
    <xf numFmtId="0" fontId="10" fillId="0" borderId="61" xfId="0" applyFont="1" applyBorder="1"/>
    <xf numFmtId="0" fontId="10" fillId="0" borderId="55" xfId="0" applyFont="1" applyBorder="1"/>
    <xf numFmtId="182" fontId="0" fillId="0" borderId="27" xfId="3" applyNumberFormat="1" applyFont="1" applyFill="1" applyBorder="1"/>
    <xf numFmtId="0" fontId="0" fillId="0" borderId="0" xfId="0" applyAlignment="1">
      <alignment horizontal="center" vertical="center"/>
    </xf>
    <xf numFmtId="182" fontId="0" fillId="0" borderId="11" xfId="3" applyNumberFormat="1" applyFont="1" applyFill="1" applyBorder="1"/>
    <xf numFmtId="4" fontId="0" fillId="0" borderId="74" xfId="2" applyNumberFormat="1" applyFont="1" applyBorder="1"/>
    <xf numFmtId="182" fontId="0" fillId="0" borderId="11" xfId="3" applyNumberFormat="1" applyFont="1" applyFill="1" applyBorder="1" applyAlignment="1">
      <alignment horizontal="center" vertical="center"/>
    </xf>
    <xf numFmtId="182" fontId="0" fillId="0" borderId="27" xfId="3" applyNumberFormat="1" applyFont="1" applyFill="1" applyBorder="1" applyAlignment="1">
      <alignment horizontal="center" vertical="center"/>
    </xf>
    <xf numFmtId="0" fontId="3" fillId="0" borderId="18" xfId="0" applyFont="1" applyBorder="1"/>
    <xf numFmtId="0" fontId="10" fillId="0" borderId="18" xfId="0" applyFont="1" applyBorder="1"/>
    <xf numFmtId="0" fontId="0" fillId="0" borderId="25" xfId="0" applyBorder="1"/>
    <xf numFmtId="182" fontId="0" fillId="0" borderId="18" xfId="3" applyNumberFormat="1" applyFont="1" applyFill="1" applyBorder="1" applyAlignment="1">
      <alignment horizontal="center" vertical="center"/>
    </xf>
    <xf numFmtId="182" fontId="0" fillId="0" borderId="25" xfId="0" applyNumberFormat="1" applyBorder="1"/>
    <xf numFmtId="182" fontId="0" fillId="0" borderId="27" xfId="0" applyNumberFormat="1" applyBorder="1"/>
    <xf numFmtId="182" fontId="0" fillId="0" borderId="9" xfId="3" applyNumberFormat="1" applyFont="1" applyFill="1" applyBorder="1" applyAlignment="1">
      <alignment horizontal="center" vertical="center"/>
    </xf>
    <xf numFmtId="182" fontId="0" fillId="0" borderId="25" xfId="3" applyNumberFormat="1" applyFont="1" applyFill="1" applyBorder="1" applyAlignment="1">
      <alignment horizontal="center" vertical="center"/>
    </xf>
    <xf numFmtId="166" fontId="0" fillId="0" borderId="18" xfId="3" applyFont="1" applyFill="1" applyBorder="1"/>
    <xf numFmtId="166" fontId="0" fillId="0" borderId="17" xfId="3" applyFont="1" applyFill="1" applyBorder="1"/>
    <xf numFmtId="182" fontId="0" fillId="0" borderId="9" xfId="3" applyNumberFormat="1" applyFont="1" applyFill="1" applyBorder="1"/>
    <xf numFmtId="182" fontId="0" fillId="0" borderId="18" xfId="3" applyNumberFormat="1" applyFont="1" applyFill="1" applyBorder="1"/>
    <xf numFmtId="184" fontId="0" fillId="0" borderId="18" xfId="3" applyNumberFormat="1" applyFont="1" applyFill="1" applyBorder="1" applyAlignment="1">
      <alignment horizontal="center" vertical="center"/>
    </xf>
    <xf numFmtId="184" fontId="0" fillId="0" borderId="25" xfId="3" applyNumberFormat="1" applyFont="1" applyFill="1" applyBorder="1" applyAlignment="1">
      <alignment horizontal="center" vertical="center"/>
    </xf>
    <xf numFmtId="182" fontId="0" fillId="0" borderId="25" xfId="3" applyNumberFormat="1" applyFont="1" applyBorder="1" applyAlignment="1">
      <alignment horizontal="center" vertical="center"/>
    </xf>
    <xf numFmtId="184" fontId="0" fillId="0" borderId="9" xfId="3" applyNumberFormat="1" applyFont="1" applyFill="1" applyBorder="1" applyAlignment="1">
      <alignment horizontal="center" vertical="center"/>
    </xf>
    <xf numFmtId="182" fontId="0" fillId="0" borderId="18" xfId="3" applyNumberFormat="1" applyFont="1" applyBorder="1" applyAlignment="1">
      <alignment horizontal="center" vertical="center"/>
    </xf>
    <xf numFmtId="182" fontId="0" fillId="0" borderId="9" xfId="3" applyNumberFormat="1" applyFont="1" applyBorder="1" applyAlignment="1">
      <alignment horizontal="center" vertical="center"/>
    </xf>
    <xf numFmtId="182" fontId="0" fillId="0" borderId="25" xfId="3" applyNumberFormat="1" applyFont="1" applyFill="1" applyBorder="1"/>
    <xf numFmtId="0" fontId="10" fillId="0" borderId="18" xfId="0" applyFont="1" applyBorder="1" applyAlignment="1">
      <alignment horizontal="center"/>
    </xf>
    <xf numFmtId="0" fontId="10" fillId="0" borderId="17" xfId="0" applyFont="1" applyBorder="1" applyAlignment="1">
      <alignment horizontal="center"/>
    </xf>
    <xf numFmtId="168" fontId="0" fillId="0" borderId="26" xfId="0" applyNumberFormat="1" applyBorder="1"/>
    <xf numFmtId="172" fontId="0" fillId="0" borderId="17" xfId="3" applyNumberFormat="1" applyFont="1" applyBorder="1"/>
    <xf numFmtId="2" fontId="0" fillId="0" borderId="27" xfId="2" applyNumberFormat="1" applyFont="1" applyBorder="1"/>
    <xf numFmtId="0" fontId="10" fillId="0" borderId="64" xfId="0" applyFont="1" applyBorder="1"/>
    <xf numFmtId="0" fontId="10" fillId="0" borderId="65" xfId="0" applyFont="1" applyBorder="1"/>
    <xf numFmtId="0" fontId="10" fillId="0" borderId="75" xfId="0" applyFont="1" applyBorder="1"/>
    <xf numFmtId="0" fontId="0" fillId="0" borderId="3" xfId="0" applyBorder="1" applyAlignment="1">
      <alignment vertical="top" wrapText="1"/>
    </xf>
    <xf numFmtId="0" fontId="10" fillId="0" borderId="50" xfId="0" applyFont="1" applyBorder="1" applyAlignment="1">
      <alignment horizontal="left" vertical="center" wrapText="1"/>
    </xf>
    <xf numFmtId="0" fontId="10" fillId="0" borderId="51" xfId="0" applyFont="1" applyBorder="1" applyAlignment="1">
      <alignment horizontal="left" vertical="center" wrapText="1"/>
    </xf>
    <xf numFmtId="0" fontId="0" fillId="0" borderId="0" xfId="0" applyAlignment="1">
      <alignment vertical="center"/>
    </xf>
    <xf numFmtId="0" fontId="0" fillId="0" borderId="62" xfId="0" applyBorder="1" applyAlignment="1">
      <alignment horizontal="left"/>
    </xf>
    <xf numFmtId="0" fontId="0" fillId="0" borderId="63" xfId="0" applyBorder="1"/>
    <xf numFmtId="0" fontId="0" fillId="0" borderId="70" xfId="0" applyBorder="1"/>
    <xf numFmtId="1" fontId="0" fillId="0" borderId="53" xfId="0" applyNumberFormat="1" applyBorder="1"/>
    <xf numFmtId="166" fontId="0" fillId="0" borderId="26" xfId="3" applyFont="1" applyFill="1" applyBorder="1" applyAlignment="1"/>
    <xf numFmtId="171" fontId="0" fillId="0" borderId="68" xfId="0" applyNumberFormat="1" applyBorder="1" applyAlignment="1">
      <alignment horizontal="right" vertical="top" wrapText="1"/>
    </xf>
    <xf numFmtId="173" fontId="0" fillId="0" borderId="0" xfId="3" applyNumberFormat="1" applyFont="1" applyFill="1" applyBorder="1"/>
    <xf numFmtId="173" fontId="0" fillId="0" borderId="10" xfId="3" applyNumberFormat="1" applyFont="1" applyFill="1" applyBorder="1"/>
    <xf numFmtId="172" fontId="0" fillId="0" borderId="10" xfId="3" applyNumberFormat="1" applyFont="1" applyFill="1" applyBorder="1"/>
    <xf numFmtId="172" fontId="0" fillId="0" borderId="0" xfId="3" applyNumberFormat="1" applyFont="1" applyBorder="1" applyAlignment="1"/>
    <xf numFmtId="172" fontId="0" fillId="0" borderId="10" xfId="3" applyNumberFormat="1" applyFont="1" applyFill="1" applyBorder="1" applyAlignment="1"/>
    <xf numFmtId="172" fontId="0" fillId="0" borderId="0" xfId="3" applyNumberFormat="1" applyFont="1" applyFill="1" applyBorder="1" applyAlignment="1"/>
    <xf numFmtId="172" fontId="0" fillId="0" borderId="26" xfId="3" applyNumberFormat="1" applyFont="1" applyFill="1" applyBorder="1" applyAlignment="1"/>
    <xf numFmtId="172" fontId="0" fillId="0" borderId="10" xfId="3" applyNumberFormat="1" applyFont="1" applyBorder="1" applyAlignment="1"/>
    <xf numFmtId="172" fontId="0" fillId="0" borderId="26" xfId="3" applyNumberFormat="1" applyFont="1" applyFill="1" applyBorder="1"/>
    <xf numFmtId="0" fontId="10" fillId="0" borderId="30" xfId="0" applyFont="1" applyBorder="1" applyAlignment="1">
      <alignment horizontal="center" vertical="center" wrapText="1"/>
    </xf>
    <xf numFmtId="0" fontId="10" fillId="0" borderId="31" xfId="0" applyFont="1" applyBorder="1" applyAlignment="1">
      <alignment vertical="center" wrapText="1"/>
    </xf>
    <xf numFmtId="0" fontId="10" fillId="0" borderId="100" xfId="0" applyFont="1" applyBorder="1" applyAlignment="1">
      <alignment horizontal="center" vertical="center" wrapText="1"/>
    </xf>
    <xf numFmtId="0" fontId="10" fillId="0" borderId="100" xfId="0" applyFont="1" applyBorder="1" applyAlignment="1">
      <alignment horizontal="left" vertical="center" wrapText="1"/>
    </xf>
    <xf numFmtId="0" fontId="10" fillId="0" borderId="51" xfId="0" applyFont="1" applyBorder="1" applyAlignment="1">
      <alignment vertical="center" wrapText="1"/>
    </xf>
    <xf numFmtId="2" fontId="10" fillId="0" borderId="100" xfId="0" applyNumberFormat="1" applyFont="1" applyBorder="1" applyAlignment="1">
      <alignment horizontal="left" vertical="center" wrapText="1"/>
    </xf>
    <xf numFmtId="0" fontId="10" fillId="0" borderId="79" xfId="0" applyFont="1" applyBorder="1" applyAlignment="1">
      <alignment horizontal="center" vertical="center" wrapText="1"/>
    </xf>
    <xf numFmtId="2" fontId="10" fillId="0" borderId="100" xfId="0" applyNumberFormat="1" applyFont="1" applyBorder="1" applyAlignment="1">
      <alignment horizontal="center" vertical="center" wrapText="1"/>
    </xf>
    <xf numFmtId="0" fontId="10" fillId="0" borderId="100" xfId="0" applyFont="1" applyBorder="1" applyAlignment="1">
      <alignment vertical="center" wrapText="1"/>
    </xf>
    <xf numFmtId="169" fontId="0" fillId="0" borderId="0" xfId="1" applyNumberFormat="1" applyFont="1" applyFill="1" applyBorder="1"/>
    <xf numFmtId="1" fontId="0" fillId="0" borderId="0" xfId="2" applyNumberFormat="1" applyFont="1" applyBorder="1"/>
    <xf numFmtId="1" fontId="0" fillId="0" borderId="26" xfId="2" applyNumberFormat="1" applyFont="1" applyBorder="1"/>
    <xf numFmtId="1" fontId="0" fillId="0" borderId="10" xfId="2" applyNumberFormat="1" applyFont="1" applyBorder="1"/>
    <xf numFmtId="1" fontId="0" fillId="0" borderId="0" xfId="2" applyNumberFormat="1" applyFont="1" applyFill="1" applyBorder="1"/>
    <xf numFmtId="1" fontId="0" fillId="0" borderId="10" xfId="2" applyNumberFormat="1" applyFont="1" applyFill="1" applyBorder="1"/>
    <xf numFmtId="1" fontId="0" fillId="0" borderId="26" xfId="0" applyNumberFormat="1" applyBorder="1"/>
    <xf numFmtId="1" fontId="0" fillId="0" borderId="10" xfId="0" applyNumberFormat="1" applyBorder="1"/>
    <xf numFmtId="173" fontId="0" fillId="0" borderId="68" xfId="3" applyNumberFormat="1" applyFont="1" applyFill="1" applyBorder="1"/>
    <xf numFmtId="172" fontId="0" fillId="0" borderId="62" xfId="3" applyNumberFormat="1" applyFont="1" applyFill="1" applyBorder="1"/>
    <xf numFmtId="172" fontId="0" fillId="0" borderId="5" xfId="3" applyNumberFormat="1" applyFont="1" applyFill="1" applyBorder="1"/>
    <xf numFmtId="172" fontId="0" fillId="0" borderId="81" xfId="3" applyNumberFormat="1" applyFont="1" applyFill="1" applyBorder="1"/>
    <xf numFmtId="182" fontId="0" fillId="0" borderId="68" xfId="3" applyNumberFormat="1" applyFont="1" applyFill="1" applyBorder="1"/>
    <xf numFmtId="166" fontId="37" fillId="16" borderId="93" xfId="12" applyNumberFormat="1" applyBorder="1"/>
    <xf numFmtId="166" fontId="36" fillId="15" borderId="93" xfId="11" applyNumberFormat="1" applyBorder="1"/>
    <xf numFmtId="173" fontId="36" fillId="15" borderId="93" xfId="11" applyNumberFormat="1" applyBorder="1"/>
    <xf numFmtId="0" fontId="10" fillId="17" borderId="33" xfId="0" applyFont="1" applyFill="1" applyBorder="1"/>
    <xf numFmtId="0" fontId="10" fillId="17" borderId="85" xfId="0" applyFont="1" applyFill="1" applyBorder="1"/>
    <xf numFmtId="170" fontId="0" fillId="0" borderId="65" xfId="1" applyNumberFormat="1" applyFont="1" applyFill="1" applyBorder="1"/>
    <xf numFmtId="170" fontId="0" fillId="0" borderId="68" xfId="1" applyNumberFormat="1" applyFont="1" applyFill="1" applyBorder="1"/>
    <xf numFmtId="0" fontId="0" fillId="17" borderId="95" xfId="0" applyFill="1" applyBorder="1"/>
    <xf numFmtId="165" fontId="36" fillId="15" borderId="72" xfId="11" applyNumberFormat="1" applyBorder="1"/>
    <xf numFmtId="165" fontId="37" fillId="16" borderId="72" xfId="12" applyNumberFormat="1" applyBorder="1"/>
    <xf numFmtId="165" fontId="36" fillId="15" borderId="95" xfId="11" applyNumberFormat="1" applyBorder="1"/>
    <xf numFmtId="165" fontId="37" fillId="16" borderId="96" xfId="12" applyNumberFormat="1" applyBorder="1"/>
    <xf numFmtId="0" fontId="0" fillId="17" borderId="73" xfId="0" applyFill="1" applyBorder="1"/>
    <xf numFmtId="0" fontId="0" fillId="17" borderId="77" xfId="0" applyFill="1" applyBorder="1"/>
    <xf numFmtId="0" fontId="0" fillId="17" borderId="89" xfId="0" applyFill="1" applyBorder="1"/>
    <xf numFmtId="0" fontId="2" fillId="2" borderId="1" xfId="0" applyFont="1" applyFill="1" applyBorder="1"/>
    <xf numFmtId="3" fontId="27" fillId="10" borderId="1" xfId="0" applyNumberFormat="1" applyFont="1" applyFill="1" applyBorder="1"/>
    <xf numFmtId="0" fontId="38" fillId="0" borderId="4" xfId="0" applyFont="1" applyBorder="1" applyAlignment="1">
      <alignment vertical="top" wrapText="1"/>
    </xf>
    <xf numFmtId="174" fontId="0" fillId="0" borderId="8" xfId="0" applyNumberFormat="1" applyBorder="1"/>
    <xf numFmtId="169" fontId="0" fillId="0" borderId="26" xfId="1" applyNumberFormat="1" applyFont="1" applyFill="1" applyBorder="1"/>
    <xf numFmtId="173" fontId="0" fillId="0" borderId="26" xfId="3" applyNumberFormat="1" applyFont="1" applyFill="1" applyBorder="1"/>
    <xf numFmtId="0" fontId="10" fillId="9" borderId="67" xfId="0" applyFont="1" applyFill="1" applyBorder="1" applyAlignment="1">
      <alignment horizontal="left" vertical="top" wrapText="1"/>
    </xf>
    <xf numFmtId="179" fontId="0" fillId="0" borderId="68" xfId="3" applyNumberFormat="1" applyFont="1" applyBorder="1" applyAlignment="1">
      <alignment vertical="top" wrapText="1"/>
    </xf>
    <xf numFmtId="166" fontId="0" fillId="0" borderId="68" xfId="0" applyNumberFormat="1" applyBorder="1" applyAlignment="1">
      <alignment horizontal="right" vertical="top" wrapText="1"/>
    </xf>
    <xf numFmtId="166" fontId="0" fillId="0" borderId="6" xfId="0" applyNumberFormat="1" applyBorder="1"/>
    <xf numFmtId="4" fontId="0" fillId="0" borderId="68" xfId="3" applyNumberFormat="1" applyFont="1" applyBorder="1" applyAlignment="1">
      <alignment vertical="top" wrapText="1"/>
    </xf>
    <xf numFmtId="0" fontId="0" fillId="0" borderId="101" xfId="0" applyBorder="1" applyAlignment="1">
      <alignment vertical="top" wrapText="1"/>
    </xf>
    <xf numFmtId="172" fontId="0" fillId="0" borderId="101" xfId="3" applyNumberFormat="1" applyFont="1" applyBorder="1" applyAlignment="1">
      <alignment vertical="top" wrapText="1"/>
    </xf>
    <xf numFmtId="166" fontId="0" fillId="0" borderId="101" xfId="3" applyFont="1" applyBorder="1" applyAlignment="1">
      <alignment horizontal="left" vertical="top" wrapText="1"/>
    </xf>
    <xf numFmtId="170" fontId="11" fillId="0" borderId="0" xfId="1" applyNumberFormat="1" applyFont="1"/>
    <xf numFmtId="9" fontId="0" fillId="0" borderId="0" xfId="1" applyFont="1" applyAlignment="1">
      <alignment vertical="top" wrapText="1"/>
    </xf>
    <xf numFmtId="166" fontId="0" fillId="0" borderId="10" xfId="3" applyFont="1" applyFill="1" applyBorder="1" applyAlignment="1"/>
    <xf numFmtId="0" fontId="0" fillId="0" borderId="53" xfId="0" applyBorder="1" applyAlignment="1">
      <alignment wrapText="1"/>
    </xf>
    <xf numFmtId="166" fontId="0" fillId="0" borderId="53" xfId="0" applyNumberFormat="1" applyBorder="1"/>
    <xf numFmtId="2" fontId="0" fillId="0" borderId="53" xfId="0" quotePrefix="1" applyNumberFormat="1" applyBorder="1"/>
    <xf numFmtId="172" fontId="0" fillId="0" borderId="0" xfId="0" applyNumberFormat="1" applyAlignment="1">
      <alignment horizontal="right"/>
    </xf>
    <xf numFmtId="172" fontId="0" fillId="0" borderId="0" xfId="3" applyNumberFormat="1" applyFont="1" applyFill="1" applyBorder="1" applyAlignment="1">
      <alignment horizontal="right"/>
    </xf>
    <xf numFmtId="182" fontId="0" fillId="0" borderId="9" xfId="3" applyNumberFormat="1" applyFont="1" applyBorder="1"/>
    <xf numFmtId="0" fontId="0" fillId="0" borderId="98" xfId="0" applyBorder="1"/>
    <xf numFmtId="0" fontId="0" fillId="0" borderId="99" xfId="0" applyBorder="1"/>
    <xf numFmtId="182" fontId="0" fillId="0" borderId="17" xfId="3" applyNumberFormat="1" applyFont="1" applyBorder="1"/>
    <xf numFmtId="172" fontId="0" fillId="0" borderId="7" xfId="3" applyNumberFormat="1" applyFont="1" applyBorder="1" applyAlignment="1">
      <alignment vertical="top" wrapText="1"/>
    </xf>
    <xf numFmtId="185" fontId="0" fillId="0" borderId="0" xfId="3" applyNumberFormat="1" applyFont="1" applyBorder="1"/>
    <xf numFmtId="182" fontId="0" fillId="0" borderId="0" xfId="3" applyNumberFormat="1" applyFont="1" applyBorder="1"/>
    <xf numFmtId="0" fontId="30" fillId="0" borderId="53" xfId="0" applyFont="1" applyBorder="1"/>
    <xf numFmtId="0" fontId="30" fillId="0" borderId="53" xfId="0" applyFont="1" applyBorder="1" applyAlignment="1">
      <alignment horizontal="center"/>
    </xf>
    <xf numFmtId="2" fontId="30" fillId="0" borderId="53" xfId="0" applyNumberFormat="1" applyFont="1" applyBorder="1"/>
    <xf numFmtId="0" fontId="39" fillId="0" borderId="0" xfId="0" applyFont="1" applyAlignment="1">
      <alignment vertical="center"/>
    </xf>
    <xf numFmtId="165" fontId="0" fillId="0" borderId="0" xfId="2" applyFont="1" applyFill="1" applyBorder="1"/>
    <xf numFmtId="3" fontId="0" fillId="0" borderId="0" xfId="0" applyNumberFormat="1"/>
    <xf numFmtId="169" fontId="0" fillId="0" borderId="68" xfId="0" applyNumberFormat="1" applyBorder="1"/>
    <xf numFmtId="186" fontId="0" fillId="0" borderId="68" xfId="0" applyNumberFormat="1" applyBorder="1" applyAlignment="1">
      <alignment horizontal="right" vertical="center"/>
    </xf>
    <xf numFmtId="177" fontId="30" fillId="0" borderId="53" xfId="3" applyNumberFormat="1" applyFont="1" applyBorder="1"/>
    <xf numFmtId="185" fontId="0" fillId="0" borderId="0" xfId="0" applyNumberFormat="1"/>
    <xf numFmtId="182" fontId="0" fillId="0" borderId="27" xfId="3" applyNumberFormat="1" applyFont="1" applyFill="1" applyBorder="1" applyAlignment="1">
      <alignment horizontal="center"/>
    </xf>
    <xf numFmtId="0" fontId="0" fillId="0" borderId="99" xfId="0" applyBorder="1" applyAlignment="1">
      <alignment vertical="center"/>
    </xf>
    <xf numFmtId="0" fontId="11" fillId="3" borderId="5" xfId="0" applyFont="1" applyFill="1" applyBorder="1" applyAlignment="1" applyProtection="1">
      <alignment vertical="center"/>
      <protection locked="0"/>
    </xf>
    <xf numFmtId="0" fontId="11" fillId="3" borderId="2" xfId="0" applyFont="1" applyFill="1" applyBorder="1" applyAlignment="1" applyProtection="1">
      <alignment vertical="center"/>
      <protection locked="0"/>
    </xf>
    <xf numFmtId="0" fontId="2" fillId="3" borderId="5" xfId="0" applyFont="1" applyFill="1" applyBorder="1" applyAlignment="1" applyProtection="1">
      <alignment vertical="center"/>
      <protection locked="0"/>
    </xf>
    <xf numFmtId="0" fontId="2" fillId="3" borderId="7" xfId="0" applyFont="1" applyFill="1" applyBorder="1" applyAlignment="1" applyProtection="1">
      <alignment vertical="center"/>
      <protection locked="0"/>
    </xf>
    <xf numFmtId="0" fontId="2" fillId="3" borderId="2" xfId="0" applyFont="1" applyFill="1" applyBorder="1" applyAlignment="1" applyProtection="1">
      <alignment vertical="center"/>
      <protection locked="0"/>
    </xf>
    <xf numFmtId="0" fontId="11" fillId="3" borderId="4" xfId="0" applyFont="1" applyFill="1" applyBorder="1" applyAlignment="1" applyProtection="1">
      <alignment vertical="center"/>
      <protection locked="0"/>
    </xf>
    <xf numFmtId="0" fontId="11" fillId="3" borderId="6" xfId="0" applyFont="1" applyFill="1" applyBorder="1" applyAlignment="1" applyProtection="1">
      <alignment vertical="center"/>
      <protection locked="0"/>
    </xf>
    <xf numFmtId="0" fontId="2" fillId="3" borderId="6" xfId="0" applyFont="1" applyFill="1" applyBorder="1" applyAlignment="1" applyProtection="1">
      <alignment vertical="center"/>
      <protection locked="0"/>
    </xf>
    <xf numFmtId="0" fontId="2" fillId="3" borderId="8" xfId="0" applyFont="1" applyFill="1" applyBorder="1" applyAlignment="1" applyProtection="1">
      <alignment vertical="center"/>
      <protection locked="0"/>
    </xf>
    <xf numFmtId="0" fontId="2" fillId="2" borderId="0" xfId="0" applyFont="1" applyFill="1" applyAlignment="1" applyProtection="1">
      <alignment vertical="center"/>
      <protection locked="0"/>
    </xf>
    <xf numFmtId="3" fontId="0" fillId="0" borderId="65" xfId="0" applyNumberFormat="1" applyBorder="1" applyAlignment="1">
      <alignment vertical="top" wrapText="1"/>
    </xf>
    <xf numFmtId="0" fontId="0" fillId="0" borderId="98" xfId="0" applyBorder="1" applyAlignment="1">
      <alignment vertical="center"/>
    </xf>
    <xf numFmtId="178" fontId="0" fillId="0" borderId="0" xfId="0" applyNumberFormat="1" applyAlignment="1">
      <alignment vertical="top" wrapText="1"/>
    </xf>
    <xf numFmtId="177" fontId="0" fillId="0" borderId="0" xfId="0" applyNumberFormat="1" applyAlignment="1">
      <alignment vertical="top" wrapText="1"/>
    </xf>
    <xf numFmtId="187" fontId="0" fillId="0" borderId="0" xfId="0" applyNumberFormat="1" applyAlignment="1">
      <alignment vertical="top" wrapText="1"/>
    </xf>
    <xf numFmtId="188" fontId="0" fillId="0" borderId="0" xfId="0" applyNumberFormat="1" applyAlignment="1">
      <alignment vertical="top" wrapText="1"/>
    </xf>
    <xf numFmtId="14" fontId="0" fillId="0" borderId="0" xfId="0" applyNumberFormat="1"/>
    <xf numFmtId="0" fontId="0" fillId="0" borderId="67" xfId="0" applyBorder="1" applyAlignment="1">
      <alignment wrapText="1"/>
    </xf>
    <xf numFmtId="0" fontId="0" fillId="0" borderId="61" xfId="0" applyBorder="1" applyAlignment="1">
      <alignment wrapText="1"/>
    </xf>
    <xf numFmtId="0" fontId="0" fillId="0" borderId="73" xfId="0" applyBorder="1" applyAlignment="1">
      <alignment wrapText="1"/>
    </xf>
    <xf numFmtId="0" fontId="10" fillId="0" borderId="58" xfId="0" applyFont="1" applyBorder="1" applyAlignment="1">
      <alignment wrapText="1"/>
    </xf>
    <xf numFmtId="0" fontId="10" fillId="0" borderId="64" xfId="0" applyFont="1" applyBorder="1" applyAlignment="1">
      <alignment wrapText="1"/>
    </xf>
    <xf numFmtId="0" fontId="0" fillId="0" borderId="25" xfId="0" applyBorder="1" applyAlignment="1">
      <alignment wrapText="1"/>
    </xf>
    <xf numFmtId="0" fontId="0" fillId="0" borderId="9" xfId="0" applyBorder="1" applyAlignment="1">
      <alignment wrapText="1"/>
    </xf>
    <xf numFmtId="0" fontId="0" fillId="0" borderId="26" xfId="0" applyBorder="1" applyAlignment="1">
      <alignment horizontal="left" wrapText="1"/>
    </xf>
    <xf numFmtId="0" fontId="0" fillId="0" borderId="26" xfId="0" applyBorder="1" applyAlignment="1">
      <alignment wrapText="1"/>
    </xf>
    <xf numFmtId="0" fontId="0" fillId="0" borderId="18" xfId="0" applyBorder="1" applyAlignment="1">
      <alignment wrapText="1"/>
    </xf>
    <xf numFmtId="0" fontId="0" fillId="0" borderId="0" xfId="0" applyAlignment="1">
      <alignment horizontal="left" wrapText="1"/>
    </xf>
    <xf numFmtId="0" fontId="0" fillId="0" borderId="98" xfId="0" applyBorder="1" applyAlignment="1">
      <alignment wrapText="1"/>
    </xf>
    <xf numFmtId="0" fontId="0" fillId="0" borderId="97" xfId="0" applyBorder="1"/>
    <xf numFmtId="0" fontId="21" fillId="0" borderId="0" xfId="0" applyFont="1" applyAlignment="1">
      <alignment vertical="top" wrapText="1"/>
    </xf>
    <xf numFmtId="0" fontId="4" fillId="0" borderId="0" xfId="0" applyFont="1" applyAlignment="1">
      <alignment wrapText="1"/>
    </xf>
    <xf numFmtId="0" fontId="3" fillId="0" borderId="0" xfId="0" applyFont="1" applyAlignment="1">
      <alignment wrapText="1"/>
    </xf>
    <xf numFmtId="0" fontId="0" fillId="0" borderId="53" xfId="0" applyBorder="1" applyAlignment="1">
      <alignment horizontal="center" wrapText="1"/>
    </xf>
    <xf numFmtId="9" fontId="0" fillId="0" borderId="53" xfId="1" applyFont="1" applyBorder="1" applyAlignment="1">
      <alignment horizontal="center" wrapText="1"/>
    </xf>
    <xf numFmtId="9" fontId="0" fillId="0" borderId="53" xfId="1" applyFont="1" applyFill="1" applyBorder="1" applyAlignment="1">
      <alignment horizontal="center" wrapText="1"/>
    </xf>
    <xf numFmtId="0" fontId="35" fillId="0" borderId="0" xfId="0" applyFont="1" applyAlignment="1">
      <alignment wrapText="1"/>
    </xf>
    <xf numFmtId="9" fontId="0" fillId="0" borderId="68" xfId="1" applyFont="1" applyBorder="1" applyAlignment="1">
      <alignment wrapText="1"/>
    </xf>
    <xf numFmtId="9" fontId="0" fillId="0" borderId="68" xfId="1" applyFont="1" applyFill="1" applyBorder="1" applyAlignment="1">
      <alignment wrapText="1"/>
    </xf>
    <xf numFmtId="9" fontId="0" fillId="0" borderId="5" xfId="1" applyFont="1" applyBorder="1" applyAlignment="1">
      <alignment wrapText="1"/>
    </xf>
    <xf numFmtId="0" fontId="0" fillId="11" borderId="53" xfId="0" applyFill="1" applyBorder="1" applyAlignment="1">
      <alignment wrapText="1"/>
    </xf>
    <xf numFmtId="9" fontId="0" fillId="0" borderId="65" xfId="1" applyFont="1" applyBorder="1" applyAlignment="1">
      <alignment wrapText="1"/>
    </xf>
    <xf numFmtId="9" fontId="0" fillId="0" borderId="65" xfId="1" applyFont="1" applyFill="1" applyBorder="1" applyAlignment="1">
      <alignment wrapText="1"/>
    </xf>
    <xf numFmtId="0" fontId="11" fillId="3" borderId="14" xfId="4" applyFill="1" applyBorder="1" applyAlignment="1">
      <alignment vertical="center" wrapText="1"/>
    </xf>
    <xf numFmtId="0" fontId="11" fillId="3" borderId="19" xfId="4" applyFill="1" applyBorder="1" applyAlignment="1">
      <alignment vertical="center" wrapText="1"/>
    </xf>
    <xf numFmtId="0" fontId="12" fillId="4" borderId="28" xfId="4" applyFont="1" applyFill="1" applyBorder="1" applyAlignment="1">
      <alignment horizontal="center" vertical="center" wrapText="1"/>
    </xf>
    <xf numFmtId="0" fontId="12" fillId="4" borderId="31" xfId="4" applyFont="1" applyFill="1" applyBorder="1" applyAlignment="1">
      <alignment horizontal="center" vertical="center" wrapText="1"/>
    </xf>
    <xf numFmtId="0" fontId="14" fillId="3" borderId="38" xfId="4" applyFont="1" applyFill="1" applyBorder="1" applyAlignment="1">
      <alignment horizontal="left" vertical="center" wrapText="1"/>
    </xf>
    <xf numFmtId="0" fontId="12" fillId="5" borderId="12" xfId="4" applyFont="1" applyFill="1" applyBorder="1" applyAlignment="1">
      <alignment vertical="center" wrapText="1"/>
    </xf>
    <xf numFmtId="0" fontId="30" fillId="0" borderId="53" xfId="0" applyFont="1" applyBorder="1" applyAlignment="1">
      <alignment wrapText="1"/>
    </xf>
    <xf numFmtId="0" fontId="0" fillId="0" borderId="53" xfId="0" applyBorder="1" applyAlignment="1">
      <alignment horizontal="left" wrapText="1"/>
    </xf>
    <xf numFmtId="0" fontId="0" fillId="0" borderId="55" xfId="0" applyBorder="1" applyAlignment="1">
      <alignment wrapText="1"/>
    </xf>
    <xf numFmtId="0" fontId="10" fillId="0" borderId="69" xfId="0" applyFont="1" applyBorder="1" applyAlignment="1">
      <alignment wrapText="1"/>
    </xf>
    <xf numFmtId="0" fontId="10" fillId="0" borderId="4" xfId="0" applyFont="1" applyBorder="1" applyAlignment="1">
      <alignment wrapText="1"/>
    </xf>
    <xf numFmtId="0" fontId="10" fillId="0" borderId="6" xfId="0" applyFont="1" applyBorder="1" applyAlignment="1">
      <alignment wrapText="1"/>
    </xf>
    <xf numFmtId="0" fontId="0" fillId="0" borderId="53" xfId="0" applyBorder="1" applyAlignment="1">
      <alignment horizontal="left" vertical="center"/>
    </xf>
    <xf numFmtId="0" fontId="10" fillId="0" borderId="28" xfId="0" applyFont="1" applyBorder="1" applyAlignment="1">
      <alignment horizontal="left" wrapText="1"/>
    </xf>
    <xf numFmtId="0" fontId="18" fillId="0" borderId="0" xfId="0" applyFont="1" applyAlignment="1">
      <alignment vertical="top" wrapText="1"/>
    </xf>
    <xf numFmtId="0" fontId="0" fillId="0" borderId="10" xfId="0" applyBorder="1" applyAlignment="1">
      <alignment horizontal="left" wrapText="1"/>
    </xf>
    <xf numFmtId="0" fontId="0" fillId="0" borderId="26" xfId="0" applyBorder="1" applyAlignment="1">
      <alignment vertical="top" wrapText="1"/>
    </xf>
    <xf numFmtId="0" fontId="0" fillId="0" borderId="10" xfId="0" applyBorder="1" applyAlignment="1">
      <alignment wrapText="1"/>
    </xf>
    <xf numFmtId="0" fontId="0" fillId="0" borderId="17" xfId="0" applyBorder="1" applyAlignment="1">
      <alignment wrapText="1"/>
    </xf>
    <xf numFmtId="0" fontId="21" fillId="0" borderId="0" xfId="0" applyFont="1" applyAlignment="1">
      <alignment wrapText="1"/>
    </xf>
    <xf numFmtId="0" fontId="18" fillId="0" borderId="0" xfId="0" applyFont="1" applyAlignment="1">
      <alignment wrapText="1"/>
    </xf>
    <xf numFmtId="0" fontId="11" fillId="3" borderId="2" xfId="0" applyFont="1" applyFill="1" applyBorder="1" applyAlignment="1" applyProtection="1">
      <alignment vertical="center" wrapText="1"/>
      <protection locked="0"/>
    </xf>
    <xf numFmtId="0" fontId="10" fillId="0" borderId="53" xfId="0" applyFont="1" applyBorder="1" applyAlignment="1">
      <alignment horizontal="center"/>
    </xf>
    <xf numFmtId="3" fontId="8" fillId="0" borderId="68" xfId="3" applyNumberFormat="1" applyFont="1" applyBorder="1" applyAlignment="1">
      <alignment vertical="top" wrapText="1"/>
    </xf>
    <xf numFmtId="179" fontId="8" fillId="0" borderId="68" xfId="3" applyNumberFormat="1" applyFont="1" applyBorder="1" applyAlignment="1">
      <alignment vertical="top" wrapText="1"/>
    </xf>
    <xf numFmtId="171" fontId="8" fillId="0" borderId="68" xfId="0" applyNumberFormat="1" applyFont="1" applyBorder="1" applyAlignment="1">
      <alignment vertical="top" wrapText="1"/>
    </xf>
    <xf numFmtId="0" fontId="14" fillId="0" borderId="0" xfId="4" applyFont="1"/>
    <xf numFmtId="0" fontId="11" fillId="0" borderId="0" xfId="4" applyAlignment="1">
      <alignment vertical="top" wrapText="1"/>
    </xf>
    <xf numFmtId="0" fontId="0" fillId="10" borderId="0" xfId="0" applyFill="1"/>
    <xf numFmtId="0" fontId="0" fillId="10" borderId="9" xfId="0" applyFill="1" applyBorder="1"/>
    <xf numFmtId="0" fontId="0" fillId="10" borderId="10" xfId="0" applyFill="1" applyBorder="1"/>
    <xf numFmtId="0" fontId="0" fillId="10" borderId="11" xfId="0" applyFill="1" applyBorder="1"/>
    <xf numFmtId="0" fontId="0" fillId="10" borderId="18" xfId="0" applyFill="1" applyBorder="1"/>
    <xf numFmtId="0" fontId="10" fillId="10" borderId="0" xfId="0" applyFont="1" applyFill="1"/>
    <xf numFmtId="0" fontId="0" fillId="10" borderId="17" xfId="0" applyFill="1" applyBorder="1"/>
    <xf numFmtId="0" fontId="0" fillId="10" borderId="25" xfId="0" applyFill="1" applyBorder="1"/>
    <xf numFmtId="0" fontId="0" fillId="10" borderId="26" xfId="0" applyFill="1" applyBorder="1"/>
    <xf numFmtId="0" fontId="0" fillId="10" borderId="27" xfId="0" applyFill="1" applyBorder="1"/>
    <xf numFmtId="0" fontId="19" fillId="10" borderId="0" xfId="0" applyFont="1" applyFill="1"/>
    <xf numFmtId="0" fontId="0" fillId="19" borderId="62" xfId="0" applyFill="1" applyBorder="1" applyAlignment="1">
      <alignment vertical="top" wrapText="1"/>
    </xf>
    <xf numFmtId="172" fontId="0" fillId="19" borderId="53" xfId="3" applyNumberFormat="1" applyFont="1" applyFill="1" applyBorder="1" applyAlignment="1">
      <alignment vertical="top" wrapText="1"/>
    </xf>
    <xf numFmtId="1" fontId="0" fillId="19" borderId="56" xfId="0" applyNumberFormat="1" applyFill="1" applyBorder="1" applyAlignment="1">
      <alignment vertical="top" wrapText="1"/>
    </xf>
    <xf numFmtId="169" fontId="0" fillId="19" borderId="53" xfId="0" applyNumberFormat="1" applyFill="1" applyBorder="1" applyAlignment="1">
      <alignment horizontal="right" vertical="top" wrapText="1"/>
    </xf>
    <xf numFmtId="0" fontId="0" fillId="19" borderId="53" xfId="0" applyFill="1" applyBorder="1" applyAlignment="1">
      <alignment horizontal="right" vertical="top" wrapText="1"/>
    </xf>
    <xf numFmtId="166" fontId="0" fillId="19" borderId="53" xfId="0" applyNumberFormat="1" applyFill="1" applyBorder="1" applyAlignment="1">
      <alignment horizontal="right" vertical="top" wrapText="1"/>
    </xf>
    <xf numFmtId="167" fontId="0" fillId="19" borderId="53" xfId="0" applyNumberFormat="1" applyFill="1" applyBorder="1" applyAlignment="1">
      <alignment horizontal="right" vertical="top" wrapText="1"/>
    </xf>
    <xf numFmtId="169" fontId="0" fillId="19" borderId="53" xfId="0" applyNumberFormat="1" applyFill="1" applyBorder="1" applyAlignment="1">
      <alignment vertical="top" wrapText="1"/>
    </xf>
    <xf numFmtId="0" fontId="0" fillId="19" borderId="53" xfId="0" applyFill="1" applyBorder="1" applyAlignment="1">
      <alignment vertical="top" wrapText="1"/>
    </xf>
    <xf numFmtId="0" fontId="0" fillId="19" borderId="56" xfId="0" applyFill="1" applyBorder="1" applyAlignment="1">
      <alignment vertical="top" wrapText="1"/>
    </xf>
    <xf numFmtId="0" fontId="0" fillId="19" borderId="0" xfId="0" applyFill="1"/>
    <xf numFmtId="9" fontId="0" fillId="19" borderId="53" xfId="1" applyFont="1" applyFill="1" applyBorder="1"/>
    <xf numFmtId="0" fontId="0" fillId="19" borderId="68" xfId="0" applyFill="1" applyBorder="1" applyAlignment="1">
      <alignment horizontal="left" vertical="top"/>
    </xf>
    <xf numFmtId="0" fontId="0" fillId="19" borderId="6" xfId="0" applyFill="1" applyBorder="1" applyAlignment="1">
      <alignment horizontal="left" vertical="top"/>
    </xf>
    <xf numFmtId="170" fontId="0" fillId="19" borderId="6" xfId="1" applyNumberFormat="1" applyFont="1" applyFill="1" applyBorder="1" applyAlignment="1">
      <alignment horizontal="left" vertical="top"/>
    </xf>
    <xf numFmtId="9" fontId="0" fillId="19" borderId="56" xfId="1" applyFont="1" applyFill="1" applyBorder="1"/>
    <xf numFmtId="9" fontId="0" fillId="19" borderId="68" xfId="1" applyFont="1" applyFill="1" applyBorder="1" applyAlignment="1">
      <alignment horizontal="left" vertical="top"/>
    </xf>
    <xf numFmtId="170" fontId="0" fillId="19" borderId="68" xfId="0" applyNumberFormat="1" applyFill="1" applyBorder="1" applyAlignment="1">
      <alignment horizontal="left" vertical="top"/>
    </xf>
    <xf numFmtId="167" fontId="0" fillId="0" borderId="53" xfId="3" applyNumberFormat="1" applyFont="1" applyFill="1" applyBorder="1" applyAlignment="1">
      <alignment vertical="top" wrapText="1"/>
    </xf>
    <xf numFmtId="167" fontId="0" fillId="0" borderId="81" xfId="3" applyNumberFormat="1" applyFont="1" applyFill="1" applyBorder="1" applyAlignment="1">
      <alignment vertical="top" wrapText="1"/>
    </xf>
    <xf numFmtId="168" fontId="0" fillId="19" borderId="0" xfId="2" applyNumberFormat="1" applyFont="1" applyFill="1" applyBorder="1"/>
    <xf numFmtId="168" fontId="0" fillId="19" borderId="26" xfId="2" applyNumberFormat="1" applyFont="1" applyFill="1" applyBorder="1"/>
    <xf numFmtId="168" fontId="0" fillId="19" borderId="10" xfId="2" applyNumberFormat="1" applyFont="1" applyFill="1" applyBorder="1"/>
    <xf numFmtId="9" fontId="0" fillId="19" borderId="0" xfId="1" applyFont="1" applyFill="1" applyBorder="1"/>
    <xf numFmtId="9" fontId="0" fillId="19" borderId="26" xfId="1" applyFont="1" applyFill="1" applyBorder="1"/>
    <xf numFmtId="9" fontId="0" fillId="19" borderId="10" xfId="1" applyFont="1" applyFill="1" applyBorder="1"/>
    <xf numFmtId="2" fontId="0" fillId="19" borderId="0" xfId="0" applyNumberFormat="1" applyFill="1"/>
    <xf numFmtId="2" fontId="0" fillId="19" borderId="26" xfId="0" applyNumberFormat="1" applyFill="1" applyBorder="1"/>
    <xf numFmtId="0" fontId="0" fillId="19" borderId="10" xfId="0" applyFill="1" applyBorder="1"/>
    <xf numFmtId="0" fontId="0" fillId="19" borderId="26" xfId="0" applyFill="1" applyBorder="1"/>
    <xf numFmtId="169" fontId="0" fillId="19" borderId="56" xfId="0" applyNumberFormat="1" applyFill="1" applyBorder="1" applyAlignment="1">
      <alignment vertical="top" wrapText="1"/>
    </xf>
    <xf numFmtId="9" fontId="0" fillId="19" borderId="53" xfId="1" applyFont="1" applyFill="1" applyBorder="1" applyAlignment="1">
      <alignment vertical="top" wrapText="1"/>
    </xf>
    <xf numFmtId="0" fontId="0" fillId="19" borderId="68" xfId="0" applyFill="1" applyBorder="1" applyAlignment="1">
      <alignment horizontal="left" vertical="top" wrapText="1"/>
    </xf>
    <xf numFmtId="3" fontId="29" fillId="0" borderId="0" xfId="3" applyNumberFormat="1" applyFont="1" applyBorder="1" applyAlignment="1">
      <alignment vertical="top" wrapText="1"/>
    </xf>
    <xf numFmtId="3" fontId="0" fillId="0" borderId="68" xfId="3" applyNumberFormat="1" applyFont="1" applyFill="1" applyBorder="1" applyAlignment="1">
      <alignment vertical="top" wrapText="1"/>
    </xf>
    <xf numFmtId="3" fontId="0" fillId="0" borderId="65" xfId="3" applyNumberFormat="1" applyFont="1" applyFill="1" applyBorder="1" applyAlignment="1">
      <alignment vertical="top" wrapText="1"/>
    </xf>
    <xf numFmtId="0" fontId="0" fillId="0" borderId="7" xfId="0" applyBorder="1" applyAlignment="1">
      <alignment vertical="top" wrapText="1"/>
    </xf>
    <xf numFmtId="179" fontId="0" fillId="0" borderId="68" xfId="3" applyNumberFormat="1" applyFont="1" applyFill="1" applyBorder="1" applyAlignment="1">
      <alignment vertical="top" wrapText="1"/>
    </xf>
    <xf numFmtId="189" fontId="0" fillId="0" borderId="68" xfId="3" applyNumberFormat="1" applyFont="1" applyFill="1" applyBorder="1" applyAlignment="1">
      <alignment vertical="top" wrapText="1"/>
    </xf>
    <xf numFmtId="177" fontId="0" fillId="19" borderId="68" xfId="0" applyNumberFormat="1" applyFill="1" applyBorder="1" applyAlignment="1">
      <alignment horizontal="left" vertical="top"/>
    </xf>
    <xf numFmtId="169" fontId="0" fillId="19" borderId="0" xfId="0" applyNumberFormat="1" applyFill="1"/>
    <xf numFmtId="171" fontId="0" fillId="0" borderId="81" xfId="3" applyNumberFormat="1" applyFont="1" applyFill="1" applyBorder="1" applyAlignment="1">
      <alignment vertical="top" wrapText="1"/>
    </xf>
    <xf numFmtId="0" fontId="21" fillId="0" borderId="17" xfId="0" applyFont="1" applyBorder="1" applyAlignment="1">
      <alignment horizontal="center" vertical="top" wrapText="1"/>
    </xf>
    <xf numFmtId="0" fontId="0" fillId="19" borderId="68" xfId="0" applyFill="1" applyBorder="1" applyAlignment="1">
      <alignment wrapText="1"/>
    </xf>
    <xf numFmtId="0" fontId="0" fillId="19" borderId="68" xfId="0" applyFill="1" applyBorder="1" applyAlignment="1">
      <alignment vertical="top" wrapText="1"/>
    </xf>
    <xf numFmtId="172" fontId="0" fillId="0" borderId="67" xfId="0" applyNumberFormat="1" applyBorder="1" applyAlignment="1">
      <alignment horizontal="right"/>
    </xf>
    <xf numFmtId="2" fontId="0" fillId="19" borderId="10" xfId="0" applyNumberFormat="1" applyFill="1" applyBorder="1"/>
    <xf numFmtId="1" fontId="0" fillId="19" borderId="0" xfId="0" applyNumberFormat="1" applyFill="1"/>
    <xf numFmtId="166" fontId="0" fillId="19" borderId="10" xfId="3" applyFont="1" applyFill="1" applyBorder="1" applyAlignment="1">
      <alignment horizontal="right"/>
    </xf>
    <xf numFmtId="166" fontId="0" fillId="19" borderId="0" xfId="3" applyFont="1" applyFill="1" applyBorder="1" applyAlignment="1">
      <alignment horizontal="right"/>
    </xf>
    <xf numFmtId="166" fontId="0" fillId="19" borderId="0" xfId="3" applyFont="1" applyFill="1" applyBorder="1"/>
    <xf numFmtId="166" fontId="0" fillId="19" borderId="26" xfId="3" applyFont="1" applyFill="1" applyBorder="1"/>
    <xf numFmtId="169" fontId="0" fillId="19" borderId="10" xfId="0" applyNumberFormat="1" applyFill="1" applyBorder="1"/>
    <xf numFmtId="166" fontId="0" fillId="19" borderId="10" xfId="3" applyFont="1" applyFill="1" applyBorder="1"/>
    <xf numFmtId="169" fontId="0" fillId="19" borderId="26" xfId="0" applyNumberFormat="1" applyFill="1" applyBorder="1"/>
    <xf numFmtId="1" fontId="0" fillId="19" borderId="26" xfId="0" applyNumberFormat="1" applyFill="1" applyBorder="1"/>
    <xf numFmtId="166" fontId="0" fillId="19" borderId="53" xfId="3" applyFont="1" applyFill="1" applyBorder="1" applyAlignment="1">
      <alignment horizontal="right" vertical="top" wrapText="1"/>
    </xf>
    <xf numFmtId="0" fontId="0" fillId="19" borderId="65" xfId="0" applyFill="1" applyBorder="1"/>
    <xf numFmtId="166" fontId="0" fillId="19" borderId="70" xfId="3" applyFont="1" applyFill="1" applyBorder="1" applyAlignment="1">
      <alignment horizontal="right" vertical="top" wrapText="1"/>
    </xf>
    <xf numFmtId="0" fontId="0" fillId="19" borderId="53" xfId="0" applyFill="1" applyBorder="1"/>
    <xf numFmtId="178" fontId="0" fillId="19" borderId="53" xfId="0" applyNumberFormat="1" applyFill="1" applyBorder="1"/>
    <xf numFmtId="177" fontId="0" fillId="19" borderId="53" xfId="0" applyNumberFormat="1" applyFill="1" applyBorder="1"/>
    <xf numFmtId="2" fontId="0" fillId="19" borderId="53" xfId="0" applyNumberFormat="1" applyFill="1" applyBorder="1"/>
    <xf numFmtId="2" fontId="30" fillId="19" borderId="53" xfId="0" applyNumberFormat="1" applyFont="1" applyFill="1" applyBorder="1"/>
    <xf numFmtId="177" fontId="30" fillId="19" borderId="53" xfId="3" applyNumberFormat="1" applyFont="1" applyFill="1" applyBorder="1"/>
    <xf numFmtId="2" fontId="0" fillId="19" borderId="68" xfId="0" applyNumberFormat="1" applyFill="1" applyBorder="1"/>
    <xf numFmtId="1" fontId="0" fillId="19" borderId="53" xfId="0" applyNumberFormat="1" applyFill="1" applyBorder="1" applyAlignment="1">
      <alignment horizontal="right"/>
    </xf>
    <xf numFmtId="0" fontId="11" fillId="19" borderId="15" xfId="4" applyFill="1" applyBorder="1" applyAlignment="1">
      <alignment vertical="center"/>
    </xf>
    <xf numFmtId="0" fontId="11" fillId="19" borderId="20" xfId="4" applyFill="1" applyBorder="1" applyAlignment="1">
      <alignment horizontal="right" vertical="center"/>
    </xf>
    <xf numFmtId="0" fontId="11" fillId="19" borderId="23" xfId="4" applyFill="1" applyBorder="1" applyAlignment="1">
      <alignment horizontal="right" vertical="center"/>
    </xf>
    <xf numFmtId="2" fontId="11" fillId="19" borderId="36" xfId="4" applyNumberFormat="1" applyFill="1" applyBorder="1" applyAlignment="1">
      <alignment vertical="center"/>
    </xf>
    <xf numFmtId="2" fontId="11" fillId="19" borderId="40" xfId="4" applyNumberFormat="1" applyFill="1" applyBorder="1" applyAlignment="1">
      <alignment vertical="center"/>
    </xf>
    <xf numFmtId="2" fontId="11" fillId="19" borderId="44" xfId="4" applyNumberFormat="1" applyFill="1" applyBorder="1" applyAlignment="1">
      <alignment vertical="center"/>
    </xf>
    <xf numFmtId="2" fontId="11" fillId="0" borderId="40" xfId="4" applyNumberFormat="1" applyBorder="1" applyAlignment="1">
      <alignment vertical="center"/>
    </xf>
    <xf numFmtId="2" fontId="11" fillId="0" borderId="44" xfId="4" applyNumberFormat="1" applyBorder="1" applyAlignment="1">
      <alignment vertical="center"/>
    </xf>
    <xf numFmtId="0" fontId="11" fillId="0" borderId="44" xfId="4" applyBorder="1" applyAlignment="1">
      <alignment vertical="center"/>
    </xf>
    <xf numFmtId="2" fontId="11" fillId="0" borderId="48" xfId="4" applyNumberFormat="1" applyBorder="1" applyAlignment="1">
      <alignment vertical="center"/>
    </xf>
    <xf numFmtId="9" fontId="0" fillId="19" borderId="68" xfId="1" applyFont="1" applyFill="1" applyBorder="1"/>
    <xf numFmtId="9" fontId="10" fillId="0" borderId="68" xfId="1" applyFont="1" applyBorder="1" applyAlignment="1">
      <alignment wrapText="1"/>
    </xf>
    <xf numFmtId="0" fontId="10" fillId="0" borderId="5" xfId="0" applyFont="1" applyBorder="1" applyAlignment="1">
      <alignment wrapText="1"/>
    </xf>
    <xf numFmtId="9" fontId="10" fillId="0" borderId="5" xfId="1" applyFont="1" applyFill="1" applyBorder="1"/>
    <xf numFmtId="9" fontId="8" fillId="19" borderId="68" xfId="1" applyFont="1" applyFill="1" applyBorder="1"/>
    <xf numFmtId="9" fontId="30" fillId="19" borderId="68" xfId="1" applyFont="1" applyFill="1" applyBorder="1"/>
    <xf numFmtId="9" fontId="30" fillId="19" borderId="5" xfId="1" applyFont="1" applyFill="1" applyBorder="1"/>
    <xf numFmtId="9" fontId="0" fillId="19" borderId="5" xfId="1" applyFont="1" applyFill="1" applyBorder="1"/>
    <xf numFmtId="9" fontId="30" fillId="19" borderId="5" xfId="0" applyNumberFormat="1" applyFont="1" applyFill="1" applyBorder="1"/>
    <xf numFmtId="9" fontId="0" fillId="19" borderId="65" xfId="1" applyFont="1" applyFill="1" applyBorder="1"/>
    <xf numFmtId="9" fontId="0" fillId="19" borderId="67" xfId="1" applyFont="1" applyFill="1" applyBorder="1"/>
    <xf numFmtId="168" fontId="0" fillId="19" borderId="62" xfId="2" applyNumberFormat="1" applyFont="1" applyFill="1" applyBorder="1"/>
    <xf numFmtId="165" fontId="0" fillId="19" borderId="68" xfId="2" applyFont="1" applyFill="1" applyBorder="1"/>
    <xf numFmtId="168" fontId="0" fillId="19" borderId="68" xfId="2" applyNumberFormat="1" applyFont="1" applyFill="1" applyBorder="1"/>
    <xf numFmtId="180" fontId="0" fillId="19" borderId="68" xfId="2" applyNumberFormat="1" applyFont="1" applyFill="1" applyBorder="1"/>
    <xf numFmtId="181" fontId="0" fillId="19" borderId="68" xfId="2" applyNumberFormat="1" applyFont="1" applyFill="1" applyBorder="1"/>
    <xf numFmtId="168" fontId="0" fillId="19" borderId="81" xfId="2" applyNumberFormat="1" applyFont="1" applyFill="1" applyBorder="1"/>
    <xf numFmtId="3" fontId="41" fillId="19" borderId="0" xfId="0" applyNumberFormat="1" applyFont="1" applyFill="1" applyProtection="1">
      <protection locked="0"/>
    </xf>
    <xf numFmtId="0" fontId="2" fillId="19" borderId="0" xfId="0" applyFont="1" applyFill="1" applyProtection="1">
      <protection locked="0"/>
    </xf>
    <xf numFmtId="0" fontId="42" fillId="19" borderId="0" xfId="0" applyFont="1" applyFill="1" applyProtection="1">
      <protection locked="0"/>
    </xf>
    <xf numFmtId="0" fontId="41" fillId="19" borderId="0" xfId="0" applyFont="1" applyFill="1" applyAlignment="1" applyProtection="1">
      <alignment horizontal="left"/>
      <protection locked="0"/>
    </xf>
    <xf numFmtId="2" fontId="41" fillId="19" borderId="0" xfId="2" applyNumberFormat="1" applyFont="1" applyFill="1" applyBorder="1" applyAlignment="1" applyProtection="1">
      <protection locked="0"/>
    </xf>
    <xf numFmtId="0" fontId="42" fillId="19" borderId="0" xfId="2" applyNumberFormat="1" applyFont="1" applyFill="1" applyBorder="1" applyAlignment="1" applyProtection="1">
      <protection locked="0"/>
    </xf>
    <xf numFmtId="3" fontId="41" fillId="19" borderId="1" xfId="0" applyNumberFormat="1" applyFont="1" applyFill="1" applyBorder="1" applyProtection="1">
      <protection locked="0"/>
    </xf>
    <xf numFmtId="0" fontId="41" fillId="19" borderId="0" xfId="0" applyFont="1" applyFill="1" applyAlignment="1" applyProtection="1">
      <alignment horizontal="right"/>
      <protection locked="0"/>
    </xf>
    <xf numFmtId="0" fontId="41" fillId="19" borderId="0" xfId="2" applyNumberFormat="1" applyFont="1" applyFill="1" applyBorder="1" applyAlignment="1" applyProtection="1">
      <protection locked="0"/>
    </xf>
    <xf numFmtId="0" fontId="30" fillId="0" borderId="73" xfId="0" applyFont="1" applyBorder="1"/>
    <xf numFmtId="0" fontId="18" fillId="10" borderId="0" xfId="0" applyFont="1" applyFill="1"/>
    <xf numFmtId="190" fontId="0" fillId="0" borderId="10" xfId="0" applyNumberFormat="1" applyBorder="1"/>
    <xf numFmtId="190" fontId="0" fillId="0" borderId="26" xfId="0" applyNumberFormat="1" applyBorder="1"/>
    <xf numFmtId="190" fontId="0" fillId="0" borderId="0" xfId="0" applyNumberFormat="1"/>
    <xf numFmtId="190" fontId="0" fillId="19" borderId="10" xfId="0" applyNumberFormat="1" applyFill="1" applyBorder="1"/>
    <xf numFmtId="190" fontId="0" fillId="19" borderId="26" xfId="0" applyNumberFormat="1" applyFill="1" applyBorder="1"/>
    <xf numFmtId="190" fontId="0" fillId="19" borderId="0" xfId="0" applyNumberFormat="1" applyFill="1"/>
    <xf numFmtId="164" fontId="0" fillId="0" borderId="10" xfId="0" applyNumberFormat="1" applyBorder="1"/>
    <xf numFmtId="164" fontId="0" fillId="0" borderId="26" xfId="0" applyNumberFormat="1" applyBorder="1"/>
    <xf numFmtId="164" fontId="0" fillId="0" borderId="0" xfId="0" applyNumberFormat="1"/>
    <xf numFmtId="0" fontId="30" fillId="0" borderId="53" xfId="0" applyFont="1" applyBorder="1" applyAlignment="1">
      <alignment horizontal="left" wrapText="1"/>
    </xf>
    <xf numFmtId="0" fontId="30" fillId="0" borderId="0" xfId="0" applyFont="1" applyAlignment="1">
      <alignment horizontal="left" wrapText="1"/>
    </xf>
    <xf numFmtId="0" fontId="0" fillId="0" borderId="65" xfId="0" applyBorder="1" applyAlignment="1">
      <alignment horizontal="left" wrapText="1"/>
    </xf>
    <xf numFmtId="2" fontId="45" fillId="0" borderId="0" xfId="1" applyNumberFormat="1" applyFont="1"/>
    <xf numFmtId="4" fontId="45" fillId="0" borderId="0" xfId="0" applyNumberFormat="1" applyFont="1"/>
    <xf numFmtId="170" fontId="11" fillId="0" borderId="0" xfId="1" applyNumberFormat="1" applyFont="1" applyFill="1" applyBorder="1"/>
    <xf numFmtId="0" fontId="11" fillId="0" borderId="0" xfId="1" applyNumberFormat="1" applyFont="1" applyFill="1" applyBorder="1"/>
    <xf numFmtId="191" fontId="11" fillId="0" borderId="0" xfId="1" applyNumberFormat="1" applyFont="1" applyFill="1" applyBorder="1"/>
    <xf numFmtId="0" fontId="0" fillId="10" borderId="9" xfId="0" applyFill="1" applyBorder="1" applyAlignment="1">
      <alignment vertical="top" wrapText="1"/>
    </xf>
    <xf numFmtId="0" fontId="0" fillId="10" borderId="10" xfId="0" applyFill="1" applyBorder="1" applyAlignment="1">
      <alignment vertical="top" wrapText="1"/>
    </xf>
    <xf numFmtId="0" fontId="0" fillId="10" borderId="11" xfId="0" applyFill="1" applyBorder="1" applyAlignment="1">
      <alignment vertical="top" wrapText="1"/>
    </xf>
    <xf numFmtId="0" fontId="0" fillId="10" borderId="18" xfId="0" applyFill="1" applyBorder="1" applyAlignment="1">
      <alignment vertical="top" wrapText="1"/>
    </xf>
    <xf numFmtId="0" fontId="0" fillId="10" borderId="0" xfId="0" applyFill="1" applyAlignment="1">
      <alignment vertical="top" wrapText="1"/>
    </xf>
    <xf numFmtId="0" fontId="0" fillId="10" borderId="17" xfId="0" applyFill="1" applyBorder="1" applyAlignment="1">
      <alignment vertical="top" wrapText="1"/>
    </xf>
    <xf numFmtId="0" fontId="0" fillId="10" borderId="25" xfId="0" applyFill="1" applyBorder="1" applyAlignment="1">
      <alignment vertical="top" wrapText="1"/>
    </xf>
    <xf numFmtId="0" fontId="0" fillId="10" borderId="26" xfId="0" applyFill="1" applyBorder="1" applyAlignment="1">
      <alignment vertical="top" wrapText="1"/>
    </xf>
    <xf numFmtId="0" fontId="0" fillId="10" borderId="27" xfId="0" applyFill="1" applyBorder="1" applyAlignment="1">
      <alignment vertical="top" wrapText="1"/>
    </xf>
    <xf numFmtId="0" fontId="3" fillId="2" borderId="5" xfId="0" applyFont="1" applyFill="1" applyBorder="1" applyAlignment="1" applyProtection="1">
      <alignment horizontal="center"/>
      <protection locked="0"/>
    </xf>
    <xf numFmtId="0" fontId="3" fillId="2" borderId="0" xfId="0" applyFont="1" applyFill="1" applyAlignment="1" applyProtection="1">
      <alignment horizontal="center"/>
      <protection locked="0"/>
    </xf>
    <xf numFmtId="0" fontId="3" fillId="2" borderId="6" xfId="0" applyFont="1" applyFill="1" applyBorder="1" applyAlignment="1" applyProtection="1">
      <alignment horizontal="center"/>
      <protection locked="0"/>
    </xf>
    <xf numFmtId="0" fontId="10" fillId="0" borderId="28" xfId="0" applyFont="1" applyBorder="1" applyAlignment="1">
      <alignment horizontal="center" vertical="center" wrapText="1"/>
    </xf>
    <xf numFmtId="0" fontId="14" fillId="3" borderId="38" xfId="4" applyFont="1" applyFill="1" applyBorder="1" applyAlignment="1">
      <alignment horizontal="left" vertical="center"/>
    </xf>
    <xf numFmtId="3" fontId="0" fillId="0" borderId="0" xfId="0" applyNumberFormat="1" applyAlignment="1">
      <alignment vertical="top" wrapText="1"/>
    </xf>
    <xf numFmtId="2" fontId="11" fillId="19" borderId="20" xfId="4" applyNumberFormat="1" applyFill="1" applyBorder="1" applyAlignment="1">
      <alignment vertical="center"/>
    </xf>
    <xf numFmtId="192" fontId="0" fillId="0" borderId="0" xfId="0" applyNumberFormat="1" applyAlignment="1">
      <alignment vertical="top" wrapText="1"/>
    </xf>
    <xf numFmtId="178" fontId="25" fillId="0" borderId="53" xfId="0" applyNumberFormat="1" applyFont="1" applyBorder="1"/>
    <xf numFmtId="184" fontId="0" fillId="20" borderId="9" xfId="3" applyNumberFormat="1" applyFont="1" applyFill="1" applyBorder="1" applyAlignment="1">
      <alignment horizontal="center" vertical="center"/>
    </xf>
    <xf numFmtId="170" fontId="0" fillId="20" borderId="68" xfId="0" applyNumberFormat="1" applyFill="1" applyBorder="1" applyAlignment="1">
      <alignment horizontal="left" vertical="top"/>
    </xf>
    <xf numFmtId="182" fontId="0" fillId="0" borderId="6" xfId="0" applyNumberFormat="1" applyBorder="1" applyAlignment="1">
      <alignment vertical="top" wrapText="1"/>
    </xf>
    <xf numFmtId="9" fontId="0" fillId="20" borderId="6" xfId="1" applyFont="1" applyFill="1" applyBorder="1" applyAlignment="1">
      <alignment horizontal="left" vertical="top"/>
    </xf>
    <xf numFmtId="182" fontId="0" fillId="0" borderId="6" xfId="0" applyNumberFormat="1" applyBorder="1"/>
    <xf numFmtId="193" fontId="0" fillId="0" borderId="68" xfId="0" applyNumberFormat="1" applyBorder="1" applyAlignment="1">
      <alignment horizontal="right" vertical="center"/>
    </xf>
    <xf numFmtId="166" fontId="0" fillId="20" borderId="0" xfId="3" applyFont="1" applyFill="1" applyBorder="1"/>
    <xf numFmtId="0" fontId="0" fillId="20" borderId="0" xfId="0" applyFill="1" applyAlignment="1">
      <alignment vertical="top" wrapText="1"/>
    </xf>
    <xf numFmtId="0" fontId="0" fillId="10" borderId="0" xfId="0" applyFill="1" applyAlignment="1">
      <alignment horizontal="left" vertical="top" wrapText="1"/>
    </xf>
    <xf numFmtId="0" fontId="46" fillId="10" borderId="0" xfId="6" applyFont="1" applyFill="1" applyBorder="1" applyAlignment="1">
      <alignment horizontal="center" vertical="center" wrapText="1"/>
    </xf>
    <xf numFmtId="0" fontId="3" fillId="2" borderId="78" xfId="0" applyFont="1" applyFill="1" applyBorder="1" applyAlignment="1" applyProtection="1">
      <alignment horizontal="center"/>
      <protection locked="0"/>
    </xf>
    <xf numFmtId="0" fontId="3" fillId="2" borderId="67" xfId="0" applyFont="1" applyFill="1" applyBorder="1" applyAlignment="1" applyProtection="1">
      <alignment horizontal="center"/>
      <protection locked="0"/>
    </xf>
    <xf numFmtId="0" fontId="3" fillId="2" borderId="2" xfId="0" applyFont="1" applyFill="1" applyBorder="1" applyAlignment="1" applyProtection="1">
      <alignment horizontal="center"/>
      <protection locked="0"/>
    </xf>
    <xf numFmtId="0" fontId="3" fillId="2" borderId="4" xfId="0" applyFont="1" applyFill="1" applyBorder="1" applyAlignment="1" applyProtection="1">
      <alignment horizontal="center"/>
      <protection locked="0"/>
    </xf>
    <xf numFmtId="0" fontId="3" fillId="2" borderId="3" xfId="0" applyFont="1" applyFill="1" applyBorder="1" applyAlignment="1" applyProtection="1">
      <alignment horizontal="center"/>
      <protection locked="0"/>
    </xf>
    <xf numFmtId="0" fontId="43" fillId="2" borderId="0" xfId="0" applyFont="1" applyFill="1" applyAlignment="1" applyProtection="1">
      <alignment horizontal="center" vertical="center"/>
      <protection locked="0"/>
    </xf>
    <xf numFmtId="0" fontId="3" fillId="2" borderId="2" xfId="0" applyFont="1" applyFill="1" applyBorder="1" applyAlignment="1" applyProtection="1">
      <alignment horizontal="center" wrapText="1"/>
      <protection locked="0"/>
    </xf>
    <xf numFmtId="0" fontId="3" fillId="2" borderId="5" xfId="0" applyFont="1" applyFill="1" applyBorder="1" applyAlignment="1" applyProtection="1">
      <alignment horizontal="center"/>
      <protection locked="0"/>
    </xf>
    <xf numFmtId="0" fontId="3" fillId="2" borderId="0" xfId="0" applyFont="1" applyFill="1" applyAlignment="1" applyProtection="1">
      <alignment horizontal="center"/>
      <protection locked="0"/>
    </xf>
    <xf numFmtId="0" fontId="3" fillId="2" borderId="6" xfId="0" applyFont="1" applyFill="1" applyBorder="1" applyAlignment="1" applyProtection="1">
      <alignment horizontal="center"/>
      <protection locked="0"/>
    </xf>
    <xf numFmtId="0" fontId="1" fillId="2" borderId="0" xfId="0" applyFont="1" applyFill="1" applyAlignment="1" applyProtection="1">
      <alignment horizontal="center" vertical="center"/>
      <protection locked="0"/>
    </xf>
    <xf numFmtId="0" fontId="18" fillId="3" borderId="65" xfId="0" applyFont="1" applyFill="1" applyBorder="1" applyAlignment="1">
      <alignment horizontal="center"/>
    </xf>
    <xf numFmtId="0" fontId="10" fillId="0" borderId="89" xfId="0" applyFont="1" applyBorder="1" applyAlignment="1">
      <alignment horizontal="center" vertical="center" wrapText="1"/>
    </xf>
    <xf numFmtId="0" fontId="10" fillId="0" borderId="102" xfId="0" applyFont="1" applyBorder="1" applyAlignment="1">
      <alignment horizontal="center" vertical="center" wrapText="1"/>
    </xf>
    <xf numFmtId="0" fontId="10" fillId="0" borderId="80" xfId="0" applyFont="1" applyBorder="1" applyAlignment="1">
      <alignment horizontal="center"/>
    </xf>
    <xf numFmtId="0" fontId="10" fillId="0" borderId="79" xfId="0" applyFont="1" applyBorder="1" applyAlignment="1">
      <alignment horizontal="center"/>
    </xf>
    <xf numFmtId="0" fontId="10" fillId="0" borderId="9" xfId="0" applyFont="1" applyBorder="1" applyAlignment="1">
      <alignment horizontal="center" vertical="center" wrapText="1"/>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25" xfId="0" applyFont="1" applyBorder="1" applyAlignment="1">
      <alignment horizontal="center" vertical="center"/>
    </xf>
    <xf numFmtId="0" fontId="10" fillId="0" borderId="26" xfId="0" applyFont="1" applyBorder="1" applyAlignment="1">
      <alignment horizontal="center" vertical="center"/>
    </xf>
    <xf numFmtId="0" fontId="10" fillId="0" borderId="27" xfId="0" applyFont="1" applyBorder="1" applyAlignment="1">
      <alignment horizontal="center" vertical="center"/>
    </xf>
    <xf numFmtId="0" fontId="18" fillId="3" borderId="66" xfId="0" applyFont="1" applyFill="1" applyBorder="1" applyAlignment="1">
      <alignment horizontal="center"/>
    </xf>
    <xf numFmtId="0" fontId="18" fillId="3" borderId="18" xfId="0" applyFont="1" applyFill="1" applyBorder="1" applyAlignment="1">
      <alignment horizontal="center"/>
    </xf>
    <xf numFmtId="0" fontId="18" fillId="3" borderId="17" xfId="0" applyFont="1" applyFill="1" applyBorder="1" applyAlignment="1">
      <alignment horizontal="center"/>
    </xf>
    <xf numFmtId="0" fontId="10" fillId="17" borderId="28" xfId="0" applyFont="1" applyFill="1" applyBorder="1" applyAlignment="1">
      <alignment horizontal="center"/>
    </xf>
    <xf numFmtId="0" fontId="10" fillId="17" borderId="50" xfId="0" applyFont="1" applyFill="1" applyBorder="1" applyAlignment="1">
      <alignment horizontal="center"/>
    </xf>
    <xf numFmtId="0" fontId="10" fillId="17" borderId="51" xfId="0" applyFont="1" applyFill="1" applyBorder="1" applyAlignment="1">
      <alignment horizontal="center"/>
    </xf>
    <xf numFmtId="0" fontId="10" fillId="0" borderId="28" xfId="0" applyFont="1" applyBorder="1" applyAlignment="1">
      <alignment horizontal="center" vertical="center" wrapText="1"/>
    </xf>
    <xf numFmtId="0" fontId="10" fillId="0" borderId="50" xfId="0" applyFont="1" applyBorder="1" applyAlignment="1">
      <alignment horizontal="center" vertical="center"/>
    </xf>
    <xf numFmtId="0" fontId="10" fillId="0" borderId="51" xfId="0" applyFont="1" applyBorder="1" applyAlignment="1">
      <alignment horizontal="center" vertical="center"/>
    </xf>
    <xf numFmtId="0" fontId="10" fillId="17" borderId="9" xfId="0" applyFont="1" applyFill="1" applyBorder="1" applyAlignment="1">
      <alignment horizontal="center"/>
    </xf>
    <xf numFmtId="0" fontId="10" fillId="17" borderId="10" xfId="0" applyFont="1" applyFill="1" applyBorder="1" applyAlignment="1">
      <alignment horizontal="center"/>
    </xf>
    <xf numFmtId="0" fontId="10" fillId="17" borderId="11" xfId="0" applyFont="1" applyFill="1" applyBorder="1" applyAlignment="1">
      <alignment horizontal="center"/>
    </xf>
    <xf numFmtId="0" fontId="10" fillId="0" borderId="58" xfId="0" applyFont="1" applyBorder="1" applyAlignment="1">
      <alignment horizontal="center"/>
    </xf>
    <xf numFmtId="0" fontId="10" fillId="0" borderId="59" xfId="0" applyFont="1" applyBorder="1" applyAlignment="1">
      <alignment horizontal="center"/>
    </xf>
    <xf numFmtId="0" fontId="10" fillId="0" borderId="60" xfId="0" applyFont="1" applyBorder="1" applyAlignment="1">
      <alignment horizontal="center"/>
    </xf>
    <xf numFmtId="166" fontId="0" fillId="0" borderId="83" xfId="0" applyNumberFormat="1" applyBorder="1" applyAlignment="1">
      <alignment vertical="center"/>
    </xf>
    <xf numFmtId="166" fontId="0" fillId="0" borderId="84" xfId="0" applyNumberFormat="1" applyBorder="1" applyAlignment="1">
      <alignment vertical="center"/>
    </xf>
    <xf numFmtId="166" fontId="0" fillId="0" borderId="85" xfId="0" applyNumberFormat="1" applyBorder="1"/>
    <xf numFmtId="166" fontId="0" fillId="0" borderId="84" xfId="0" applyNumberFormat="1" applyBorder="1"/>
    <xf numFmtId="173" fontId="0" fillId="0" borderId="85" xfId="0" applyNumberFormat="1" applyBorder="1"/>
    <xf numFmtId="173" fontId="0" fillId="0" borderId="83" xfId="0" applyNumberFormat="1" applyBorder="1"/>
    <xf numFmtId="0" fontId="0" fillId="0" borderId="97" xfId="0" applyBorder="1" applyAlignment="1">
      <alignment horizontal="center" vertical="center" wrapText="1"/>
    </xf>
    <xf numFmtId="0" fontId="0" fillId="0" borderId="98" xfId="0" applyBorder="1" applyAlignment="1">
      <alignment horizontal="center" vertical="center" wrapText="1"/>
    </xf>
    <xf numFmtId="0" fontId="0" fillId="0" borderId="99" xfId="0" applyBorder="1" applyAlignment="1">
      <alignment horizontal="center" vertical="center" wrapText="1"/>
    </xf>
    <xf numFmtId="0" fontId="0" fillId="0" borderId="98" xfId="0" applyBorder="1" applyAlignment="1">
      <alignment horizontal="center" vertical="center"/>
    </xf>
    <xf numFmtId="0" fontId="0" fillId="10" borderId="97" xfId="0" applyFill="1" applyBorder="1" applyAlignment="1">
      <alignment horizontal="center" vertical="center"/>
    </xf>
    <xf numFmtId="0" fontId="0" fillId="10" borderId="98" xfId="0" applyFill="1" applyBorder="1" applyAlignment="1">
      <alignment horizontal="center" vertical="center"/>
    </xf>
    <xf numFmtId="0" fontId="0" fillId="10" borderId="99" xfId="0" applyFill="1" applyBorder="1" applyAlignment="1">
      <alignment horizontal="center" vertical="center"/>
    </xf>
    <xf numFmtId="0" fontId="0" fillId="0" borderId="99" xfId="0" applyBorder="1" applyAlignment="1">
      <alignment horizontal="center" vertical="center"/>
    </xf>
    <xf numFmtId="0" fontId="10" fillId="0" borderId="90" xfId="0" applyFont="1" applyBorder="1" applyAlignment="1">
      <alignment horizontal="center"/>
    </xf>
    <xf numFmtId="0" fontId="10" fillId="0" borderId="28" xfId="0" applyFont="1" applyBorder="1" applyAlignment="1">
      <alignment horizontal="center"/>
    </xf>
    <xf numFmtId="0" fontId="10" fillId="0" borderId="50" xfId="0" applyFont="1" applyBorder="1" applyAlignment="1">
      <alignment horizontal="center"/>
    </xf>
    <xf numFmtId="0" fontId="10" fillId="0" borderId="51" xfId="0" applyFont="1" applyBorder="1" applyAlignment="1">
      <alignment horizontal="center"/>
    </xf>
    <xf numFmtId="0" fontId="11" fillId="3" borderId="34" xfId="4" applyFill="1" applyBorder="1" applyAlignment="1">
      <alignment horizontal="left" vertical="center" wrapText="1"/>
    </xf>
    <xf numFmtId="0" fontId="11" fillId="3" borderId="38" xfId="4" applyFill="1" applyBorder="1" applyAlignment="1">
      <alignment horizontal="left" vertical="center" wrapText="1"/>
    </xf>
    <xf numFmtId="0" fontId="11" fillId="3" borderId="46" xfId="4" applyFill="1" applyBorder="1" applyAlignment="1">
      <alignment horizontal="left" vertical="center" wrapText="1"/>
    </xf>
    <xf numFmtId="0" fontId="11" fillId="3" borderId="42" xfId="4" applyFill="1" applyBorder="1" applyAlignment="1">
      <alignment horizontal="left" vertical="center" wrapText="1"/>
    </xf>
    <xf numFmtId="0" fontId="12" fillId="4" borderId="28" xfId="4" applyFont="1" applyFill="1" applyBorder="1" applyAlignment="1">
      <alignment horizontal="center" vertical="center"/>
    </xf>
    <xf numFmtId="0" fontId="12" fillId="4" borderId="50" xfId="4" applyFont="1" applyFill="1" applyBorder="1" applyAlignment="1">
      <alignment horizontal="center" vertical="center"/>
    </xf>
    <xf numFmtId="0" fontId="11" fillId="0" borderId="0" xfId="4" applyAlignment="1">
      <alignment horizontal="right"/>
    </xf>
    <xf numFmtId="0" fontId="12" fillId="4" borderId="9" xfId="4" applyFont="1" applyFill="1" applyBorder="1" applyAlignment="1">
      <alignment horizontal="center" vertical="center"/>
    </xf>
    <xf numFmtId="0" fontId="12" fillId="4" borderId="10" xfId="4" applyFont="1" applyFill="1" applyBorder="1" applyAlignment="1">
      <alignment horizontal="center" vertical="center"/>
    </xf>
    <xf numFmtId="0" fontId="12" fillId="4" borderId="11" xfId="4" applyFont="1" applyFill="1" applyBorder="1" applyAlignment="1">
      <alignment horizontal="center" vertical="center"/>
    </xf>
    <xf numFmtId="0" fontId="14" fillId="3" borderId="34" xfId="4" applyFont="1" applyFill="1" applyBorder="1" applyAlignment="1">
      <alignment horizontal="left" vertical="center" wrapText="1"/>
    </xf>
    <xf numFmtId="0" fontId="14" fillId="3" borderId="38" xfId="4" applyFont="1" applyFill="1" applyBorder="1" applyAlignment="1">
      <alignment horizontal="left" vertical="center"/>
    </xf>
    <xf numFmtId="0" fontId="0" fillId="0" borderId="78" xfId="0" applyBorder="1" applyAlignment="1">
      <alignment horizontal="center"/>
    </xf>
    <xf numFmtId="0" fontId="0" fillId="0" borderId="59" xfId="0" applyBorder="1" applyAlignment="1">
      <alignment horizontal="center"/>
    </xf>
    <xf numFmtId="0" fontId="0" fillId="0" borderId="67" xfId="0" applyBorder="1" applyAlignment="1">
      <alignment horizontal="center"/>
    </xf>
    <xf numFmtId="0" fontId="0" fillId="0" borderId="53" xfId="0" applyBorder="1" applyAlignment="1">
      <alignment horizontal="center"/>
    </xf>
    <xf numFmtId="0" fontId="0" fillId="0" borderId="9" xfId="0" applyBorder="1" applyAlignment="1">
      <alignment horizontal="center" vertical="center"/>
    </xf>
    <xf numFmtId="0" fontId="0" fillId="0" borderId="18" xfId="0" applyBorder="1" applyAlignment="1">
      <alignment horizontal="center" vertical="center"/>
    </xf>
    <xf numFmtId="0" fontId="0" fillId="0" borderId="25" xfId="0" applyBorder="1" applyAlignment="1">
      <alignment horizontal="center" vertical="center"/>
    </xf>
    <xf numFmtId="0" fontId="0" fillId="0" borderId="9" xfId="0" applyBorder="1" applyAlignment="1">
      <alignment horizontal="center" vertical="center" wrapText="1"/>
    </xf>
    <xf numFmtId="0" fontId="0" fillId="0" borderId="18" xfId="0" applyBorder="1" applyAlignment="1">
      <alignment horizontal="center" vertical="center" wrapText="1"/>
    </xf>
    <xf numFmtId="0" fontId="0" fillId="0" borderId="25" xfId="0" applyBorder="1" applyAlignment="1">
      <alignment horizontal="center" vertical="center" wrapText="1"/>
    </xf>
    <xf numFmtId="0" fontId="0" fillId="0" borderId="53" xfId="0" applyBorder="1" applyAlignment="1">
      <alignment horizontal="center" wrapText="1"/>
    </xf>
    <xf numFmtId="0" fontId="0" fillId="3" borderId="26" xfId="0" applyFill="1" applyBorder="1" applyAlignment="1">
      <alignment horizontal="center"/>
    </xf>
    <xf numFmtId="0" fontId="0" fillId="3" borderId="0" xfId="0" applyFill="1" applyAlignment="1">
      <alignment horizontal="center"/>
    </xf>
    <xf numFmtId="166" fontId="0" fillId="3" borderId="0" xfId="3" applyFont="1" applyFill="1" applyBorder="1" applyAlignment="1">
      <alignment horizontal="center"/>
    </xf>
    <xf numFmtId="0" fontId="0" fillId="0" borderId="73" xfId="0" applyBorder="1" applyAlignment="1">
      <alignment horizontal="left" vertical="top" wrapText="1"/>
    </xf>
    <xf numFmtId="0" fontId="0" fillId="0" borderId="73" xfId="0" applyBorder="1" applyAlignment="1">
      <alignment horizontal="left" vertical="top"/>
    </xf>
    <xf numFmtId="0" fontId="0" fillId="0" borderId="77" xfId="0" applyBorder="1" applyAlignment="1">
      <alignment horizontal="left" vertical="top"/>
    </xf>
    <xf numFmtId="0" fontId="0" fillId="0" borderId="61" xfId="0" applyBorder="1" applyAlignment="1">
      <alignment horizontal="left" vertical="top" wrapText="1"/>
    </xf>
    <xf numFmtId="0" fontId="0" fillId="0" borderId="77" xfId="0" applyBorder="1" applyAlignment="1">
      <alignment horizontal="left" vertical="top" wrapText="1"/>
    </xf>
    <xf numFmtId="0" fontId="0" fillId="0" borderId="89" xfId="0" applyBorder="1" applyAlignment="1">
      <alignment horizontal="left" vertical="top" wrapText="1"/>
    </xf>
    <xf numFmtId="2" fontId="0" fillId="0" borderId="89" xfId="0" applyNumberFormat="1" applyBorder="1" applyAlignment="1">
      <alignment horizontal="left" vertical="top"/>
    </xf>
    <xf numFmtId="2" fontId="0" fillId="0" borderId="73" xfId="0" applyNumberFormat="1" applyBorder="1" applyAlignment="1">
      <alignment horizontal="left" vertical="top"/>
    </xf>
    <xf numFmtId="2" fontId="0" fillId="0" borderId="77" xfId="0" applyNumberFormat="1" applyBorder="1" applyAlignment="1">
      <alignment horizontal="left" vertical="top"/>
    </xf>
    <xf numFmtId="0" fontId="10" fillId="11" borderId="78" xfId="0" applyFont="1" applyFill="1" applyBorder="1" applyAlignment="1">
      <alignment horizontal="center"/>
    </xf>
    <xf numFmtId="0" fontId="10" fillId="11" borderId="59" xfId="0" applyFont="1" applyFill="1" applyBorder="1" applyAlignment="1">
      <alignment horizontal="center"/>
    </xf>
    <xf numFmtId="0" fontId="10" fillId="11" borderId="67" xfId="0" applyFont="1" applyFill="1" applyBorder="1" applyAlignment="1">
      <alignment horizontal="center"/>
    </xf>
    <xf numFmtId="0" fontId="0" fillId="18" borderId="0" xfId="0" applyFill="1" applyAlignment="1">
      <alignment horizontal="left" vertical="top" wrapText="1"/>
    </xf>
    <xf numFmtId="0" fontId="10" fillId="11" borderId="78" xfId="0" applyFont="1" applyFill="1" applyBorder="1" applyAlignment="1">
      <alignment horizontal="center" wrapText="1"/>
    </xf>
    <xf numFmtId="0" fontId="10" fillId="11" borderId="59" xfId="0" applyFont="1" applyFill="1" applyBorder="1" applyAlignment="1">
      <alignment horizontal="center" wrapText="1"/>
    </xf>
    <xf numFmtId="0" fontId="10" fillId="11" borderId="67" xfId="0" applyFont="1" applyFill="1" applyBorder="1" applyAlignment="1">
      <alignment horizontal="center" wrapText="1"/>
    </xf>
    <xf numFmtId="0" fontId="0" fillId="18" borderId="5" xfId="0" applyFill="1" applyBorder="1" applyAlignment="1">
      <alignment horizontal="center" vertical="center" wrapText="1"/>
    </xf>
    <xf numFmtId="0" fontId="0" fillId="18" borderId="0" xfId="0" applyFill="1" applyAlignment="1">
      <alignment horizontal="center" vertical="center" wrapText="1"/>
    </xf>
    <xf numFmtId="0" fontId="0" fillId="0" borderId="53" xfId="0" applyBorder="1" applyAlignment="1">
      <alignment horizontal="center" vertical="center" textRotation="90" wrapText="1"/>
    </xf>
    <xf numFmtId="0" fontId="0" fillId="0" borderId="62" xfId="0" applyBorder="1" applyAlignment="1">
      <alignment horizontal="center" vertical="center" textRotation="90" wrapText="1"/>
    </xf>
    <xf numFmtId="0" fontId="0" fillId="0" borderId="68" xfId="0" applyBorder="1" applyAlignment="1">
      <alignment horizontal="center" vertical="center" textRotation="90" wrapText="1"/>
    </xf>
    <xf numFmtId="0" fontId="0" fillId="0" borderId="65" xfId="0" applyBorder="1" applyAlignment="1">
      <alignment horizontal="center" vertical="center" textRotation="90" wrapText="1"/>
    </xf>
    <xf numFmtId="1" fontId="0" fillId="0" borderId="78" xfId="0" applyNumberFormat="1" applyBorder="1" applyAlignment="1">
      <alignment horizontal="center"/>
    </xf>
    <xf numFmtId="1" fontId="0" fillId="0" borderId="59" xfId="0" applyNumberFormat="1" applyBorder="1" applyAlignment="1">
      <alignment horizontal="center"/>
    </xf>
    <xf numFmtId="1" fontId="0" fillId="12" borderId="78" xfId="0" applyNumberFormat="1" applyFill="1" applyBorder="1" applyAlignment="1">
      <alignment horizontal="center"/>
    </xf>
    <xf numFmtId="1" fontId="0" fillId="12" borderId="67" xfId="0" applyNumberFormat="1" applyFill="1" applyBorder="1" applyAlignment="1">
      <alignment horizontal="center"/>
    </xf>
    <xf numFmtId="0" fontId="0" fillId="0" borderId="91" xfId="0" applyBorder="1" applyAlignment="1">
      <alignment horizontal="center"/>
    </xf>
    <xf numFmtId="0" fontId="0" fillId="0" borderId="92" xfId="0" applyBorder="1" applyAlignment="1">
      <alignment horizontal="center"/>
    </xf>
    <xf numFmtId="0" fontId="0" fillId="0" borderId="62" xfId="0" applyBorder="1" applyAlignment="1">
      <alignment horizontal="center" vertical="center" textRotation="90"/>
    </xf>
    <xf numFmtId="0" fontId="0" fillId="0" borderId="68" xfId="0" applyBorder="1" applyAlignment="1">
      <alignment horizontal="center" vertical="center" textRotation="90"/>
    </xf>
    <xf numFmtId="0" fontId="0" fillId="0" borderId="53" xfId="0" applyBorder="1" applyAlignment="1">
      <alignment horizontal="center" vertical="center" textRotation="90"/>
    </xf>
    <xf numFmtId="0" fontId="0" fillId="12" borderId="78" xfId="0" applyFill="1" applyBorder="1" applyAlignment="1">
      <alignment horizontal="center"/>
    </xf>
    <xf numFmtId="0" fontId="0" fillId="12" borderId="67" xfId="0" applyFill="1" applyBorder="1" applyAlignment="1">
      <alignment horizontal="center"/>
    </xf>
  </cellXfs>
  <cellStyles count="13">
    <cellStyle name="Gut" xfId="11" builtinId="26"/>
    <cellStyle name="Komma" xfId="3" builtinId="3"/>
    <cellStyle name="Link" xfId="6" builtinId="8"/>
    <cellStyle name="Prozent" xfId="1" builtinId="5"/>
    <cellStyle name="Prozent 2" xfId="5" xr:uid="{00000000-0005-0000-0000-000004000000}"/>
    <cellStyle name="Prozent 2 2" xfId="8" xr:uid="{00000000-0005-0000-0000-000005000000}"/>
    <cellStyle name="Schlecht" xfId="12" builtinId="27"/>
    <cellStyle name="Standard" xfId="0" builtinId="0"/>
    <cellStyle name="Standard 2" xfId="4" xr:uid="{00000000-0005-0000-0000-000008000000}"/>
    <cellStyle name="Standard 3" xfId="9" xr:uid="{00000000-0005-0000-0000-000009000000}"/>
    <cellStyle name="Überschrift 5" xfId="7" xr:uid="{00000000-0005-0000-0000-00000A000000}"/>
    <cellStyle name="Währung" xfId="2" builtinId="4"/>
    <cellStyle name="Währung 2" xfId="10" xr:uid="{00000000-0005-0000-0000-00000C000000}"/>
  </cellStyles>
  <dxfs count="0"/>
  <tableStyles count="0" defaultTableStyle="TableStyleMedium2" defaultPivotStyle="PivotStyleLight16"/>
  <colors>
    <mruColors>
      <color rgb="FF0C4E63"/>
      <color rgb="FFFA6E00"/>
      <color rgb="FF99B2BC"/>
      <color rgb="FFAEBEB6"/>
      <color rgb="FF003F57"/>
      <color rgb="FFA9D08E"/>
      <color rgb="FFD35915"/>
      <color rgb="FF0B5D63"/>
      <color rgb="FF145F68"/>
      <color rgb="FFDD6B2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60" b="0" i="0" u="none" strike="noStrike" kern="1200" spc="0" baseline="0">
                <a:solidFill>
                  <a:schemeClr val="tx1"/>
                </a:solidFill>
                <a:latin typeface="+mn-lt"/>
                <a:ea typeface="+mn-ea"/>
                <a:cs typeface="+mn-cs"/>
              </a:defRPr>
            </a:pPr>
            <a:r>
              <a:rPr lang="en-US"/>
              <a:t>Investment</a:t>
            </a:r>
          </a:p>
        </c:rich>
      </c:tx>
      <c:layout>
        <c:manualLayout>
          <c:xMode val="edge"/>
          <c:yMode val="edge"/>
          <c:x val="0.43150416797746233"/>
          <c:y val="2.6179089709762533E-2"/>
        </c:manualLayout>
      </c:layout>
      <c:overlay val="0"/>
      <c:spPr>
        <a:noFill/>
        <a:ln>
          <a:noFill/>
        </a:ln>
        <a:effectLst/>
      </c:spPr>
      <c:txPr>
        <a:bodyPr rot="0" spcFirstLastPara="1" vertOverflow="ellipsis" vert="horz" wrap="square" anchor="ctr" anchorCtr="1"/>
        <a:lstStyle/>
        <a:p>
          <a:pPr>
            <a:defRPr sz="126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Evaluation!$O$4</c:f>
              <c:strCache>
                <c:ptCount val="1"/>
                <c:pt idx="0">
                  <c:v>Investments</c:v>
                </c:pt>
              </c:strCache>
            </c:strRef>
          </c:tx>
          <c:spPr>
            <a:solidFill>
              <a:srgbClr val="003F57"/>
            </a:solidFill>
            <a:ln>
              <a:noFill/>
            </a:ln>
            <a:effectLst/>
          </c:spPr>
          <c:invertIfNegative val="0"/>
          <c:dPt>
            <c:idx val="1"/>
            <c:invertIfNegative val="0"/>
            <c:bubble3D val="0"/>
            <c:spPr>
              <a:solidFill>
                <a:srgbClr val="FA6E00"/>
              </a:solidFill>
              <a:ln>
                <a:noFill/>
              </a:ln>
              <a:effectLst/>
            </c:spPr>
            <c:extLst>
              <c:ext xmlns:c16="http://schemas.microsoft.com/office/drawing/2014/chart" uri="{C3380CC4-5D6E-409C-BE32-E72D297353CC}">
                <c16:uniqueId val="{00000001-859F-4E72-B034-E1D93141185B}"/>
              </c:ext>
            </c:extLst>
          </c:dPt>
          <c:dPt>
            <c:idx val="2"/>
            <c:invertIfNegative val="0"/>
            <c:bubble3D val="0"/>
            <c:spPr>
              <a:solidFill>
                <a:srgbClr val="99B2BC"/>
              </a:solidFill>
              <a:ln>
                <a:noFill/>
              </a:ln>
              <a:effectLst/>
            </c:spPr>
            <c:extLst>
              <c:ext xmlns:c16="http://schemas.microsoft.com/office/drawing/2014/chart" uri="{C3380CC4-5D6E-409C-BE32-E72D297353CC}">
                <c16:uniqueId val="{00000002-859F-4E72-B034-E1D93141185B}"/>
              </c:ext>
            </c:extLst>
          </c:dPt>
          <c:cat>
            <c:strRef>
              <c:f>Evaluation!$P$3:$R$3</c:f>
              <c:strCache>
                <c:ptCount val="3"/>
                <c:pt idx="0">
                  <c:v>Route 1</c:v>
                </c:pt>
                <c:pt idx="1">
                  <c:v>Route 2</c:v>
                </c:pt>
                <c:pt idx="2">
                  <c:v>Route 3</c:v>
                </c:pt>
              </c:strCache>
            </c:strRef>
          </c:cat>
          <c:val>
            <c:numRef>
              <c:f>Evaluation!$P$4:$R$4</c:f>
              <c:numCache>
                <c:formatCode>#,##0</c:formatCode>
                <c:ptCount val="3"/>
                <c:pt idx="0">
                  <c:v>0</c:v>
                </c:pt>
                <c:pt idx="1">
                  <c:v>0</c:v>
                </c:pt>
                <c:pt idx="2" formatCode="_-* #,##0_-;\-* #,##0_-;_-* &quot;-&quot;??_-;_-@_-">
                  <c:v>0</c:v>
                </c:pt>
              </c:numCache>
            </c:numRef>
          </c:val>
          <c:extLst>
            <c:ext xmlns:c16="http://schemas.microsoft.com/office/drawing/2014/chart" uri="{C3380CC4-5D6E-409C-BE32-E72D297353CC}">
              <c16:uniqueId val="{00000000-859F-4E72-B034-E1D93141185B}"/>
            </c:ext>
          </c:extLst>
        </c:ser>
        <c:dLbls>
          <c:showLegendKey val="0"/>
          <c:showVal val="0"/>
          <c:showCatName val="0"/>
          <c:showSerName val="0"/>
          <c:showPercent val="0"/>
          <c:showBubbleSize val="0"/>
        </c:dLbls>
        <c:gapWidth val="219"/>
        <c:overlap val="-27"/>
        <c:axId val="756350127"/>
        <c:axId val="756348047"/>
      </c:barChart>
      <c:catAx>
        <c:axId val="756350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de-DE"/>
          </a:p>
        </c:txPr>
        <c:crossAx val="756348047"/>
        <c:crosses val="autoZero"/>
        <c:auto val="1"/>
        <c:lblAlgn val="ctr"/>
        <c:lblOffset val="100"/>
        <c:noMultiLvlLbl val="0"/>
      </c:catAx>
      <c:valAx>
        <c:axId val="756348047"/>
        <c:scaling>
          <c:orientation val="minMax"/>
          <c:min val="0"/>
        </c:scaling>
        <c:delete val="0"/>
        <c:axPos val="l"/>
        <c:majorGridlines>
          <c:spPr>
            <a:ln w="9525" cap="flat" cmpd="sng" algn="ctr">
              <a:solidFill>
                <a:schemeClr val="bg1">
                  <a:lumMod val="50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1"/>
        <c:majorTickMark val="none"/>
        <c:minorTickMark val="none"/>
        <c:tickLblPos val="low"/>
        <c:spPr>
          <a:noFill/>
          <a:ln>
            <a:noFill/>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de-DE"/>
          </a:p>
        </c:txPr>
        <c:crossAx val="756350127"/>
        <c:crosses val="autoZero"/>
        <c:crossBetween val="between"/>
        <c:dispUnits>
          <c:builtInUnit val="millions"/>
          <c:dispUnitsLbl>
            <c:layout>
              <c:manualLayout>
                <c:xMode val="edge"/>
                <c:yMode val="edge"/>
                <c:x val="4.9999982104516068E-2"/>
                <c:y val="0.38995513222349693"/>
              </c:manualLayout>
            </c:layout>
            <c:tx>
              <c:rich>
                <a:bodyPr rot="-5400000" spcFirstLastPara="1" vertOverflow="ellipsis" vert="horz" wrap="square" anchor="ctr" anchorCtr="1"/>
                <a:lstStyle/>
                <a:p>
                  <a:pPr>
                    <a:defRPr sz="1050" b="0" i="0" u="none" strike="noStrike" kern="1200" baseline="0">
                      <a:solidFill>
                        <a:schemeClr val="tx1"/>
                      </a:solidFill>
                      <a:latin typeface="+mn-lt"/>
                      <a:ea typeface="+mn-ea"/>
                      <a:cs typeface="+mn-cs"/>
                    </a:defRPr>
                  </a:pPr>
                  <a:r>
                    <a:rPr lang="de-DE"/>
                    <a:t>Investment [M€]</a:t>
                  </a:r>
                </a:p>
              </c:rich>
            </c:tx>
            <c:spPr>
              <a:noFill/>
              <a:ln>
                <a:noFill/>
              </a:ln>
              <a:effectLst/>
            </c:spPr>
            <c:txPr>
              <a:bodyPr rot="-54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de-DE"/>
              </a:p>
            </c:txPr>
          </c:dispUnitsLbl>
        </c:dispUnits>
      </c:valAx>
      <c:spPr>
        <a:noFill/>
        <a:ln>
          <a:noFill/>
        </a:ln>
        <a:effectLst/>
      </c:spPr>
    </c:plotArea>
    <c:plotVisOnly val="1"/>
    <c:dispBlanksAs val="gap"/>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sz="1050">
          <a:solidFill>
            <a:schemeClr val="tx1"/>
          </a:solidFill>
        </a:defRPr>
      </a:pPr>
      <a:endParaRPr lang="de-DE"/>
    </a:p>
  </c:txPr>
  <c:printSettings>
    <c:headerFooter/>
    <c:pageMargins b="0.78740157499999996" l="0.7" r="0.7" t="0.78740157499999996"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60" b="0" i="0" u="none" strike="noStrike" kern="1200" spc="0" baseline="0">
                <a:solidFill>
                  <a:schemeClr val="tx1"/>
                </a:solidFill>
                <a:latin typeface="Arial" panose="020B0604020202020204" pitchFamily="34" charset="0"/>
                <a:ea typeface="+mn-ea"/>
                <a:cs typeface="Arial" panose="020B0604020202020204" pitchFamily="34" charset="0"/>
              </a:defRPr>
            </a:pPr>
            <a:r>
              <a:rPr lang="de-DE" sz="1260" b="0" i="0" u="none" strike="noStrike" baseline="0">
                <a:effectLst/>
              </a:rPr>
              <a:t>CO2 eq. per process step</a:t>
            </a:r>
            <a:endParaRPr lang="de-DE"/>
          </a:p>
        </c:rich>
      </c:tx>
      <c:overlay val="0"/>
      <c:spPr>
        <a:noFill/>
        <a:ln>
          <a:noFill/>
        </a:ln>
        <a:effectLst/>
      </c:spPr>
      <c:txPr>
        <a:bodyPr rot="0" spcFirstLastPara="1" vertOverflow="ellipsis" vert="horz" wrap="square" anchor="ctr" anchorCtr="1"/>
        <a:lstStyle/>
        <a:p>
          <a:pPr>
            <a:defRPr sz="1260" b="0" i="0" u="none" strike="noStrike" kern="1200" spc="0" baseline="0">
              <a:solidFill>
                <a:schemeClr val="tx1"/>
              </a:solidFill>
              <a:latin typeface="Arial" panose="020B0604020202020204" pitchFamily="34" charset="0"/>
              <a:ea typeface="+mn-ea"/>
              <a:cs typeface="Arial" panose="020B0604020202020204" pitchFamily="34" charset="0"/>
            </a:defRPr>
          </a:pPr>
          <a:endParaRPr lang="de-DE"/>
        </a:p>
      </c:txPr>
    </c:title>
    <c:autoTitleDeleted val="0"/>
    <c:plotArea>
      <c:layout>
        <c:manualLayout>
          <c:layoutTarget val="inner"/>
          <c:xMode val="edge"/>
          <c:yMode val="edge"/>
          <c:x val="0.38400656411585804"/>
          <c:y val="6.1393235197624046E-2"/>
          <c:w val="0.56197391790071738"/>
          <c:h val="0.81534520459903748"/>
        </c:manualLayout>
      </c:layout>
      <c:barChart>
        <c:barDir val="bar"/>
        <c:grouping val="clustered"/>
        <c:varyColors val="0"/>
        <c:ser>
          <c:idx val="0"/>
          <c:order val="0"/>
          <c:tx>
            <c:strRef>
              <c:f>Evaluation!$E$69</c:f>
              <c:strCache>
                <c:ptCount val="1"/>
                <c:pt idx="0">
                  <c:v>Effort</c:v>
                </c:pt>
              </c:strCache>
            </c:strRef>
          </c:tx>
          <c:spPr>
            <a:solidFill>
              <a:srgbClr val="FA6E00"/>
            </a:solidFill>
            <a:ln w="9525">
              <a:solidFill>
                <a:srgbClr val="FA6E00"/>
              </a:solidFill>
            </a:ln>
            <a:effectLst/>
          </c:spPr>
          <c:invertIfNegative val="0"/>
          <c:cat>
            <c:strRef>
              <c:f>(Evaluation!$B$70:$B$74,Evaluation!$B$79:$B$87,Evaluation!$B$116:$B$129,Evaluation!$B$145:$B$147)</c:f>
              <c:strCache>
                <c:ptCount val="31"/>
                <c:pt idx="0">
                  <c:v>Transport</c:v>
                </c:pt>
                <c:pt idx="1">
                  <c:v>Storage</c:v>
                </c:pt>
                <c:pt idx="2">
                  <c:v>Storage (defective)</c:v>
                </c:pt>
                <c:pt idx="3">
                  <c:v>Unloading</c:v>
                </c:pt>
                <c:pt idx="4">
                  <c:v>Dismantling</c:v>
                </c:pt>
                <c:pt idx="5">
                  <c:v>Shredder 1</c:v>
                </c:pt>
                <c:pt idx="6">
                  <c:v>Drying</c:v>
                </c:pt>
                <c:pt idx="7">
                  <c:v>Exhaust gas treatment</c:v>
                </c:pt>
                <c:pt idx="8">
                  <c:v>Magnetic separation</c:v>
                </c:pt>
                <c:pt idx="9">
                  <c:v>Zig-zag sighting 1</c:v>
                </c:pt>
                <c:pt idx="10">
                  <c:v>Shredder 2</c:v>
                </c:pt>
                <c:pt idx="11">
                  <c:v>Sieving</c:v>
                </c:pt>
                <c:pt idx="12">
                  <c:v>Zig-zag sighting 1</c:v>
                </c:pt>
                <c:pt idx="13">
                  <c:v>Electrolyte recovery</c:v>
                </c:pt>
                <c:pt idx="14">
                  <c:v>Digestion</c:v>
                </c:pt>
                <c:pt idx="15">
                  <c:v>Leaching</c:v>
                </c:pt>
                <c:pt idx="16">
                  <c:v>Filtration, washing C</c:v>
                </c:pt>
                <c:pt idx="17">
                  <c:v>Cementation, filtration Cu</c:v>
                </c:pt>
                <c:pt idx="18">
                  <c:v>Oxidation</c:v>
                </c:pt>
                <c:pt idx="19">
                  <c:v>Precipitation, filtration Al + Fe</c:v>
                </c:pt>
                <c:pt idx="20">
                  <c:v>Extraction Co + Ni</c:v>
                </c:pt>
                <c:pt idx="21">
                  <c:v>Extraction Co</c:v>
                </c:pt>
                <c:pt idx="22">
                  <c:v>Crystallization Ni</c:v>
                </c:pt>
                <c:pt idx="23">
                  <c:v>Crystallization Co</c:v>
                </c:pt>
                <c:pt idx="24">
                  <c:v>Extraction Mn</c:v>
                </c:pt>
                <c:pt idx="25">
                  <c:v>Crystallization Mn</c:v>
                </c:pt>
                <c:pt idx="26">
                  <c:v>Concentration Li</c:v>
                </c:pt>
                <c:pt idx="27">
                  <c:v>Precipitation, Filtration Li</c:v>
                </c:pt>
                <c:pt idx="28">
                  <c:v>Fresh water</c:v>
                </c:pt>
                <c:pt idx="29">
                  <c:v>Wastewater (municipal)</c:v>
                </c:pt>
                <c:pt idx="30">
                  <c:v>Wastewater (industrial)</c:v>
                </c:pt>
              </c:strCache>
            </c:strRef>
          </c:cat>
          <c:val>
            <c:numRef>
              <c:f>(Evaluation!$E$70:$E$74,Evaluation!$E$79:$E$87,Evaluation!$E$116:$E$129,Evaluation!$E$145:$E$147)</c:f>
              <c:numCache>
                <c:formatCode>General</c:formatCode>
                <c:ptCount val="31"/>
                <c:pt idx="3" formatCode="_-* #,##0.000_-;\-* #,##0.000_-;_-* &quot;-&quot;??_-;_-@_-">
                  <c:v>0</c:v>
                </c:pt>
                <c:pt idx="4" formatCode="_-* #,##0.000_-;\-* #,##0.000_-;_-* &quot;-&quot;??_-;_-@_-">
                  <c:v>0</c:v>
                </c:pt>
                <c:pt idx="5" formatCode="_-* #,##0.00000_-;\-* #,##0.00000_-;_-* &quot;-&quot;??_-;_-@_-">
                  <c:v>0</c:v>
                </c:pt>
                <c:pt idx="6" formatCode="_-* #,##0.00000_-;\-* #,##0.00000_-;_-* &quot;-&quot;??_-;_-@_-">
                  <c:v>0</c:v>
                </c:pt>
                <c:pt idx="7" formatCode="_-* #,##0.00000_-;\-* #,##0.00000_-;_-* &quot;-&quot;??_-;_-@_-">
                  <c:v>0</c:v>
                </c:pt>
                <c:pt idx="8" formatCode="_-* #,##0.00000_-;\-* #,##0.00000_-;_-* &quot;-&quot;??_-;_-@_-">
                  <c:v>0</c:v>
                </c:pt>
                <c:pt idx="9" formatCode="_-* #,##0.00000_-;\-* #,##0.00000_-;_-* &quot;-&quot;??_-;_-@_-">
                  <c:v>0</c:v>
                </c:pt>
                <c:pt idx="10" formatCode="_-* #,##0.00000_-;\-* #,##0.00000_-;_-* &quot;-&quot;??_-;_-@_-">
                  <c:v>0</c:v>
                </c:pt>
                <c:pt idx="11" formatCode="_-* #,##0.00000_-;\-* #,##0.00000_-;_-* &quot;-&quot;??_-;_-@_-">
                  <c:v>0</c:v>
                </c:pt>
                <c:pt idx="12" formatCode="_-* #,##0.00000_-;\-* #,##0.00000_-;_-* &quot;-&quot;??_-;_-@_-">
                  <c:v>0</c:v>
                </c:pt>
                <c:pt idx="13" formatCode="_-* #,##0.00000_-;\-* #,##0.00000_-;_-* &quot;-&quot;??_-;_-@_-">
                  <c:v>0</c:v>
                </c:pt>
                <c:pt idx="14" formatCode="_-* #,##0.000_-;\-* #,##0.000_-;_-* &quot;-&quot;??_-;_-@_-">
                  <c:v>0</c:v>
                </c:pt>
                <c:pt idx="15" formatCode="_-* #,##0.000_-;\-* #,##0.000_-;_-* &quot;-&quot;??_-;_-@_-">
                  <c:v>0</c:v>
                </c:pt>
                <c:pt idx="16" formatCode="_-* #,##0.000_-;\-* #,##0.000_-;_-* &quot;-&quot;??_-;_-@_-">
                  <c:v>0</c:v>
                </c:pt>
                <c:pt idx="17" formatCode="_-* #,##0.000_-;\-* #,##0.000_-;_-* &quot;-&quot;??_-;_-@_-">
                  <c:v>0</c:v>
                </c:pt>
                <c:pt idx="18" formatCode="_-* #,##0.000_-;\-* #,##0.000_-;_-* &quot;-&quot;??_-;_-@_-">
                  <c:v>0</c:v>
                </c:pt>
                <c:pt idx="19" formatCode="_-* #,##0.000_-;\-* #,##0.000_-;_-* &quot;-&quot;??_-;_-@_-">
                  <c:v>0</c:v>
                </c:pt>
                <c:pt idx="20" formatCode="_-* #,##0.000_-;\-* #,##0.000_-;_-* &quot;-&quot;??_-;_-@_-">
                  <c:v>0</c:v>
                </c:pt>
                <c:pt idx="21" formatCode="_-* #,##0.000_-;\-* #,##0.000_-;_-* &quot;-&quot;??_-;_-@_-">
                  <c:v>0</c:v>
                </c:pt>
                <c:pt idx="22" formatCode="_-* #,##0.000_-;\-* #,##0.000_-;_-* &quot;-&quot;??_-;_-@_-">
                  <c:v>0</c:v>
                </c:pt>
                <c:pt idx="23" formatCode="_-* #,##0.000_-;\-* #,##0.000_-;_-* &quot;-&quot;??_-;_-@_-">
                  <c:v>0</c:v>
                </c:pt>
                <c:pt idx="24" formatCode="_-* #,##0.000_-;\-* #,##0.000_-;_-* &quot;-&quot;??_-;_-@_-">
                  <c:v>0</c:v>
                </c:pt>
                <c:pt idx="25" formatCode="_-* #,##0.000_-;\-* #,##0.000_-;_-* &quot;-&quot;??_-;_-@_-">
                  <c:v>0</c:v>
                </c:pt>
                <c:pt idx="26" formatCode="_-* #,##0.000_-;\-* #,##0.000_-;_-* &quot;-&quot;??_-;_-@_-">
                  <c:v>0</c:v>
                </c:pt>
                <c:pt idx="27" formatCode="_-* #,##0.000_-;\-* #,##0.000_-;_-* &quot;-&quot;??_-;_-@_-">
                  <c:v>0</c:v>
                </c:pt>
                <c:pt idx="28" formatCode="_-* #,##0.000_-;\-* #,##0.000_-;_-* &quot;-&quot;??_-;_-@_-">
                  <c:v>0</c:v>
                </c:pt>
                <c:pt idx="29" formatCode="_-* #,##0.000_-;\-* #,##0.000_-;_-* &quot;-&quot;??_-;_-@_-">
                  <c:v>0</c:v>
                </c:pt>
                <c:pt idx="30" formatCode="_-* #,##0.000_-;\-* #,##0.000_-;_-* &quot;-&quot;??_-;_-@_-">
                  <c:v>0</c:v>
                </c:pt>
              </c:numCache>
            </c:numRef>
          </c:val>
          <c:extLst>
            <c:ext xmlns:c16="http://schemas.microsoft.com/office/drawing/2014/chart" uri="{C3380CC4-5D6E-409C-BE32-E72D297353CC}">
              <c16:uniqueId val="{0000003C-A7AF-4815-80DC-633114D49CF7}"/>
            </c:ext>
          </c:extLst>
        </c:ser>
        <c:ser>
          <c:idx val="1"/>
          <c:order val="1"/>
          <c:tx>
            <c:strRef>
              <c:f>Evaluation!$F$69</c:f>
              <c:strCache>
                <c:ptCount val="1"/>
                <c:pt idx="0">
                  <c:v>Credits</c:v>
                </c:pt>
              </c:strCache>
            </c:strRef>
          </c:tx>
          <c:spPr>
            <a:solidFill>
              <a:srgbClr val="003F57"/>
            </a:solidFill>
            <a:ln w="9525">
              <a:solidFill>
                <a:srgbClr val="003F57"/>
              </a:solidFill>
            </a:ln>
            <a:effectLst/>
          </c:spPr>
          <c:invertIfNegative val="0"/>
          <c:cat>
            <c:strRef>
              <c:f>(Evaluation!$B$70:$B$74,Evaluation!$B$79:$B$87,Evaluation!$B$116:$B$129,Evaluation!$B$145:$B$147)</c:f>
              <c:strCache>
                <c:ptCount val="31"/>
                <c:pt idx="0">
                  <c:v>Transport</c:v>
                </c:pt>
                <c:pt idx="1">
                  <c:v>Storage</c:v>
                </c:pt>
                <c:pt idx="2">
                  <c:v>Storage (defective)</c:v>
                </c:pt>
                <c:pt idx="3">
                  <c:v>Unloading</c:v>
                </c:pt>
                <c:pt idx="4">
                  <c:v>Dismantling</c:v>
                </c:pt>
                <c:pt idx="5">
                  <c:v>Shredder 1</c:v>
                </c:pt>
                <c:pt idx="6">
                  <c:v>Drying</c:v>
                </c:pt>
                <c:pt idx="7">
                  <c:v>Exhaust gas treatment</c:v>
                </c:pt>
                <c:pt idx="8">
                  <c:v>Magnetic separation</c:v>
                </c:pt>
                <c:pt idx="9">
                  <c:v>Zig-zag sighting 1</c:v>
                </c:pt>
                <c:pt idx="10">
                  <c:v>Shredder 2</c:v>
                </c:pt>
                <c:pt idx="11">
                  <c:v>Sieving</c:v>
                </c:pt>
                <c:pt idx="12">
                  <c:v>Zig-zag sighting 1</c:v>
                </c:pt>
                <c:pt idx="13">
                  <c:v>Electrolyte recovery</c:v>
                </c:pt>
                <c:pt idx="14">
                  <c:v>Digestion</c:v>
                </c:pt>
                <c:pt idx="15">
                  <c:v>Leaching</c:v>
                </c:pt>
                <c:pt idx="16">
                  <c:v>Filtration, washing C</c:v>
                </c:pt>
                <c:pt idx="17">
                  <c:v>Cementation, filtration Cu</c:v>
                </c:pt>
                <c:pt idx="18">
                  <c:v>Oxidation</c:v>
                </c:pt>
                <c:pt idx="19">
                  <c:v>Precipitation, filtration Al + Fe</c:v>
                </c:pt>
                <c:pt idx="20">
                  <c:v>Extraction Co + Ni</c:v>
                </c:pt>
                <c:pt idx="21">
                  <c:v>Extraction Co</c:v>
                </c:pt>
                <c:pt idx="22">
                  <c:v>Crystallization Ni</c:v>
                </c:pt>
                <c:pt idx="23">
                  <c:v>Crystallization Co</c:v>
                </c:pt>
                <c:pt idx="24">
                  <c:v>Extraction Mn</c:v>
                </c:pt>
                <c:pt idx="25">
                  <c:v>Crystallization Mn</c:v>
                </c:pt>
                <c:pt idx="26">
                  <c:v>Concentration Li</c:v>
                </c:pt>
                <c:pt idx="27">
                  <c:v>Precipitation, Filtration Li</c:v>
                </c:pt>
                <c:pt idx="28">
                  <c:v>Fresh water</c:v>
                </c:pt>
                <c:pt idx="29">
                  <c:v>Wastewater (municipal)</c:v>
                </c:pt>
                <c:pt idx="30">
                  <c:v>Wastewater (industrial)</c:v>
                </c:pt>
              </c:strCache>
            </c:strRef>
          </c:cat>
          <c:val>
            <c:numRef>
              <c:f>(Evaluation!$F$70:$F$74,Evaluation!$F$79:$F$87,Evaluation!$F$116:$F$129,Evaluation!$F$145:$F$147)</c:f>
              <c:numCache>
                <c:formatCode>General</c:formatCode>
                <c:ptCount val="31"/>
                <c:pt idx="3" formatCode="_-* #,##0.000_-;\-* #,##0.000_-;_-* &quot;-&quot;??_-;_-@_-">
                  <c:v>0</c:v>
                </c:pt>
                <c:pt idx="4" formatCode="_-* #,##0.000_-;\-* #,##0.000_-;_-* &quot;-&quot;??_-;_-@_-">
                  <c:v>0</c:v>
                </c:pt>
                <c:pt idx="5" formatCode="_-* #,##0.000_-;\-* #,##0.000_-;_-* &quot;-&quot;??_-;_-@_-">
                  <c:v>0</c:v>
                </c:pt>
                <c:pt idx="6" formatCode="_-* #,##0.000_-;\-* #,##0.000_-;_-* &quot;-&quot;??_-;_-@_-">
                  <c:v>0</c:v>
                </c:pt>
                <c:pt idx="7" formatCode="_-* #,##0.000_-;\-* #,##0.000_-;_-* &quot;-&quot;??_-;_-@_-">
                  <c:v>0</c:v>
                </c:pt>
                <c:pt idx="8" formatCode="_-* #,##0.000_-;\-* #,##0.000_-;_-* &quot;-&quot;??_-;_-@_-">
                  <c:v>0</c:v>
                </c:pt>
                <c:pt idx="9" formatCode="_-* #,##0.000_-;\-* #,##0.000_-;_-* &quot;-&quot;??_-;_-@_-">
                  <c:v>0</c:v>
                </c:pt>
                <c:pt idx="10" formatCode="_-* #,##0.000_-;\-* #,##0.000_-;_-* &quot;-&quot;??_-;_-@_-">
                  <c:v>0</c:v>
                </c:pt>
                <c:pt idx="11" formatCode="_-* #,##0.000_-;\-* #,##0.000_-;_-* &quot;-&quot;??_-;_-@_-">
                  <c:v>0</c:v>
                </c:pt>
                <c:pt idx="12" formatCode="_-* #,##0.000_-;\-* #,##0.000_-;_-* &quot;-&quot;??_-;_-@_-">
                  <c:v>0</c:v>
                </c:pt>
                <c:pt idx="13" formatCode="_-* #,##0.000_-;\-* #,##0.000_-;_-* &quot;-&quot;??_-;_-@_-">
                  <c:v>0</c:v>
                </c:pt>
                <c:pt idx="14" formatCode="_-* #,##0.000_-;\-* #,##0.000_-;_-* &quot;-&quot;??_-;_-@_-">
                  <c:v>0</c:v>
                </c:pt>
                <c:pt idx="15" formatCode="_-* #,##0.000_-;\-* #,##0.000_-;_-* &quot;-&quot;??_-;_-@_-">
                  <c:v>0</c:v>
                </c:pt>
                <c:pt idx="16" formatCode="_-* #,##0.000_-;\-* #,##0.000_-;_-* &quot;-&quot;??_-;_-@_-">
                  <c:v>0</c:v>
                </c:pt>
                <c:pt idx="17" formatCode="_-* #,##0.000_-;\-* #,##0.000_-;_-* &quot;-&quot;??_-;_-@_-">
                  <c:v>0</c:v>
                </c:pt>
                <c:pt idx="18" formatCode="_-* #,##0.000_-;\-* #,##0.000_-;_-* &quot;-&quot;??_-;_-@_-">
                  <c:v>0</c:v>
                </c:pt>
                <c:pt idx="19" formatCode="_-* #,##0.000_-;\-* #,##0.000_-;_-* &quot;-&quot;??_-;_-@_-">
                  <c:v>0</c:v>
                </c:pt>
                <c:pt idx="20" formatCode="_-* #,##0.000_-;\-* #,##0.000_-;_-* &quot;-&quot;??_-;_-@_-">
                  <c:v>0</c:v>
                </c:pt>
                <c:pt idx="21" formatCode="_-* #,##0.000_-;\-* #,##0.000_-;_-* &quot;-&quot;??_-;_-@_-">
                  <c:v>0</c:v>
                </c:pt>
                <c:pt idx="22" formatCode="_-* #,##0.000_-;\-* #,##0.000_-;_-* &quot;-&quot;??_-;_-@_-">
                  <c:v>0</c:v>
                </c:pt>
                <c:pt idx="23" formatCode="_-* #,##0.000_-;\-* #,##0.000_-;_-* &quot;-&quot;??_-;_-@_-">
                  <c:v>0</c:v>
                </c:pt>
                <c:pt idx="24" formatCode="_-* #,##0.000_-;\-* #,##0.000_-;_-* &quot;-&quot;??_-;_-@_-">
                  <c:v>0</c:v>
                </c:pt>
                <c:pt idx="25" formatCode="_-* #,##0.000_-;\-* #,##0.000_-;_-* &quot;-&quot;??_-;_-@_-">
                  <c:v>0</c:v>
                </c:pt>
                <c:pt idx="26" formatCode="_-* #,##0.000_-;\-* #,##0.000_-;_-* &quot;-&quot;??_-;_-@_-">
                  <c:v>0</c:v>
                </c:pt>
                <c:pt idx="27" formatCode="_-* #,##0.000_-;\-* #,##0.000_-;_-* &quot;-&quot;??_-;_-@_-">
                  <c:v>0</c:v>
                </c:pt>
                <c:pt idx="28" formatCode="_-* #,##0.000_-;\-* #,##0.000_-;_-* &quot;-&quot;??_-;_-@_-">
                  <c:v>0</c:v>
                </c:pt>
                <c:pt idx="29" formatCode="_-* #,##0.000_-;\-* #,##0.000_-;_-* &quot;-&quot;??_-;_-@_-">
                  <c:v>0</c:v>
                </c:pt>
                <c:pt idx="30" formatCode="_-* #,##0.000_-;\-* #,##0.000_-;_-* &quot;-&quot;??_-;_-@_-">
                  <c:v>0</c:v>
                </c:pt>
              </c:numCache>
            </c:numRef>
          </c:val>
          <c:extLst>
            <c:ext xmlns:c16="http://schemas.microsoft.com/office/drawing/2014/chart" uri="{C3380CC4-5D6E-409C-BE32-E72D297353CC}">
              <c16:uniqueId val="{0000003C-5451-4AD9-A3C5-15D9690520B3}"/>
            </c:ext>
          </c:extLst>
        </c:ser>
        <c:dLbls>
          <c:showLegendKey val="0"/>
          <c:showVal val="0"/>
          <c:showCatName val="0"/>
          <c:showSerName val="0"/>
          <c:showPercent val="0"/>
          <c:showBubbleSize val="0"/>
        </c:dLbls>
        <c:gapWidth val="100"/>
        <c:axId val="394723984"/>
        <c:axId val="394715248"/>
      </c:barChart>
      <c:valAx>
        <c:axId val="394715248"/>
        <c:scaling>
          <c:orientation val="minMax"/>
        </c:scaling>
        <c:delete val="0"/>
        <c:axPos val="b"/>
        <c:majorGridlines>
          <c:spPr>
            <a:ln w="9525" cap="flat" cmpd="sng" algn="ctr">
              <a:solidFill>
                <a:schemeClr val="bg1">
                  <a:lumMod val="50000"/>
                </a:schemeClr>
              </a:solidFill>
              <a:round/>
            </a:ln>
            <a:effectLst/>
          </c:spPr>
        </c:majorGridlines>
        <c:minorGridlines>
          <c:spPr>
            <a:ln w="9525" cap="flat" cmpd="sng" algn="ctr">
              <a:solidFill>
                <a:schemeClr val="tx1">
                  <a:lumMod val="5000"/>
                  <a:lumOff val="95000"/>
                  <a:lumOff val="10000"/>
                </a:schemeClr>
              </a:solidFill>
              <a:round/>
            </a:ln>
            <a:effectLst/>
          </c:spPr>
        </c:minorGridlines>
        <c:title>
          <c:tx>
            <c:rich>
              <a:bodyPr rot="0" spcFirstLastPara="1" vertOverflow="ellipsis" vert="horz" wrap="square" anchor="ctr" anchorCtr="1"/>
              <a:lstStyle/>
              <a:p>
                <a:pPr>
                  <a:defRPr sz="1050" b="0" i="0" u="none" strike="noStrike" baseline="0">
                    <a:solidFill>
                      <a:schemeClr val="tx1"/>
                    </a:solidFill>
                    <a:latin typeface="Arial" panose="020B0604020202020204" pitchFamily="34" charset="0"/>
                    <a:ea typeface="+mn-ea"/>
                    <a:cs typeface="Arial" panose="020B0604020202020204" pitchFamily="34" charset="0"/>
                  </a:defRPr>
                </a:pPr>
                <a:r>
                  <a:rPr lang="de-DE" sz="1050" b="0" i="0" baseline="0">
                    <a:effectLst/>
                  </a:rPr>
                  <a:t>Process specific climate impacts [t CO2-eq./ t spent LIB]</a:t>
                </a:r>
                <a:endParaRPr lang="en-US" sz="1050">
                  <a:effectLst/>
                </a:endParaRPr>
              </a:p>
            </c:rich>
          </c:tx>
          <c:layout>
            <c:manualLayout>
              <c:xMode val="edge"/>
              <c:yMode val="edge"/>
              <c:x val="0.30792843055753621"/>
              <c:y val="0.91055578576925522"/>
            </c:manualLayout>
          </c:layout>
          <c:overlay val="0"/>
          <c:spPr>
            <a:noFill/>
            <a:ln>
              <a:noFill/>
            </a:ln>
            <a:effectLst/>
          </c:spPr>
          <c:txPr>
            <a:bodyPr rot="0" spcFirstLastPara="1" vertOverflow="ellipsis" vert="horz" wrap="square" anchor="ctr" anchorCtr="1"/>
            <a:lstStyle/>
            <a:p>
              <a:pPr>
                <a:defRPr sz="1050" b="0" i="0" u="none" strike="noStrike" baseline="0">
                  <a:solidFill>
                    <a:schemeClr val="tx1"/>
                  </a:solidFill>
                  <a:latin typeface="Arial" panose="020B0604020202020204" pitchFamily="34" charset="0"/>
                  <a:ea typeface="+mn-ea"/>
                  <a:cs typeface="Arial" panose="020B0604020202020204" pitchFamily="34" charset="0"/>
                </a:defRPr>
              </a:pPr>
              <a:endParaRPr lang="de-DE"/>
            </a:p>
          </c:txPr>
        </c:title>
        <c:numFmt formatCode="General" sourceLinked="0"/>
        <c:majorTickMark val="cross"/>
        <c:minorTickMark val="none"/>
        <c:tickLblPos val="nextTo"/>
        <c:spPr>
          <a:noFill/>
          <a:ln>
            <a:noFill/>
          </a:ln>
          <a:effectLst/>
        </c:spPr>
        <c:txPr>
          <a:bodyPr rot="-60000000" spcFirstLastPara="1" vertOverflow="ellipsis" vert="horz" wrap="square" anchor="ctr" anchorCtr="1"/>
          <a:lstStyle/>
          <a:p>
            <a:pPr>
              <a:defRPr sz="1050" b="0" i="0" u="none" strike="noStrike" baseline="0">
                <a:solidFill>
                  <a:schemeClr val="tx1"/>
                </a:solidFill>
                <a:latin typeface="Arial" panose="020B0604020202020204" pitchFamily="34" charset="0"/>
                <a:ea typeface="+mn-ea"/>
                <a:cs typeface="Arial" panose="020B0604020202020204" pitchFamily="34" charset="0"/>
              </a:defRPr>
            </a:pPr>
            <a:endParaRPr lang="de-DE"/>
          </a:p>
        </c:txPr>
        <c:crossAx val="394723984"/>
        <c:crosses val="autoZero"/>
        <c:crossBetween val="between"/>
        <c:majorUnit val="0.5"/>
      </c:valAx>
      <c:catAx>
        <c:axId val="39472398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baseline="0">
                <a:solidFill>
                  <a:schemeClr val="tx1"/>
                </a:solidFill>
                <a:latin typeface="Arial" panose="020B0604020202020204" pitchFamily="34" charset="0"/>
                <a:ea typeface="+mn-ea"/>
                <a:cs typeface="Arial" panose="020B0604020202020204" pitchFamily="34" charset="0"/>
              </a:defRPr>
            </a:pPr>
            <a:endParaRPr lang="de-DE"/>
          </a:p>
        </c:txPr>
        <c:crossAx val="394715248"/>
        <c:crosses val="autoZero"/>
        <c:auto val="1"/>
        <c:lblAlgn val="ctr"/>
        <c:lblOffset val="100"/>
        <c:noMultiLvlLbl val="0"/>
      </c:catAx>
      <c:spPr>
        <a:noFill/>
        <a:ln>
          <a:noFill/>
        </a:ln>
        <a:effectLst/>
      </c:spPr>
    </c:plotArea>
    <c:legend>
      <c:legendPos val="b"/>
      <c:layout>
        <c:manualLayout>
          <c:xMode val="edge"/>
          <c:yMode val="edge"/>
          <c:x val="0.53920273951027264"/>
          <c:y val="0.95732225207054966"/>
          <c:w val="0.27053437903124539"/>
          <c:h val="3.1833298323692874E-2"/>
        </c:manualLayout>
      </c:layout>
      <c:overlay val="0"/>
      <c:spPr>
        <a:noFill/>
        <a:ln>
          <a:noFill/>
        </a:ln>
        <a:effectLst/>
      </c:spPr>
      <c:txPr>
        <a:bodyPr rot="0" spcFirstLastPara="1" vertOverflow="ellipsis" vert="horz" wrap="square" anchor="ctr" anchorCtr="1"/>
        <a:lstStyle/>
        <a:p>
          <a:pPr>
            <a:defRPr sz="1050" b="0" i="0" u="none" strike="noStrike" baseline="0">
              <a:solidFill>
                <a:schemeClr val="tx1"/>
              </a:solidFill>
              <a:latin typeface="Arial" panose="020B0604020202020204" pitchFamily="34" charset="0"/>
              <a:ea typeface="+mn-ea"/>
              <a:cs typeface="Arial" panose="020B0604020202020204" pitchFamily="34" charset="0"/>
            </a:defRPr>
          </a:pPr>
          <a:endParaRPr lang="de-DE"/>
        </a:p>
      </c:txPr>
    </c:legend>
    <c:plotVisOnly val="1"/>
    <c:dispBlanksAs val="gap"/>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sz="1050">
          <a:solidFill>
            <a:schemeClr val="tx1"/>
          </a:solidFill>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60" b="0" i="0" u="none" strike="noStrike" kern="1200" spc="0" baseline="0">
                <a:solidFill>
                  <a:schemeClr val="tx1"/>
                </a:solidFill>
                <a:latin typeface="Arial" panose="020B0604020202020204" pitchFamily="34" charset="0"/>
                <a:ea typeface="+mn-ea"/>
                <a:cs typeface="Arial" panose="020B0604020202020204" pitchFamily="34" charset="0"/>
              </a:defRPr>
            </a:pPr>
            <a:r>
              <a:rPr lang="de-DE" sz="1260" b="0" i="0" u="none" strike="noStrike" baseline="0">
                <a:effectLst/>
              </a:rPr>
              <a:t>Investments per process step</a:t>
            </a:r>
            <a:endParaRPr lang="de-DE"/>
          </a:p>
        </c:rich>
      </c:tx>
      <c:layout>
        <c:manualLayout>
          <c:xMode val="edge"/>
          <c:yMode val="edge"/>
          <c:x val="0.38141475537619252"/>
          <c:y val="1.0845293875440519E-2"/>
        </c:manualLayout>
      </c:layout>
      <c:overlay val="0"/>
      <c:spPr>
        <a:noFill/>
        <a:ln>
          <a:noFill/>
        </a:ln>
        <a:effectLst/>
      </c:spPr>
      <c:txPr>
        <a:bodyPr rot="0" spcFirstLastPara="1" vertOverflow="ellipsis" vert="horz" wrap="square" anchor="ctr" anchorCtr="1"/>
        <a:lstStyle/>
        <a:p>
          <a:pPr>
            <a:defRPr sz="1260" b="0" i="0" u="none" strike="noStrike" kern="1200" spc="0" baseline="0">
              <a:solidFill>
                <a:schemeClr val="tx1"/>
              </a:solidFill>
              <a:latin typeface="Arial" panose="020B0604020202020204" pitchFamily="34" charset="0"/>
              <a:ea typeface="+mn-ea"/>
              <a:cs typeface="Arial" panose="020B0604020202020204" pitchFamily="34" charset="0"/>
            </a:defRPr>
          </a:pPr>
          <a:endParaRPr lang="de-DE"/>
        </a:p>
      </c:txPr>
    </c:title>
    <c:autoTitleDeleted val="0"/>
    <c:plotArea>
      <c:layout>
        <c:manualLayout>
          <c:layoutTarget val="inner"/>
          <c:xMode val="edge"/>
          <c:yMode val="edge"/>
          <c:x val="0.41382900024711983"/>
          <c:y val="6.1349818596668076E-2"/>
          <c:w val="0.49934638598205855"/>
          <c:h val="0.82005902148360466"/>
        </c:manualLayout>
      </c:layout>
      <c:barChart>
        <c:barDir val="bar"/>
        <c:grouping val="clustered"/>
        <c:varyColors val="0"/>
        <c:ser>
          <c:idx val="0"/>
          <c:order val="0"/>
          <c:spPr>
            <a:solidFill>
              <a:srgbClr val="AEBEB6"/>
            </a:solidFill>
            <a:ln>
              <a:noFill/>
            </a:ln>
            <a:effectLst/>
          </c:spPr>
          <c:invertIfNegative val="0"/>
          <c:dPt>
            <c:idx val="0"/>
            <c:invertIfNegative val="0"/>
            <c:bubble3D val="0"/>
            <c:spPr>
              <a:solidFill>
                <a:srgbClr val="003F57"/>
              </a:solidFill>
              <a:ln>
                <a:noFill/>
              </a:ln>
              <a:effectLst/>
            </c:spPr>
            <c:extLst>
              <c:ext xmlns:c16="http://schemas.microsoft.com/office/drawing/2014/chart" uri="{C3380CC4-5D6E-409C-BE32-E72D297353CC}">
                <c16:uniqueId val="{00000001-271A-4E79-9FCC-1E5DE9545B3A}"/>
              </c:ext>
            </c:extLst>
          </c:dPt>
          <c:dPt>
            <c:idx val="1"/>
            <c:invertIfNegative val="0"/>
            <c:bubble3D val="0"/>
            <c:spPr>
              <a:solidFill>
                <a:srgbClr val="003F57"/>
              </a:solidFill>
              <a:ln>
                <a:noFill/>
              </a:ln>
              <a:effectLst/>
            </c:spPr>
            <c:extLst>
              <c:ext xmlns:c16="http://schemas.microsoft.com/office/drawing/2014/chart" uri="{C3380CC4-5D6E-409C-BE32-E72D297353CC}">
                <c16:uniqueId val="{00000003-271A-4E79-9FCC-1E5DE9545B3A}"/>
              </c:ext>
            </c:extLst>
          </c:dPt>
          <c:dPt>
            <c:idx val="2"/>
            <c:invertIfNegative val="0"/>
            <c:bubble3D val="0"/>
            <c:spPr>
              <a:solidFill>
                <a:srgbClr val="003F57"/>
              </a:solidFill>
              <a:ln>
                <a:noFill/>
              </a:ln>
              <a:effectLst/>
            </c:spPr>
            <c:extLst>
              <c:ext xmlns:c16="http://schemas.microsoft.com/office/drawing/2014/chart" uri="{C3380CC4-5D6E-409C-BE32-E72D297353CC}">
                <c16:uniqueId val="{00000005-271A-4E79-9FCC-1E5DE9545B3A}"/>
              </c:ext>
            </c:extLst>
          </c:dPt>
          <c:dPt>
            <c:idx val="3"/>
            <c:invertIfNegative val="0"/>
            <c:bubble3D val="0"/>
            <c:spPr>
              <a:solidFill>
                <a:srgbClr val="003F57"/>
              </a:solidFill>
              <a:ln>
                <a:noFill/>
              </a:ln>
              <a:effectLst/>
            </c:spPr>
            <c:extLst>
              <c:ext xmlns:c16="http://schemas.microsoft.com/office/drawing/2014/chart" uri="{C3380CC4-5D6E-409C-BE32-E72D297353CC}">
                <c16:uniqueId val="{00000007-271A-4E79-9FCC-1E5DE9545B3A}"/>
              </c:ext>
            </c:extLst>
          </c:dPt>
          <c:dPt>
            <c:idx val="4"/>
            <c:invertIfNegative val="0"/>
            <c:bubble3D val="0"/>
            <c:spPr>
              <a:solidFill>
                <a:srgbClr val="FA6E00"/>
              </a:solidFill>
              <a:ln>
                <a:noFill/>
              </a:ln>
              <a:effectLst/>
            </c:spPr>
            <c:extLst>
              <c:ext xmlns:c16="http://schemas.microsoft.com/office/drawing/2014/chart" uri="{C3380CC4-5D6E-409C-BE32-E72D297353CC}">
                <c16:uniqueId val="{00000009-271A-4E79-9FCC-1E5DE9545B3A}"/>
              </c:ext>
            </c:extLst>
          </c:dPt>
          <c:dPt>
            <c:idx val="5"/>
            <c:invertIfNegative val="0"/>
            <c:bubble3D val="0"/>
            <c:spPr>
              <a:solidFill>
                <a:srgbClr val="FA6E00"/>
              </a:solidFill>
              <a:ln>
                <a:noFill/>
              </a:ln>
              <a:effectLst/>
            </c:spPr>
            <c:extLst>
              <c:ext xmlns:c16="http://schemas.microsoft.com/office/drawing/2014/chart" uri="{C3380CC4-5D6E-409C-BE32-E72D297353CC}">
                <c16:uniqueId val="{0000000B-271A-4E79-9FCC-1E5DE9545B3A}"/>
              </c:ext>
            </c:extLst>
          </c:dPt>
          <c:dPt>
            <c:idx val="6"/>
            <c:invertIfNegative val="0"/>
            <c:bubble3D val="0"/>
            <c:spPr>
              <a:solidFill>
                <a:srgbClr val="FA6E00"/>
              </a:solidFill>
              <a:ln>
                <a:noFill/>
              </a:ln>
              <a:effectLst/>
            </c:spPr>
            <c:extLst>
              <c:ext xmlns:c16="http://schemas.microsoft.com/office/drawing/2014/chart" uri="{C3380CC4-5D6E-409C-BE32-E72D297353CC}">
                <c16:uniqueId val="{0000004A-FF18-4FD8-852B-100AD1CF7A43}"/>
              </c:ext>
            </c:extLst>
          </c:dPt>
          <c:dPt>
            <c:idx val="7"/>
            <c:invertIfNegative val="0"/>
            <c:bubble3D val="0"/>
            <c:spPr>
              <a:solidFill>
                <a:srgbClr val="FA6E00"/>
              </a:solidFill>
              <a:ln>
                <a:noFill/>
              </a:ln>
              <a:effectLst/>
            </c:spPr>
            <c:extLst>
              <c:ext xmlns:c16="http://schemas.microsoft.com/office/drawing/2014/chart" uri="{C3380CC4-5D6E-409C-BE32-E72D297353CC}">
                <c16:uniqueId val="{0000000D-A585-4411-B657-3BC1E5DF1DBC}"/>
              </c:ext>
            </c:extLst>
          </c:dPt>
          <c:dPt>
            <c:idx val="8"/>
            <c:invertIfNegative val="0"/>
            <c:bubble3D val="0"/>
            <c:spPr>
              <a:solidFill>
                <a:srgbClr val="FA6E00"/>
              </a:solidFill>
              <a:ln>
                <a:noFill/>
              </a:ln>
              <a:effectLst/>
            </c:spPr>
            <c:extLst>
              <c:ext xmlns:c16="http://schemas.microsoft.com/office/drawing/2014/chart" uri="{C3380CC4-5D6E-409C-BE32-E72D297353CC}">
                <c16:uniqueId val="{00000011-271A-4E79-9FCC-1E5DE9545B3A}"/>
              </c:ext>
            </c:extLst>
          </c:dPt>
          <c:dPt>
            <c:idx val="9"/>
            <c:invertIfNegative val="0"/>
            <c:bubble3D val="0"/>
            <c:spPr>
              <a:solidFill>
                <a:srgbClr val="FA6E00"/>
              </a:solidFill>
              <a:ln>
                <a:noFill/>
              </a:ln>
              <a:effectLst/>
            </c:spPr>
            <c:extLst>
              <c:ext xmlns:c16="http://schemas.microsoft.com/office/drawing/2014/chart" uri="{C3380CC4-5D6E-409C-BE32-E72D297353CC}">
                <c16:uniqueId val="{00000013-271A-4E79-9FCC-1E5DE9545B3A}"/>
              </c:ext>
            </c:extLst>
          </c:dPt>
          <c:dPt>
            <c:idx val="10"/>
            <c:invertIfNegative val="0"/>
            <c:bubble3D val="0"/>
            <c:spPr>
              <a:solidFill>
                <a:srgbClr val="FA6E00"/>
              </a:solidFill>
              <a:ln>
                <a:noFill/>
              </a:ln>
              <a:effectLst/>
            </c:spPr>
            <c:extLst>
              <c:ext xmlns:c16="http://schemas.microsoft.com/office/drawing/2014/chart" uri="{C3380CC4-5D6E-409C-BE32-E72D297353CC}">
                <c16:uniqueId val="{00000015-271A-4E79-9FCC-1E5DE9545B3A}"/>
              </c:ext>
            </c:extLst>
          </c:dPt>
          <c:dPt>
            <c:idx val="11"/>
            <c:invertIfNegative val="0"/>
            <c:bubble3D val="0"/>
            <c:spPr>
              <a:solidFill>
                <a:srgbClr val="FA6E00"/>
              </a:solidFill>
              <a:ln>
                <a:noFill/>
              </a:ln>
              <a:effectLst/>
            </c:spPr>
            <c:extLst>
              <c:ext xmlns:c16="http://schemas.microsoft.com/office/drawing/2014/chart" uri="{C3380CC4-5D6E-409C-BE32-E72D297353CC}">
                <c16:uniqueId val="{00000017-271A-4E79-9FCC-1E5DE9545B3A}"/>
              </c:ext>
            </c:extLst>
          </c:dPt>
          <c:dPt>
            <c:idx val="12"/>
            <c:invertIfNegative val="0"/>
            <c:bubble3D val="0"/>
            <c:spPr>
              <a:pattFill prst="dkDnDiag">
                <a:fgClr>
                  <a:srgbClr val="FA6E00"/>
                </a:fgClr>
                <a:bgClr>
                  <a:schemeClr val="bg1"/>
                </a:bgClr>
              </a:pattFill>
              <a:ln>
                <a:solidFill>
                  <a:srgbClr val="FA6E00"/>
                </a:solidFill>
              </a:ln>
              <a:effectLst/>
            </c:spPr>
            <c:extLst>
              <c:ext xmlns:c16="http://schemas.microsoft.com/office/drawing/2014/chart" uri="{C3380CC4-5D6E-409C-BE32-E72D297353CC}">
                <c16:uniqueId val="{00000019-271A-4E79-9FCC-1E5DE9545B3A}"/>
              </c:ext>
            </c:extLst>
          </c:dPt>
          <c:dPt>
            <c:idx val="13"/>
            <c:invertIfNegative val="0"/>
            <c:bubble3D val="0"/>
            <c:spPr>
              <a:solidFill>
                <a:srgbClr val="AEBEB6"/>
              </a:solidFill>
              <a:ln>
                <a:noFill/>
              </a:ln>
              <a:effectLst/>
            </c:spPr>
            <c:extLst>
              <c:ext xmlns:c16="http://schemas.microsoft.com/office/drawing/2014/chart" uri="{C3380CC4-5D6E-409C-BE32-E72D297353CC}">
                <c16:uniqueId val="{0000001B-271A-4E79-9FCC-1E5DE9545B3A}"/>
              </c:ext>
            </c:extLst>
          </c:dPt>
          <c:dPt>
            <c:idx val="14"/>
            <c:invertIfNegative val="0"/>
            <c:bubble3D val="0"/>
            <c:spPr>
              <a:solidFill>
                <a:srgbClr val="AEBEB6"/>
              </a:solidFill>
              <a:ln>
                <a:noFill/>
              </a:ln>
              <a:effectLst/>
            </c:spPr>
            <c:extLst>
              <c:ext xmlns:c16="http://schemas.microsoft.com/office/drawing/2014/chart" uri="{C3380CC4-5D6E-409C-BE32-E72D297353CC}">
                <c16:uniqueId val="{0000001D-271A-4E79-9FCC-1E5DE9545B3A}"/>
              </c:ext>
            </c:extLst>
          </c:dPt>
          <c:dPt>
            <c:idx val="15"/>
            <c:invertIfNegative val="0"/>
            <c:bubble3D val="0"/>
            <c:spPr>
              <a:solidFill>
                <a:srgbClr val="AEBEB6"/>
              </a:solidFill>
              <a:ln>
                <a:noFill/>
              </a:ln>
              <a:effectLst/>
            </c:spPr>
            <c:extLst>
              <c:ext xmlns:c16="http://schemas.microsoft.com/office/drawing/2014/chart" uri="{C3380CC4-5D6E-409C-BE32-E72D297353CC}">
                <c16:uniqueId val="{0000001F-271A-4E79-9FCC-1E5DE9545B3A}"/>
              </c:ext>
            </c:extLst>
          </c:dPt>
          <c:dPt>
            <c:idx val="16"/>
            <c:invertIfNegative val="0"/>
            <c:bubble3D val="0"/>
            <c:spPr>
              <a:pattFill prst="dkDnDiag">
                <a:fgClr>
                  <a:srgbClr val="AEBEB6"/>
                </a:fgClr>
                <a:bgClr>
                  <a:schemeClr val="bg1"/>
                </a:bgClr>
              </a:pattFill>
              <a:ln>
                <a:solidFill>
                  <a:srgbClr val="AEBEB6"/>
                </a:solidFill>
              </a:ln>
              <a:effectLst/>
            </c:spPr>
            <c:extLst>
              <c:ext xmlns:c16="http://schemas.microsoft.com/office/drawing/2014/chart" uri="{C3380CC4-5D6E-409C-BE32-E72D297353CC}">
                <c16:uniqueId val="{00000021-271A-4E79-9FCC-1E5DE9545B3A}"/>
              </c:ext>
            </c:extLst>
          </c:dPt>
          <c:dPt>
            <c:idx val="17"/>
            <c:invertIfNegative val="0"/>
            <c:bubble3D val="0"/>
            <c:spPr>
              <a:solidFill>
                <a:srgbClr val="AEBEB6"/>
              </a:solidFill>
              <a:ln>
                <a:noFill/>
              </a:ln>
              <a:effectLst/>
            </c:spPr>
            <c:extLst>
              <c:ext xmlns:c16="http://schemas.microsoft.com/office/drawing/2014/chart" uri="{C3380CC4-5D6E-409C-BE32-E72D297353CC}">
                <c16:uniqueId val="{00000023-271A-4E79-9FCC-1E5DE9545B3A}"/>
              </c:ext>
            </c:extLst>
          </c:dPt>
          <c:dPt>
            <c:idx val="18"/>
            <c:invertIfNegative val="0"/>
            <c:bubble3D val="0"/>
            <c:spPr>
              <a:solidFill>
                <a:srgbClr val="AEBEB6"/>
              </a:solidFill>
              <a:ln>
                <a:noFill/>
              </a:ln>
              <a:effectLst/>
            </c:spPr>
            <c:extLst>
              <c:ext xmlns:c16="http://schemas.microsoft.com/office/drawing/2014/chart" uri="{C3380CC4-5D6E-409C-BE32-E72D297353CC}">
                <c16:uniqueId val="{00000025-271A-4E79-9FCC-1E5DE9545B3A}"/>
              </c:ext>
            </c:extLst>
          </c:dPt>
          <c:dPt>
            <c:idx val="19"/>
            <c:invertIfNegative val="0"/>
            <c:bubble3D val="0"/>
            <c:spPr>
              <a:solidFill>
                <a:srgbClr val="AEBEB6"/>
              </a:solidFill>
              <a:ln>
                <a:noFill/>
              </a:ln>
              <a:effectLst/>
            </c:spPr>
            <c:extLst>
              <c:ext xmlns:c16="http://schemas.microsoft.com/office/drawing/2014/chart" uri="{C3380CC4-5D6E-409C-BE32-E72D297353CC}">
                <c16:uniqueId val="{00000027-271A-4E79-9FCC-1E5DE9545B3A}"/>
              </c:ext>
            </c:extLst>
          </c:dPt>
          <c:dPt>
            <c:idx val="20"/>
            <c:invertIfNegative val="0"/>
            <c:bubble3D val="0"/>
            <c:spPr>
              <a:solidFill>
                <a:srgbClr val="AEBEB6"/>
              </a:solidFill>
              <a:ln>
                <a:noFill/>
              </a:ln>
              <a:effectLst/>
            </c:spPr>
            <c:extLst>
              <c:ext xmlns:c16="http://schemas.microsoft.com/office/drawing/2014/chart" uri="{C3380CC4-5D6E-409C-BE32-E72D297353CC}">
                <c16:uniqueId val="{00000029-271A-4E79-9FCC-1E5DE9545B3A}"/>
              </c:ext>
            </c:extLst>
          </c:dPt>
          <c:dPt>
            <c:idx val="21"/>
            <c:invertIfNegative val="0"/>
            <c:bubble3D val="0"/>
            <c:spPr>
              <a:solidFill>
                <a:srgbClr val="AEBEB6"/>
              </a:solidFill>
              <a:ln>
                <a:noFill/>
              </a:ln>
              <a:effectLst/>
            </c:spPr>
            <c:extLst>
              <c:ext xmlns:c16="http://schemas.microsoft.com/office/drawing/2014/chart" uri="{C3380CC4-5D6E-409C-BE32-E72D297353CC}">
                <c16:uniqueId val="{0000002B-271A-4E79-9FCC-1E5DE9545B3A}"/>
              </c:ext>
            </c:extLst>
          </c:dPt>
          <c:dPt>
            <c:idx val="22"/>
            <c:invertIfNegative val="0"/>
            <c:bubble3D val="0"/>
            <c:spPr>
              <a:solidFill>
                <a:srgbClr val="AEBEB6"/>
              </a:solidFill>
              <a:ln>
                <a:noFill/>
              </a:ln>
              <a:effectLst/>
            </c:spPr>
            <c:extLst>
              <c:ext xmlns:c16="http://schemas.microsoft.com/office/drawing/2014/chart" uri="{C3380CC4-5D6E-409C-BE32-E72D297353CC}">
                <c16:uniqueId val="{0000002D-271A-4E79-9FCC-1E5DE9545B3A}"/>
              </c:ext>
            </c:extLst>
          </c:dPt>
          <c:dPt>
            <c:idx val="23"/>
            <c:invertIfNegative val="0"/>
            <c:bubble3D val="0"/>
            <c:spPr>
              <a:solidFill>
                <a:srgbClr val="AEBEB6"/>
              </a:solidFill>
              <a:ln>
                <a:noFill/>
              </a:ln>
              <a:effectLst/>
            </c:spPr>
            <c:extLst>
              <c:ext xmlns:c16="http://schemas.microsoft.com/office/drawing/2014/chart" uri="{C3380CC4-5D6E-409C-BE32-E72D297353CC}">
                <c16:uniqueId val="{0000002F-271A-4E79-9FCC-1E5DE9545B3A}"/>
              </c:ext>
            </c:extLst>
          </c:dPt>
          <c:dPt>
            <c:idx val="24"/>
            <c:invertIfNegative val="0"/>
            <c:bubble3D val="0"/>
            <c:spPr>
              <a:solidFill>
                <a:srgbClr val="AEBEB6"/>
              </a:solidFill>
              <a:ln>
                <a:noFill/>
              </a:ln>
              <a:effectLst/>
            </c:spPr>
            <c:extLst>
              <c:ext xmlns:c16="http://schemas.microsoft.com/office/drawing/2014/chart" uri="{C3380CC4-5D6E-409C-BE32-E72D297353CC}">
                <c16:uniqueId val="{00000031-271A-4E79-9FCC-1E5DE9545B3A}"/>
              </c:ext>
            </c:extLst>
          </c:dPt>
          <c:dPt>
            <c:idx val="25"/>
            <c:invertIfNegative val="0"/>
            <c:bubble3D val="0"/>
            <c:spPr>
              <a:solidFill>
                <a:srgbClr val="AEBEB6"/>
              </a:solidFill>
              <a:ln>
                <a:noFill/>
              </a:ln>
              <a:effectLst/>
            </c:spPr>
            <c:extLst>
              <c:ext xmlns:c16="http://schemas.microsoft.com/office/drawing/2014/chart" uri="{C3380CC4-5D6E-409C-BE32-E72D297353CC}">
                <c16:uniqueId val="{00000033-271A-4E79-9FCC-1E5DE9545B3A}"/>
              </c:ext>
            </c:extLst>
          </c:dPt>
          <c:dPt>
            <c:idx val="26"/>
            <c:invertIfNegative val="0"/>
            <c:bubble3D val="0"/>
            <c:spPr>
              <a:solidFill>
                <a:srgbClr val="AEBEB6"/>
              </a:solidFill>
              <a:ln>
                <a:solidFill>
                  <a:srgbClr val="AEBEB6"/>
                </a:solidFill>
              </a:ln>
              <a:effectLst/>
            </c:spPr>
            <c:extLst>
              <c:ext xmlns:c16="http://schemas.microsoft.com/office/drawing/2014/chart" uri="{C3380CC4-5D6E-409C-BE32-E72D297353CC}">
                <c16:uniqueId val="{00000035-271A-4E79-9FCC-1E5DE9545B3A}"/>
              </c:ext>
            </c:extLst>
          </c:dPt>
          <c:dPt>
            <c:idx val="27"/>
            <c:invertIfNegative val="0"/>
            <c:bubble3D val="0"/>
            <c:spPr>
              <a:solidFill>
                <a:srgbClr val="AEBEB6"/>
              </a:solidFill>
              <a:ln>
                <a:solidFill>
                  <a:srgbClr val="AEBEB6"/>
                </a:solidFill>
              </a:ln>
              <a:effectLst/>
            </c:spPr>
            <c:extLst>
              <c:ext xmlns:c16="http://schemas.microsoft.com/office/drawing/2014/chart" uri="{C3380CC4-5D6E-409C-BE32-E72D297353CC}">
                <c16:uniqueId val="{00000037-271A-4E79-9FCC-1E5DE9545B3A}"/>
              </c:ext>
            </c:extLst>
          </c:dPt>
          <c:dPt>
            <c:idx val="28"/>
            <c:invertIfNegative val="0"/>
            <c:bubble3D val="0"/>
            <c:spPr>
              <a:solidFill>
                <a:srgbClr val="AEBEB6"/>
              </a:solidFill>
              <a:ln>
                <a:solidFill>
                  <a:srgbClr val="AEBEB6"/>
                </a:solidFill>
              </a:ln>
              <a:effectLst/>
            </c:spPr>
            <c:extLst>
              <c:ext xmlns:c16="http://schemas.microsoft.com/office/drawing/2014/chart" uri="{C3380CC4-5D6E-409C-BE32-E72D297353CC}">
                <c16:uniqueId val="{00000039-271A-4E79-9FCC-1E5DE9545B3A}"/>
              </c:ext>
            </c:extLst>
          </c:dPt>
          <c:dPt>
            <c:idx val="29"/>
            <c:invertIfNegative val="0"/>
            <c:bubble3D val="0"/>
            <c:spPr>
              <a:solidFill>
                <a:srgbClr val="AEBEB6"/>
              </a:solidFill>
              <a:ln>
                <a:solidFill>
                  <a:srgbClr val="AEBEB6"/>
                </a:solidFill>
              </a:ln>
              <a:effectLst/>
            </c:spPr>
            <c:extLst>
              <c:ext xmlns:c16="http://schemas.microsoft.com/office/drawing/2014/chart" uri="{C3380CC4-5D6E-409C-BE32-E72D297353CC}">
                <c16:uniqueId val="{0000003B-271A-4E79-9FCC-1E5DE9545B3A}"/>
              </c:ext>
            </c:extLst>
          </c:dPt>
          <c:dPt>
            <c:idx val="30"/>
            <c:invertIfNegative val="0"/>
            <c:bubble3D val="0"/>
            <c:spPr>
              <a:solidFill>
                <a:srgbClr val="AEBEB6"/>
              </a:solidFill>
              <a:ln>
                <a:solidFill>
                  <a:srgbClr val="AEBEB6"/>
                </a:solidFill>
              </a:ln>
              <a:effectLst/>
            </c:spPr>
            <c:extLst>
              <c:ext xmlns:c16="http://schemas.microsoft.com/office/drawing/2014/chart" uri="{C3380CC4-5D6E-409C-BE32-E72D297353CC}">
                <c16:uniqueId val="{0000003D-271A-4E79-9FCC-1E5DE9545B3A}"/>
              </c:ext>
            </c:extLst>
          </c:dPt>
          <c:dPt>
            <c:idx val="31"/>
            <c:invertIfNegative val="0"/>
            <c:bubble3D val="0"/>
            <c:spPr>
              <a:solidFill>
                <a:srgbClr val="AEBEB6"/>
              </a:solidFill>
              <a:ln>
                <a:solidFill>
                  <a:srgbClr val="AEBEB6"/>
                </a:solidFill>
              </a:ln>
              <a:effectLst/>
            </c:spPr>
            <c:extLst>
              <c:ext xmlns:c16="http://schemas.microsoft.com/office/drawing/2014/chart" uri="{C3380CC4-5D6E-409C-BE32-E72D297353CC}">
                <c16:uniqueId val="{0000003F-271A-4E79-9FCC-1E5DE9545B3A}"/>
              </c:ext>
            </c:extLst>
          </c:dPt>
          <c:dPt>
            <c:idx val="32"/>
            <c:invertIfNegative val="0"/>
            <c:bubble3D val="0"/>
            <c:spPr>
              <a:solidFill>
                <a:srgbClr val="AEBEB6"/>
              </a:solidFill>
              <a:ln>
                <a:solidFill>
                  <a:srgbClr val="AEBEB6"/>
                </a:solidFill>
              </a:ln>
              <a:effectLst/>
            </c:spPr>
            <c:extLst>
              <c:ext xmlns:c16="http://schemas.microsoft.com/office/drawing/2014/chart" uri="{C3380CC4-5D6E-409C-BE32-E72D297353CC}">
                <c16:uniqueId val="{00000041-271A-4E79-9FCC-1E5DE9545B3A}"/>
              </c:ext>
            </c:extLst>
          </c:dPt>
          <c:dPt>
            <c:idx val="33"/>
            <c:invertIfNegative val="0"/>
            <c:bubble3D val="0"/>
            <c:spPr>
              <a:solidFill>
                <a:srgbClr val="AEBEB6"/>
              </a:solidFill>
              <a:ln>
                <a:solidFill>
                  <a:srgbClr val="AEBEB6"/>
                </a:solidFill>
              </a:ln>
              <a:effectLst/>
            </c:spPr>
            <c:extLst>
              <c:ext xmlns:c16="http://schemas.microsoft.com/office/drawing/2014/chart" uri="{C3380CC4-5D6E-409C-BE32-E72D297353CC}">
                <c16:uniqueId val="{00000043-271A-4E79-9FCC-1E5DE9545B3A}"/>
              </c:ext>
            </c:extLst>
          </c:dPt>
          <c:dPt>
            <c:idx val="34"/>
            <c:invertIfNegative val="0"/>
            <c:bubble3D val="0"/>
            <c:spPr>
              <a:solidFill>
                <a:srgbClr val="AEBEB6"/>
              </a:solidFill>
              <a:ln>
                <a:solidFill>
                  <a:srgbClr val="AEBEB6"/>
                </a:solidFill>
              </a:ln>
              <a:effectLst/>
            </c:spPr>
            <c:extLst>
              <c:ext xmlns:c16="http://schemas.microsoft.com/office/drawing/2014/chart" uri="{C3380CC4-5D6E-409C-BE32-E72D297353CC}">
                <c16:uniqueId val="{00000045-271A-4E79-9FCC-1E5DE9545B3A}"/>
              </c:ext>
            </c:extLst>
          </c:dPt>
          <c:dPt>
            <c:idx val="35"/>
            <c:invertIfNegative val="0"/>
            <c:bubble3D val="0"/>
            <c:spPr>
              <a:solidFill>
                <a:srgbClr val="AEBEB6"/>
              </a:solidFill>
              <a:ln>
                <a:solidFill>
                  <a:srgbClr val="AEBEB6"/>
                </a:solidFill>
              </a:ln>
              <a:effectLst/>
            </c:spPr>
            <c:extLst>
              <c:ext xmlns:c16="http://schemas.microsoft.com/office/drawing/2014/chart" uri="{C3380CC4-5D6E-409C-BE32-E72D297353CC}">
                <c16:uniqueId val="{00000047-271A-4E79-9FCC-1E5DE9545B3A}"/>
              </c:ext>
            </c:extLst>
          </c:dPt>
          <c:dPt>
            <c:idx val="36"/>
            <c:invertIfNegative val="0"/>
            <c:bubble3D val="0"/>
            <c:spPr>
              <a:solidFill>
                <a:srgbClr val="AEBEB6"/>
              </a:solidFill>
              <a:ln>
                <a:solidFill>
                  <a:srgbClr val="AEBEB6"/>
                </a:solidFill>
              </a:ln>
              <a:effectLst/>
            </c:spPr>
            <c:extLst>
              <c:ext xmlns:c16="http://schemas.microsoft.com/office/drawing/2014/chart" uri="{C3380CC4-5D6E-409C-BE32-E72D297353CC}">
                <c16:uniqueId val="{00000049-48CA-458B-860E-1502F31B1AE9}"/>
              </c:ext>
            </c:extLst>
          </c:dPt>
          <c:cat>
            <c:strRef>
              <c:extLst>
                <c:ext xmlns:c15="http://schemas.microsoft.com/office/drawing/2012/chart" uri="{02D57815-91ED-43cb-92C2-25804820EDAC}">
                  <c15:fullRef>
                    <c15:sqref>'R2_Econ.'!$B$12:$B$49</c15:sqref>
                  </c15:fullRef>
                </c:ext>
              </c:extLst>
              <c:f>'R2_Econ.'!$B$12:$B$48</c:f>
              <c:strCache>
                <c:ptCount val="37"/>
                <c:pt idx="0">
                  <c:v>Storage</c:v>
                </c:pt>
                <c:pt idx="1">
                  <c:v>Storage (defective)</c:v>
                </c:pt>
                <c:pt idx="2">
                  <c:v>Discharge</c:v>
                </c:pt>
                <c:pt idx="3">
                  <c:v>Disassembly</c:v>
                </c:pt>
                <c:pt idx="4">
                  <c:v>Shredder 1</c:v>
                </c:pt>
                <c:pt idx="5">
                  <c:v>Drying</c:v>
                </c:pt>
                <c:pt idx="6">
                  <c:v>Exhaust gas cleaning</c:v>
                </c:pt>
                <c:pt idx="7">
                  <c:v>Magnetic separation</c:v>
                </c:pt>
                <c:pt idx="8">
                  <c:v>Zig-zag sighting 1</c:v>
                </c:pt>
                <c:pt idx="9">
                  <c:v>Shredder 2</c:v>
                </c:pt>
                <c:pt idx="10">
                  <c:v>Sieving</c:v>
                </c:pt>
                <c:pt idx="11">
                  <c:v>Zig-zag sighting 2</c:v>
                </c:pt>
                <c:pt idx="12">
                  <c:v>Electrolyte recovery</c:v>
                </c:pt>
                <c:pt idx="13">
                  <c:v>Digestion</c:v>
                </c:pt>
                <c:pt idx="14">
                  <c:v>Leaching</c:v>
                </c:pt>
                <c:pt idx="15">
                  <c:v>Filtration C</c:v>
                </c:pt>
                <c:pt idx="16">
                  <c:v>Washing C</c:v>
                </c:pt>
                <c:pt idx="17">
                  <c:v>Cementation Cu</c:v>
                </c:pt>
                <c:pt idx="18">
                  <c:v>Filtration Cu</c:v>
                </c:pt>
                <c:pt idx="19">
                  <c:v>Oxidation</c:v>
                </c:pt>
                <c:pt idx="20">
                  <c:v>Precipitation Al + Fe</c:v>
                </c:pt>
                <c:pt idx="21">
                  <c:v>Filtration Al+Fe</c:v>
                </c:pt>
                <c:pt idx="22">
                  <c:v>Extraction Co+Ni</c:v>
                </c:pt>
                <c:pt idx="23">
                  <c:v>Scrubbing Co+Ni</c:v>
                </c:pt>
                <c:pt idx="24">
                  <c:v>Stripping Co+Ni</c:v>
                </c:pt>
                <c:pt idx="25">
                  <c:v>Extraction Co</c:v>
                </c:pt>
                <c:pt idx="26">
                  <c:v>Scrubbing Co</c:v>
                </c:pt>
                <c:pt idx="27">
                  <c:v>Stripping Co</c:v>
                </c:pt>
                <c:pt idx="28">
                  <c:v>Cristallisation Ni</c:v>
                </c:pt>
                <c:pt idx="29">
                  <c:v>Cristallisation Co</c:v>
                </c:pt>
                <c:pt idx="30">
                  <c:v>Extraction Mn</c:v>
                </c:pt>
                <c:pt idx="31">
                  <c:v>Scrubbing Mn</c:v>
                </c:pt>
                <c:pt idx="32">
                  <c:v>Stripping Mn</c:v>
                </c:pt>
                <c:pt idx="33">
                  <c:v>Cristallisation Mn</c:v>
                </c:pt>
                <c:pt idx="34">
                  <c:v>Concentration Li</c:v>
                </c:pt>
                <c:pt idx="35">
                  <c:v>Precipitation Li</c:v>
                </c:pt>
                <c:pt idx="36">
                  <c:v>Filtration Li</c:v>
                </c:pt>
              </c:strCache>
            </c:strRef>
          </c:cat>
          <c:val>
            <c:numRef>
              <c:extLst>
                <c:ext xmlns:c15="http://schemas.microsoft.com/office/drawing/2012/chart" uri="{02D57815-91ED-43cb-92C2-25804820EDAC}">
                  <c15:fullRef>
                    <c15:sqref>'R2_Econ.'!$J$12:$J$49</c15:sqref>
                  </c15:fullRef>
                </c:ext>
              </c:extLst>
              <c:f>'R2_Econ.'!$J$12:$J$48</c:f>
              <c:numCache>
                <c:formatCode>_-* #,##0\ "€"_-;\-* #,##0\ "€"_-;_-* "-"??\ "€"_-;_-@_-</c:formatCode>
                <c:ptCount val="37"/>
                <c:pt idx="0">
                  <c:v>0</c:v>
                </c:pt>
                <c:pt idx="1">
                  <c:v>31046.719681908551</c:v>
                </c:pt>
                <c:pt idx="2">
                  <c:v>0</c:v>
                </c:pt>
                <c:pt idx="3">
                  <c:v>0</c:v>
                </c:pt>
                <c:pt idx="4">
                  <c:v>1304625.4613501837</c:v>
                </c:pt>
                <c:pt idx="5">
                  <c:v>2189755.0676466282</c:v>
                </c:pt>
                <c:pt idx="6">
                  <c:v>1304625.4613501837</c:v>
                </c:pt>
                <c:pt idx="7">
                  <c:v>133838.74338913072</c:v>
                </c:pt>
                <c:pt idx="8">
                  <c:v>107070.99471130455</c:v>
                </c:pt>
                <c:pt idx="9">
                  <c:v>310625.10984528187</c:v>
                </c:pt>
                <c:pt idx="10">
                  <c:v>107070.99471130455</c:v>
                </c:pt>
                <c:pt idx="11">
                  <c:v>107070.99471130455</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numCache>
            </c:numRef>
          </c:val>
          <c:extLst>
            <c:ext xmlns:c15="http://schemas.microsoft.com/office/drawing/2012/chart" uri="{02D57815-91ED-43cb-92C2-25804820EDAC}">
              <c15:categoryFilterExceptions>
                <c15:categoryFilterException>
                  <c15:sqref>'R2_Econ.'!$J$49</c15:sqref>
                  <c15:spPr xmlns:c15="http://schemas.microsoft.com/office/drawing/2012/chart">
                    <a:solidFill>
                      <a:srgbClr val="AEBEB6"/>
                    </a:solidFill>
                    <a:ln>
                      <a:solidFill>
                        <a:srgbClr val="AEBEB6"/>
                      </a:solidFill>
                    </a:ln>
                    <a:effectLst/>
                  </c15:spPr>
                  <c15:invertIfNegative val="0"/>
                  <c15:bubble3D val="0"/>
                </c15:categoryFilterException>
              </c15:categoryFilterExceptions>
            </c:ext>
            <c:ext xmlns:c16="http://schemas.microsoft.com/office/drawing/2014/chart" uri="{C3380CC4-5D6E-409C-BE32-E72D297353CC}">
              <c16:uniqueId val="{00000048-271A-4E79-9FCC-1E5DE9545B3A}"/>
            </c:ext>
          </c:extLst>
        </c:ser>
        <c:dLbls>
          <c:showLegendKey val="0"/>
          <c:showVal val="0"/>
          <c:showCatName val="0"/>
          <c:showSerName val="0"/>
          <c:showPercent val="0"/>
          <c:showBubbleSize val="0"/>
        </c:dLbls>
        <c:gapWidth val="219"/>
        <c:axId val="646288960"/>
        <c:axId val="646292704"/>
      </c:barChart>
      <c:catAx>
        <c:axId val="646288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solidFill>
                <a:latin typeface="Arial" panose="020B0604020202020204" pitchFamily="34" charset="0"/>
                <a:ea typeface="+mn-ea"/>
                <a:cs typeface="Arial" panose="020B0604020202020204" pitchFamily="34" charset="0"/>
              </a:defRPr>
            </a:pPr>
            <a:endParaRPr lang="de-DE"/>
          </a:p>
        </c:txPr>
        <c:crossAx val="646292704"/>
        <c:crosses val="autoZero"/>
        <c:auto val="1"/>
        <c:lblAlgn val="ctr"/>
        <c:lblOffset val="100"/>
        <c:noMultiLvlLbl val="0"/>
      </c:catAx>
      <c:valAx>
        <c:axId val="646292704"/>
        <c:scaling>
          <c:orientation val="minMax"/>
        </c:scaling>
        <c:delete val="0"/>
        <c:axPos val="b"/>
        <c:majorGridlines>
          <c:spPr>
            <a:ln w="9525" cap="flat" cmpd="sng" algn="ctr">
              <a:solidFill>
                <a:schemeClr val="bg1">
                  <a:lumMod val="50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solidFill>
                <a:latin typeface="Arial" panose="020B0604020202020204" pitchFamily="34" charset="0"/>
                <a:ea typeface="+mn-ea"/>
                <a:cs typeface="Arial" panose="020B0604020202020204" pitchFamily="34" charset="0"/>
              </a:defRPr>
            </a:pPr>
            <a:endParaRPr lang="de-DE"/>
          </a:p>
        </c:txPr>
        <c:crossAx val="646288960"/>
        <c:crosses val="autoZero"/>
        <c:crossBetween val="between"/>
        <c:majorUnit val="1000000"/>
        <c:dispUnits>
          <c:builtInUnit val="millions"/>
          <c:dispUnitsLbl>
            <c:layout>
              <c:manualLayout>
                <c:xMode val="edge"/>
                <c:yMode val="edge"/>
                <c:x val="0.40761689727482731"/>
                <c:y val="0.91839308039062029"/>
              </c:manualLayout>
            </c:layout>
            <c:tx>
              <c:rich>
                <a:bodyPr rot="0" spcFirstLastPara="1" vertOverflow="ellipsis" vert="horz" wrap="square" anchor="ctr" anchorCtr="1"/>
                <a:lstStyle/>
                <a:p>
                  <a:pPr>
                    <a:defRPr sz="1050" b="0" i="0" u="none" strike="noStrike" kern="1200" baseline="0">
                      <a:solidFill>
                        <a:schemeClr val="tx1"/>
                      </a:solidFill>
                      <a:latin typeface="Arial" panose="020B0604020202020204" pitchFamily="34" charset="0"/>
                      <a:ea typeface="+mn-ea"/>
                      <a:cs typeface="Arial" panose="020B0604020202020204" pitchFamily="34" charset="0"/>
                    </a:defRPr>
                  </a:pPr>
                  <a:r>
                    <a:rPr lang="en-US" sz="1050" b="0" i="0" baseline="0">
                      <a:effectLst/>
                    </a:rPr>
                    <a:t>Process specific needed investment [M€]</a:t>
                  </a:r>
                  <a:endParaRPr lang="en-US" sz="1050">
                    <a:effectLst/>
                  </a:endParaRPr>
                </a:p>
              </c:rich>
            </c:tx>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Arial" panose="020B0604020202020204" pitchFamily="34" charset="0"/>
                    <a:ea typeface="+mn-ea"/>
                    <a:cs typeface="Arial" panose="020B0604020202020204" pitchFamily="34" charset="0"/>
                  </a:defRPr>
                </a:pPr>
                <a:endParaRPr lang="de-DE"/>
              </a:p>
            </c:txPr>
          </c:dispUnitsLbl>
        </c:dispUnits>
      </c:valAx>
      <c:spPr>
        <a:noFill/>
        <a:ln>
          <a:noFill/>
        </a:ln>
        <a:effectLst/>
      </c:spPr>
    </c:plotArea>
    <c:plotVisOnly val="1"/>
    <c:dispBlanksAs val="gap"/>
    <c:showDLblsOverMax val="0"/>
  </c:chart>
  <c:spPr>
    <a:noFill/>
    <a:ln w="9525" cap="flat" cmpd="sng" algn="ctr">
      <a:noFill/>
      <a:round/>
    </a:ln>
    <a:effectLst/>
  </c:spPr>
  <c:txPr>
    <a:bodyPr/>
    <a:lstStyle/>
    <a:p>
      <a:pPr>
        <a:defRPr sz="1050">
          <a:solidFill>
            <a:schemeClr val="tx1"/>
          </a:solidFill>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v>Costs</c:v>
          </c:tx>
          <c:spPr>
            <a:solidFill>
              <a:schemeClr val="accent2"/>
            </a:solidFill>
            <a:ln w="9525">
              <a:noFill/>
            </a:ln>
            <a:effectLst/>
          </c:spPr>
          <c:invertIfNegative val="0"/>
          <c:cat>
            <c:strRef>
              <c:f>Evaluation!$B$29:$B$63</c:f>
              <c:strCache>
                <c:ptCount val="35"/>
                <c:pt idx="0">
                  <c:v>Waste (Incineration)</c:v>
                </c:pt>
                <c:pt idx="1">
                  <c:v>Wastewater (municipal)</c:v>
                </c:pt>
                <c:pt idx="2">
                  <c:v>Wastewater (industrial)</c:v>
                </c:pt>
                <c:pt idx="3">
                  <c:v>Aluminium</c:v>
                </c:pt>
                <c:pt idx="4">
                  <c:v>Aluminiumhydroxide</c:v>
                </c:pt>
                <c:pt idx="5">
                  <c:v>Calcium sulfate</c:v>
                </c:pt>
                <c:pt idx="6">
                  <c:v>CoSO4 * 7 H2O</c:v>
                </c:pt>
                <c:pt idx="7">
                  <c:v>Cyanex 272</c:v>
                </c:pt>
                <c:pt idx="8">
                  <c:v>Cyanex 301GN</c:v>
                </c:pt>
                <c:pt idx="9">
                  <c:v>D2EHPA</c:v>
                </c:pt>
                <c:pt idx="10">
                  <c:v>Iron</c:v>
                </c:pt>
                <c:pt idx="11">
                  <c:v>Iron hydroxide Fe (OH) 3</c:v>
                </c:pt>
                <c:pt idx="12">
                  <c:v>Electricity</c:v>
                </c:pt>
                <c:pt idx="13">
                  <c:v>Electrolyte</c:v>
                </c:pt>
                <c:pt idx="14">
                  <c:v>Electronic scrap (circuit board)</c:v>
                </c:pt>
                <c:pt idx="15">
                  <c:v>Natural gas (CH4)</c:v>
                </c:pt>
                <c:pt idx="16">
                  <c:v>Graphite</c:v>
                </c:pt>
                <c:pt idx="17">
                  <c:v>Cable</c:v>
                </c:pt>
                <c:pt idx="18">
                  <c:v>Limestone (CaO)</c:v>
                </c:pt>
                <c:pt idx="19">
                  <c:v>Kerosene</c:v>
                </c:pt>
                <c:pt idx="20">
                  <c:v>concentrated wastewater</c:v>
                </c:pt>
                <c:pt idx="21">
                  <c:v>Copper</c:v>
                </c:pt>
                <c:pt idx="22">
                  <c:v>Li2CO3 (anhydrous)</c:v>
                </c:pt>
                <c:pt idx="23">
                  <c:v>MnSO4 * 1 H2O</c:v>
                </c:pt>
                <c:pt idx="24">
                  <c:v>Sodium carbonate</c:v>
                </c:pt>
                <c:pt idx="25">
                  <c:v>Sodium hydrogen carbonate</c:v>
                </c:pt>
                <c:pt idx="26">
                  <c:v>Sodium hydroxide</c:v>
                </c:pt>
                <c:pt idx="27">
                  <c:v>NiSO4 * 6 H2O</c:v>
                </c:pt>
                <c:pt idx="28">
                  <c:v>Sand (SiO2)</c:v>
                </c:pt>
                <c:pt idx="29">
                  <c:v>Oxygen</c:v>
                </c:pt>
                <c:pt idx="30">
                  <c:v>Sulfuric acid (95%)</c:v>
                </c:pt>
                <c:pt idx="31">
                  <c:v>Steel</c:v>
                </c:pt>
                <c:pt idx="32">
                  <c:v>Nitrogen</c:v>
                </c:pt>
                <c:pt idx="33">
                  <c:v>Water (Input)</c:v>
                </c:pt>
                <c:pt idx="34">
                  <c:v>Hydrogen peroxide</c:v>
                </c:pt>
              </c:strCache>
            </c:strRef>
          </c:cat>
          <c:val>
            <c:numRef>
              <c:f>Evaluation!$G$29:$G$63</c:f>
              <c:numCache>
                <c:formatCode>_("€"* #,##0.00_);_("€"* \(#,##0.00\);_("€"* "-"??_);_(@_)</c:formatCode>
                <c:ptCount val="35"/>
                <c:pt idx="0">
                  <c:v>0</c:v>
                </c:pt>
                <c:pt idx="1">
                  <c:v>0</c:v>
                </c:pt>
                <c:pt idx="2">
                  <c:v>0</c:v>
                </c:pt>
                <c:pt idx="7">
                  <c:v>0</c:v>
                </c:pt>
                <c:pt idx="9">
                  <c:v>0</c:v>
                </c:pt>
                <c:pt idx="10">
                  <c:v>0</c:v>
                </c:pt>
                <c:pt idx="12">
                  <c:v>0</c:v>
                </c:pt>
                <c:pt idx="15">
                  <c:v>0</c:v>
                </c:pt>
                <c:pt idx="18">
                  <c:v>0</c:v>
                </c:pt>
                <c:pt idx="19">
                  <c:v>0</c:v>
                </c:pt>
                <c:pt idx="20">
                  <c:v>0</c:v>
                </c:pt>
                <c:pt idx="24">
                  <c:v>0</c:v>
                </c:pt>
                <c:pt idx="26">
                  <c:v>0</c:v>
                </c:pt>
                <c:pt idx="28">
                  <c:v>0</c:v>
                </c:pt>
                <c:pt idx="29">
                  <c:v>0</c:v>
                </c:pt>
                <c:pt idx="30">
                  <c:v>0</c:v>
                </c:pt>
                <c:pt idx="33">
                  <c:v>0</c:v>
                </c:pt>
                <c:pt idx="34">
                  <c:v>0</c:v>
                </c:pt>
              </c:numCache>
            </c:numRef>
          </c:val>
          <c:extLst>
            <c:ext xmlns:c16="http://schemas.microsoft.com/office/drawing/2014/chart" uri="{C3380CC4-5D6E-409C-BE32-E72D297353CC}">
              <c16:uniqueId val="{00000000-6D40-4097-B215-E48BBA1CBC5A}"/>
            </c:ext>
          </c:extLst>
        </c:ser>
        <c:ser>
          <c:idx val="1"/>
          <c:order val="1"/>
          <c:tx>
            <c:v>Revenues</c:v>
          </c:tx>
          <c:spPr>
            <a:solidFill>
              <a:srgbClr val="0C4E63"/>
            </a:solidFill>
            <a:ln w="9525">
              <a:solidFill>
                <a:srgbClr val="003F57"/>
              </a:solidFill>
            </a:ln>
            <a:effectLst/>
          </c:spPr>
          <c:invertIfNegative val="0"/>
          <c:val>
            <c:numRef>
              <c:f>Evaluation!$H$29:$H$63</c:f>
              <c:numCache>
                <c:formatCode>_("€"* #,##0.00_);_("€"* \(#,##0.00\);_("€"* "-"??_);_(@_)</c:formatCode>
                <c:ptCount val="35"/>
                <c:pt idx="3">
                  <c:v>0</c:v>
                </c:pt>
                <c:pt idx="5">
                  <c:v>0</c:v>
                </c:pt>
                <c:pt idx="6">
                  <c:v>0</c:v>
                </c:pt>
                <c:pt idx="11">
                  <c:v>0</c:v>
                </c:pt>
                <c:pt idx="12">
                  <c:v>0</c:v>
                </c:pt>
                <c:pt idx="14">
                  <c:v>0</c:v>
                </c:pt>
                <c:pt idx="17">
                  <c:v>0</c:v>
                </c:pt>
                <c:pt idx="21">
                  <c:v>0</c:v>
                </c:pt>
                <c:pt idx="22">
                  <c:v>0</c:v>
                </c:pt>
                <c:pt idx="23">
                  <c:v>0</c:v>
                </c:pt>
                <c:pt idx="27">
                  <c:v>0</c:v>
                </c:pt>
                <c:pt idx="28">
                  <c:v>0</c:v>
                </c:pt>
                <c:pt idx="31">
                  <c:v>0</c:v>
                </c:pt>
              </c:numCache>
            </c:numRef>
          </c:val>
          <c:extLst>
            <c:ext xmlns:c16="http://schemas.microsoft.com/office/drawing/2014/chart" uri="{C3380CC4-5D6E-409C-BE32-E72D297353CC}">
              <c16:uniqueId val="{00000001-6D40-4097-B215-E48BBA1CBC5A}"/>
            </c:ext>
          </c:extLst>
        </c:ser>
        <c:dLbls>
          <c:showLegendKey val="0"/>
          <c:showVal val="0"/>
          <c:showCatName val="0"/>
          <c:showSerName val="0"/>
          <c:showPercent val="0"/>
          <c:showBubbleSize val="0"/>
        </c:dLbls>
        <c:gapWidth val="100"/>
        <c:axId val="394723984"/>
        <c:axId val="394715248"/>
      </c:barChart>
      <c:valAx>
        <c:axId val="394715248"/>
        <c:scaling>
          <c:orientation val="minMax"/>
        </c:scaling>
        <c:delete val="0"/>
        <c:axPos val="b"/>
        <c:majorGridlines>
          <c:spPr>
            <a:ln w="9525" cap="flat" cmpd="sng" algn="ctr">
              <a:solidFill>
                <a:schemeClr val="bg1">
                  <a:lumMod val="50000"/>
                </a:schemeClr>
              </a:solidFill>
              <a:round/>
            </a:ln>
            <a:effectLst/>
          </c:spPr>
        </c:majorGridlines>
        <c:minorGridlines>
          <c:spPr>
            <a:ln w="9525" cap="flat" cmpd="sng" algn="ctr">
              <a:solidFill>
                <a:schemeClr val="tx1">
                  <a:lumMod val="5000"/>
                  <a:lumOff val="95000"/>
                  <a:lumOff val="10000"/>
                </a:schemeClr>
              </a:solidFill>
              <a:round/>
            </a:ln>
            <a:effectLst/>
          </c:spPr>
        </c:minorGridlines>
        <c:title>
          <c:tx>
            <c:rich>
              <a:bodyPr rot="0" spcFirstLastPara="1" vertOverflow="ellipsis" vert="horz" wrap="square" anchor="ctr" anchorCtr="1"/>
              <a:lstStyle/>
              <a:p>
                <a:pPr>
                  <a:defRPr sz="1050" b="0" i="0" u="none" strike="noStrike" baseline="0">
                    <a:solidFill>
                      <a:schemeClr val="tx1"/>
                    </a:solidFill>
                    <a:latin typeface="Arial" panose="020B0604020202020204" pitchFamily="34" charset="0"/>
                    <a:ea typeface="+mn-ea"/>
                    <a:cs typeface="Arial" panose="020B0604020202020204" pitchFamily="34" charset="0"/>
                  </a:defRPr>
                </a:pPr>
                <a:r>
                  <a:rPr lang="de-DE"/>
                  <a:t>Resource flow specific costs and revenues [k€ / t spent LIB]</a:t>
                </a:r>
              </a:p>
            </c:rich>
          </c:tx>
          <c:layout>
            <c:manualLayout>
              <c:xMode val="edge"/>
              <c:yMode val="edge"/>
              <c:x val="0.28780079258861463"/>
              <c:y val="0.91213301147806869"/>
            </c:manualLayout>
          </c:layout>
          <c:overlay val="0"/>
          <c:spPr>
            <a:noFill/>
            <a:ln>
              <a:noFill/>
            </a:ln>
            <a:effectLst/>
          </c:spPr>
          <c:txPr>
            <a:bodyPr rot="0" spcFirstLastPara="1" vertOverflow="ellipsis" vert="horz" wrap="square" anchor="ctr" anchorCtr="1"/>
            <a:lstStyle/>
            <a:p>
              <a:pPr>
                <a:defRPr sz="1050" b="0" i="0" u="none" strike="noStrike" baseline="0">
                  <a:solidFill>
                    <a:schemeClr val="tx1"/>
                  </a:solidFill>
                  <a:latin typeface="Arial" panose="020B0604020202020204" pitchFamily="34" charset="0"/>
                  <a:ea typeface="+mn-ea"/>
                  <a:cs typeface="Arial" panose="020B0604020202020204" pitchFamily="34" charset="0"/>
                </a:defRPr>
              </a:pPr>
              <a:endParaRPr lang="de-DE"/>
            </a:p>
          </c:txPr>
        </c:title>
        <c:numFmt formatCode="General" sourceLinked="0"/>
        <c:majorTickMark val="cross"/>
        <c:minorTickMark val="none"/>
        <c:tickLblPos val="nextTo"/>
        <c:spPr>
          <a:noFill/>
          <a:ln>
            <a:noFill/>
          </a:ln>
          <a:effectLst/>
        </c:spPr>
        <c:txPr>
          <a:bodyPr rot="-60000000" spcFirstLastPara="1" vertOverflow="ellipsis" vert="horz" wrap="square" anchor="ctr" anchorCtr="1"/>
          <a:lstStyle/>
          <a:p>
            <a:pPr>
              <a:defRPr sz="1050" b="0" i="0" u="none" strike="noStrike" baseline="0">
                <a:solidFill>
                  <a:schemeClr val="tx1"/>
                </a:solidFill>
                <a:latin typeface="Arial" panose="020B0604020202020204" pitchFamily="34" charset="0"/>
                <a:ea typeface="+mn-ea"/>
                <a:cs typeface="Arial" panose="020B0604020202020204" pitchFamily="34" charset="0"/>
              </a:defRPr>
            </a:pPr>
            <a:endParaRPr lang="de-DE"/>
          </a:p>
        </c:txPr>
        <c:crossAx val="394723984"/>
        <c:crosses val="autoZero"/>
        <c:crossBetween val="between"/>
      </c:valAx>
      <c:catAx>
        <c:axId val="39472398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baseline="0">
                <a:solidFill>
                  <a:schemeClr val="tx1"/>
                </a:solidFill>
                <a:latin typeface="Arial" panose="020B0604020202020204" pitchFamily="34" charset="0"/>
                <a:ea typeface="+mn-ea"/>
                <a:cs typeface="Arial" panose="020B0604020202020204" pitchFamily="34" charset="0"/>
              </a:defRPr>
            </a:pPr>
            <a:endParaRPr lang="de-DE"/>
          </a:p>
        </c:txPr>
        <c:crossAx val="394715248"/>
        <c:crosses val="autoZero"/>
        <c:auto val="1"/>
        <c:lblAlgn val="ctr"/>
        <c:lblOffset val="100"/>
        <c:noMultiLvlLbl val="0"/>
      </c:catAx>
      <c:spPr>
        <a:noFill/>
        <a:ln>
          <a:noFill/>
        </a:ln>
        <a:effectLst/>
      </c:spPr>
    </c:plotArea>
    <c:legend>
      <c:legendPos val="b"/>
      <c:layout>
        <c:manualLayout>
          <c:xMode val="edge"/>
          <c:yMode val="edge"/>
          <c:x val="0.51668201384616919"/>
          <c:y val="0.95731526616094598"/>
          <c:w val="0.24391941428421496"/>
          <c:h val="3.1838509108124337E-2"/>
        </c:manualLayout>
      </c:layout>
      <c:overlay val="0"/>
      <c:spPr>
        <a:noFill/>
        <a:ln>
          <a:noFill/>
        </a:ln>
        <a:effectLst/>
      </c:spPr>
      <c:txPr>
        <a:bodyPr rot="0" spcFirstLastPara="1" vertOverflow="ellipsis" vert="horz" wrap="square" anchor="ctr" anchorCtr="1"/>
        <a:lstStyle/>
        <a:p>
          <a:pPr>
            <a:defRPr sz="1050" b="0" i="0" u="none" strike="noStrike" baseline="0">
              <a:solidFill>
                <a:schemeClr val="tx1"/>
              </a:solidFill>
              <a:latin typeface="Arial" panose="020B0604020202020204" pitchFamily="34" charset="0"/>
              <a:ea typeface="+mn-ea"/>
              <a:cs typeface="Arial" panose="020B0604020202020204" pitchFamily="34" charset="0"/>
            </a:defRPr>
          </a:pPr>
          <a:endParaRPr lang="de-DE"/>
        </a:p>
      </c:txPr>
    </c:legend>
    <c:plotVisOnly val="1"/>
    <c:dispBlanksAs val="gap"/>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sz="1050">
          <a:solidFill>
            <a:schemeClr val="tx1"/>
          </a:solidFill>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8400656411585804"/>
          <c:y val="1.7190679014975407E-2"/>
          <c:w val="0.56197391790071738"/>
          <c:h val="0.8595477335863807"/>
        </c:manualLayout>
      </c:layout>
      <c:barChart>
        <c:barDir val="bar"/>
        <c:grouping val="clustered"/>
        <c:varyColors val="0"/>
        <c:ser>
          <c:idx val="0"/>
          <c:order val="0"/>
          <c:tx>
            <c:v>Effort</c:v>
          </c:tx>
          <c:spPr>
            <a:solidFill>
              <a:srgbClr val="FA6E00"/>
            </a:solidFill>
            <a:ln w="9525">
              <a:solidFill>
                <a:srgbClr val="FA6E00"/>
              </a:solidFill>
            </a:ln>
            <a:effectLst/>
          </c:spPr>
          <c:invertIfNegative val="0"/>
          <c:cat>
            <c:strRef>
              <c:f>(Evaluation!$B$70:$B$74,Evaluation!$B$88:$B$97,Evaluation!$B$130:$B$146,Evaluation!$B$147)</c:f>
              <c:strCache>
                <c:ptCount val="33"/>
                <c:pt idx="0">
                  <c:v>Transport</c:v>
                </c:pt>
                <c:pt idx="1">
                  <c:v>Storage</c:v>
                </c:pt>
                <c:pt idx="2">
                  <c:v>Storage (defective)</c:v>
                </c:pt>
                <c:pt idx="3">
                  <c:v>Unloading</c:v>
                </c:pt>
                <c:pt idx="4">
                  <c:v>Dismantling</c:v>
                </c:pt>
                <c:pt idx="5">
                  <c:v>Deactivation and evaporation</c:v>
                </c:pt>
                <c:pt idx="6">
                  <c:v>Exhaust gas cleaning</c:v>
                </c:pt>
                <c:pt idx="7">
                  <c:v>Shredder</c:v>
                </c:pt>
                <c:pt idx="8">
                  <c:v>Magnetic separation</c:v>
                </c:pt>
                <c:pt idx="9">
                  <c:v>Sieving</c:v>
                </c:pt>
                <c:pt idx="10">
                  <c:v>Zigzag sighting</c:v>
                </c:pt>
                <c:pt idx="11">
                  <c:v>Melting</c:v>
                </c:pt>
                <c:pt idx="12">
                  <c:v>Exhaust gas treatment</c:v>
                </c:pt>
                <c:pt idx="13">
                  <c:v>Mill (alloy)</c:v>
                </c:pt>
                <c:pt idx="14">
                  <c:v>Mill (slag)</c:v>
                </c:pt>
                <c:pt idx="15">
                  <c:v>Digestion</c:v>
                </c:pt>
                <c:pt idx="16">
                  <c:v>Leaching</c:v>
                </c:pt>
                <c:pt idx="17">
                  <c:v>Cementation Cu</c:v>
                </c:pt>
                <c:pt idx="18">
                  <c:v>Filtration Cu</c:v>
                </c:pt>
                <c:pt idx="19">
                  <c:v>Oxidation Fe</c:v>
                </c:pt>
                <c:pt idx="20">
                  <c:v>Precipitation, filtration Fe</c:v>
                </c:pt>
                <c:pt idx="21">
                  <c:v>Extraction Co</c:v>
                </c:pt>
                <c:pt idx="22">
                  <c:v>Crystallization Ni</c:v>
                </c:pt>
                <c:pt idx="23">
                  <c:v>Crystallization Co</c:v>
                </c:pt>
                <c:pt idx="24">
                  <c:v>Digestion (slag)</c:v>
                </c:pt>
                <c:pt idx="25">
                  <c:v>Leaching (slag)</c:v>
                </c:pt>
                <c:pt idx="26">
                  <c:v>Filtration SiO2, CaSO4 (slag)</c:v>
                </c:pt>
                <c:pt idx="27">
                  <c:v>Extraction Mn (slag)</c:v>
                </c:pt>
                <c:pt idx="28">
                  <c:v>Crystallization Mn (slag)</c:v>
                </c:pt>
                <c:pt idx="29">
                  <c:v>Precipitation, Filtration Li (slag)</c:v>
                </c:pt>
                <c:pt idx="30">
                  <c:v>Fresh water</c:v>
                </c:pt>
                <c:pt idx="31">
                  <c:v>Wastewater (municipal)</c:v>
                </c:pt>
                <c:pt idx="32">
                  <c:v>Wastewater (industrial)</c:v>
                </c:pt>
              </c:strCache>
            </c:strRef>
          </c:cat>
          <c:val>
            <c:numRef>
              <c:f>(Evaluation!$G$70:$G$74,Evaluation!$G$88:$G$97,Evaluation!$G$130:$G$146,Evaluation!$G$147)</c:f>
              <c:numCache>
                <c:formatCode>General</c:formatCode>
                <c:ptCount val="33"/>
                <c:pt idx="3" formatCode="_-* #,##0.000_-;\-* #,##0.000_-;_-* &quot;-&quot;??_-;_-@_-">
                  <c:v>0</c:v>
                </c:pt>
                <c:pt idx="4" formatCode="_-* #,##0.000_-;\-* #,##0.000_-;_-* &quot;-&quot;??_-;_-@_-">
                  <c:v>0</c:v>
                </c:pt>
                <c:pt idx="5" formatCode="_-* #,##0.000_-;\-* #,##0.000_-;_-* &quot;-&quot;??_-;_-@_-">
                  <c:v>0</c:v>
                </c:pt>
                <c:pt idx="6" formatCode="_-* #,##0.000_-;\-* #,##0.000_-;_-* &quot;-&quot;??_-;_-@_-">
                  <c:v>0</c:v>
                </c:pt>
                <c:pt idx="7" formatCode="_-* #,##0.000_-;\-* #,##0.000_-;_-* &quot;-&quot;??_-;_-@_-">
                  <c:v>0</c:v>
                </c:pt>
                <c:pt idx="8" formatCode="_-* #,##0.000_-;\-* #,##0.000_-;_-* &quot;-&quot;??_-;_-@_-">
                  <c:v>0</c:v>
                </c:pt>
                <c:pt idx="9" formatCode="_-* #,##0.000_-;\-* #,##0.000_-;_-* &quot;-&quot;??_-;_-@_-">
                  <c:v>0</c:v>
                </c:pt>
                <c:pt idx="10" formatCode="_-* #,##0.000_-;\-* #,##0.000_-;_-* &quot;-&quot;??_-;_-@_-">
                  <c:v>0</c:v>
                </c:pt>
                <c:pt idx="11" formatCode="_-* #,##0.000_-;\-* #,##0.000_-;_-* &quot;-&quot;??_-;_-@_-">
                  <c:v>0</c:v>
                </c:pt>
                <c:pt idx="12" formatCode="_-* #,##0.000_-;\-* #,##0.000_-;_-* &quot;-&quot;??_-;_-@_-">
                  <c:v>0</c:v>
                </c:pt>
                <c:pt idx="13" formatCode="_-* #,##0.000_-;\-* #,##0.000_-;_-* &quot;-&quot;??_-;_-@_-">
                  <c:v>0</c:v>
                </c:pt>
                <c:pt idx="14" formatCode="_-* #,##0.000_-;\-* #,##0.000_-;_-* &quot;-&quot;??_-;_-@_-">
                  <c:v>0</c:v>
                </c:pt>
                <c:pt idx="15" formatCode="_-* #,##0.000_-;\-* #,##0.000_-;_-* &quot;-&quot;??_-;_-@_-">
                  <c:v>0</c:v>
                </c:pt>
                <c:pt idx="16" formatCode="_-* #,##0.000_-;\-* #,##0.000_-;_-* &quot;-&quot;??_-;_-@_-">
                  <c:v>0</c:v>
                </c:pt>
                <c:pt idx="17" formatCode="_-* #,##0.000_-;\-* #,##0.000_-;_-* &quot;-&quot;??_-;_-@_-">
                  <c:v>0</c:v>
                </c:pt>
                <c:pt idx="18" formatCode="_-* #,##0.000_-;\-* #,##0.000_-;_-* &quot;-&quot;??_-;_-@_-">
                  <c:v>0</c:v>
                </c:pt>
                <c:pt idx="19" formatCode="_-* #,##0.000_-;\-* #,##0.000_-;_-* &quot;-&quot;??_-;_-@_-">
                  <c:v>0</c:v>
                </c:pt>
                <c:pt idx="20" formatCode="_-* #,##0.000_-;\-* #,##0.000_-;_-* &quot;-&quot;??_-;_-@_-">
                  <c:v>0</c:v>
                </c:pt>
                <c:pt idx="21" formatCode="_-* #,##0.000_-;\-* #,##0.000_-;_-* &quot;-&quot;??_-;_-@_-">
                  <c:v>0</c:v>
                </c:pt>
                <c:pt idx="22" formatCode="_-* #,##0.000_-;\-* #,##0.000_-;_-* &quot;-&quot;??_-;_-@_-">
                  <c:v>0</c:v>
                </c:pt>
                <c:pt idx="23" formatCode="_-* #,##0.000_-;\-* #,##0.000_-;_-* &quot;-&quot;??_-;_-@_-">
                  <c:v>0</c:v>
                </c:pt>
                <c:pt idx="24" formatCode="_-* #,##0.000_-;\-* #,##0.000_-;_-* &quot;-&quot;??_-;_-@_-">
                  <c:v>0</c:v>
                </c:pt>
                <c:pt idx="25" formatCode="_-* #,##0.000_-;\-* #,##0.000_-;_-* &quot;-&quot;??_-;_-@_-">
                  <c:v>0</c:v>
                </c:pt>
                <c:pt idx="26" formatCode="_-* #,##0.000_-;\-* #,##0.000_-;_-* &quot;-&quot;??_-;_-@_-">
                  <c:v>0</c:v>
                </c:pt>
                <c:pt idx="27" formatCode="_-* #,##0.000_-;\-* #,##0.000_-;_-* &quot;-&quot;??_-;_-@_-">
                  <c:v>0</c:v>
                </c:pt>
                <c:pt idx="28" formatCode="_-* #,##0.000_-;\-* #,##0.000_-;_-* &quot;-&quot;??_-;_-@_-">
                  <c:v>0</c:v>
                </c:pt>
                <c:pt idx="29" formatCode="_-* #,##0.000_-;\-* #,##0.000_-;_-* &quot;-&quot;??_-;_-@_-">
                  <c:v>0</c:v>
                </c:pt>
                <c:pt idx="30" formatCode="_-* #,##0.000_-;\-* #,##0.000_-;_-* &quot;-&quot;??_-;_-@_-">
                  <c:v>0</c:v>
                </c:pt>
                <c:pt idx="31" formatCode="_-* #,##0.000_-;\-* #,##0.000_-;_-* &quot;-&quot;??_-;_-@_-">
                  <c:v>0</c:v>
                </c:pt>
                <c:pt idx="32" formatCode="_-* #,##0.000_-;\-* #,##0.000_-;_-* &quot;-&quot;??_-;_-@_-">
                  <c:v>0</c:v>
                </c:pt>
              </c:numCache>
            </c:numRef>
          </c:val>
          <c:extLst>
            <c:ext xmlns:c16="http://schemas.microsoft.com/office/drawing/2014/chart" uri="{C3380CC4-5D6E-409C-BE32-E72D297353CC}">
              <c16:uniqueId val="{00000000-ACAC-4105-8678-29898949D179}"/>
            </c:ext>
          </c:extLst>
        </c:ser>
        <c:ser>
          <c:idx val="1"/>
          <c:order val="1"/>
          <c:tx>
            <c:strRef>
              <c:f>Evaluation!$H$69</c:f>
              <c:strCache>
                <c:ptCount val="1"/>
                <c:pt idx="0">
                  <c:v>Credits</c:v>
                </c:pt>
              </c:strCache>
            </c:strRef>
          </c:tx>
          <c:spPr>
            <a:solidFill>
              <a:srgbClr val="003F57"/>
            </a:solidFill>
            <a:ln w="9525">
              <a:solidFill>
                <a:srgbClr val="003F57"/>
              </a:solidFill>
            </a:ln>
            <a:effectLst/>
          </c:spPr>
          <c:invertIfNegative val="0"/>
          <c:cat>
            <c:strRef>
              <c:f>(Evaluation!$B$70:$B$74,Evaluation!$B$88:$B$97,Evaluation!$B$130:$B$146,Evaluation!$B$147)</c:f>
              <c:strCache>
                <c:ptCount val="33"/>
                <c:pt idx="0">
                  <c:v>Transport</c:v>
                </c:pt>
                <c:pt idx="1">
                  <c:v>Storage</c:v>
                </c:pt>
                <c:pt idx="2">
                  <c:v>Storage (defective)</c:v>
                </c:pt>
                <c:pt idx="3">
                  <c:v>Unloading</c:v>
                </c:pt>
                <c:pt idx="4">
                  <c:v>Dismantling</c:v>
                </c:pt>
                <c:pt idx="5">
                  <c:v>Deactivation and evaporation</c:v>
                </c:pt>
                <c:pt idx="6">
                  <c:v>Exhaust gas cleaning</c:v>
                </c:pt>
                <c:pt idx="7">
                  <c:v>Shredder</c:v>
                </c:pt>
                <c:pt idx="8">
                  <c:v>Magnetic separation</c:v>
                </c:pt>
                <c:pt idx="9">
                  <c:v>Sieving</c:v>
                </c:pt>
                <c:pt idx="10">
                  <c:v>Zigzag sighting</c:v>
                </c:pt>
                <c:pt idx="11">
                  <c:v>Melting</c:v>
                </c:pt>
                <c:pt idx="12">
                  <c:v>Exhaust gas treatment</c:v>
                </c:pt>
                <c:pt idx="13">
                  <c:v>Mill (alloy)</c:v>
                </c:pt>
                <c:pt idx="14">
                  <c:v>Mill (slag)</c:v>
                </c:pt>
                <c:pt idx="15">
                  <c:v>Digestion</c:v>
                </c:pt>
                <c:pt idx="16">
                  <c:v>Leaching</c:v>
                </c:pt>
                <c:pt idx="17">
                  <c:v>Cementation Cu</c:v>
                </c:pt>
                <c:pt idx="18">
                  <c:v>Filtration Cu</c:v>
                </c:pt>
                <c:pt idx="19">
                  <c:v>Oxidation Fe</c:v>
                </c:pt>
                <c:pt idx="20">
                  <c:v>Precipitation, filtration Fe</c:v>
                </c:pt>
                <c:pt idx="21">
                  <c:v>Extraction Co</c:v>
                </c:pt>
                <c:pt idx="22">
                  <c:v>Crystallization Ni</c:v>
                </c:pt>
                <c:pt idx="23">
                  <c:v>Crystallization Co</c:v>
                </c:pt>
                <c:pt idx="24">
                  <c:v>Digestion (slag)</c:v>
                </c:pt>
                <c:pt idx="25">
                  <c:v>Leaching (slag)</c:v>
                </c:pt>
                <c:pt idx="26">
                  <c:v>Filtration SiO2, CaSO4 (slag)</c:v>
                </c:pt>
                <c:pt idx="27">
                  <c:v>Extraction Mn (slag)</c:v>
                </c:pt>
                <c:pt idx="28">
                  <c:v>Crystallization Mn (slag)</c:v>
                </c:pt>
                <c:pt idx="29">
                  <c:v>Precipitation, Filtration Li (slag)</c:v>
                </c:pt>
                <c:pt idx="30">
                  <c:v>Fresh water</c:v>
                </c:pt>
                <c:pt idx="31">
                  <c:v>Wastewater (municipal)</c:v>
                </c:pt>
                <c:pt idx="32">
                  <c:v>Wastewater (industrial)</c:v>
                </c:pt>
              </c:strCache>
            </c:strRef>
          </c:cat>
          <c:val>
            <c:numRef>
              <c:f>(Evaluation!$H$70:$H$74,Evaluation!$H$88:$H$97,Evaluation!$H$130:$H$146,Evaluation!$H$147)</c:f>
              <c:numCache>
                <c:formatCode>General</c:formatCode>
                <c:ptCount val="33"/>
                <c:pt idx="3" formatCode="_-* #,##0.000_-;\-* #,##0.000_-;_-* &quot;-&quot;??_-;_-@_-">
                  <c:v>0</c:v>
                </c:pt>
                <c:pt idx="4" formatCode="_-* #,##0.000_-;\-* #,##0.000_-;_-* &quot;-&quot;??_-;_-@_-">
                  <c:v>0</c:v>
                </c:pt>
                <c:pt idx="5" formatCode="_-* #,##0.000_-;\-* #,##0.000_-;_-* &quot;-&quot;??_-;_-@_-">
                  <c:v>0</c:v>
                </c:pt>
                <c:pt idx="6" formatCode="_-* #,##0.000_-;\-* #,##0.000_-;_-* &quot;-&quot;??_-;_-@_-">
                  <c:v>0</c:v>
                </c:pt>
                <c:pt idx="7" formatCode="_-* #,##0.000_-;\-* #,##0.000_-;_-* &quot;-&quot;??_-;_-@_-">
                  <c:v>0</c:v>
                </c:pt>
                <c:pt idx="8" formatCode="_-* #,##0.000_-;\-* #,##0.000_-;_-* &quot;-&quot;??_-;_-@_-">
                  <c:v>0</c:v>
                </c:pt>
                <c:pt idx="9" formatCode="_-* #,##0.000_-;\-* #,##0.000_-;_-* &quot;-&quot;??_-;_-@_-">
                  <c:v>0</c:v>
                </c:pt>
                <c:pt idx="10" formatCode="_-* #,##0.000_-;\-* #,##0.000_-;_-* &quot;-&quot;??_-;_-@_-">
                  <c:v>0</c:v>
                </c:pt>
                <c:pt idx="11" formatCode="_-* #,##0.000_-;\-* #,##0.000_-;_-* &quot;-&quot;??_-;_-@_-">
                  <c:v>0</c:v>
                </c:pt>
                <c:pt idx="12" formatCode="_-* #,##0.000_-;\-* #,##0.000_-;_-* &quot;-&quot;??_-;_-@_-">
                  <c:v>0</c:v>
                </c:pt>
                <c:pt idx="13" formatCode="_-* #,##0.000_-;\-* #,##0.000_-;_-* &quot;-&quot;??_-;_-@_-">
                  <c:v>0</c:v>
                </c:pt>
                <c:pt idx="14" formatCode="_-* #,##0.000_-;\-* #,##0.000_-;_-* &quot;-&quot;??_-;_-@_-">
                  <c:v>0</c:v>
                </c:pt>
                <c:pt idx="15" formatCode="_-* #,##0.000_-;\-* #,##0.000_-;_-* &quot;-&quot;??_-;_-@_-">
                  <c:v>0</c:v>
                </c:pt>
                <c:pt idx="16" formatCode="_-* #,##0.000_-;\-* #,##0.000_-;_-* &quot;-&quot;??_-;_-@_-">
                  <c:v>0</c:v>
                </c:pt>
                <c:pt idx="17" formatCode="_-* #,##0.000_-;\-* #,##0.000_-;_-* &quot;-&quot;??_-;_-@_-">
                  <c:v>0</c:v>
                </c:pt>
                <c:pt idx="18" formatCode="_-* #,##0.000_-;\-* #,##0.000_-;_-* &quot;-&quot;??_-;_-@_-">
                  <c:v>0</c:v>
                </c:pt>
                <c:pt idx="19" formatCode="_-* #,##0.000_-;\-* #,##0.000_-;_-* &quot;-&quot;??_-;_-@_-">
                  <c:v>0</c:v>
                </c:pt>
                <c:pt idx="20" formatCode="_-* #,##0.000_-;\-* #,##0.000_-;_-* &quot;-&quot;??_-;_-@_-">
                  <c:v>0</c:v>
                </c:pt>
                <c:pt idx="21" formatCode="_-* #,##0.000_-;\-* #,##0.000_-;_-* &quot;-&quot;??_-;_-@_-">
                  <c:v>0</c:v>
                </c:pt>
                <c:pt idx="22" formatCode="_-* #,##0.000_-;\-* #,##0.000_-;_-* &quot;-&quot;??_-;_-@_-">
                  <c:v>0</c:v>
                </c:pt>
                <c:pt idx="23" formatCode="_-* #,##0.000_-;\-* #,##0.000_-;_-* &quot;-&quot;??_-;_-@_-">
                  <c:v>0</c:v>
                </c:pt>
                <c:pt idx="24" formatCode="_-* #,##0.000_-;\-* #,##0.000_-;_-* &quot;-&quot;??_-;_-@_-">
                  <c:v>0</c:v>
                </c:pt>
                <c:pt idx="25" formatCode="_-* #,##0.000_-;\-* #,##0.000_-;_-* &quot;-&quot;??_-;_-@_-">
                  <c:v>0</c:v>
                </c:pt>
                <c:pt idx="26" formatCode="_-* #,##0.000_-;\-* #,##0.000_-;_-* &quot;-&quot;??_-;_-@_-">
                  <c:v>0</c:v>
                </c:pt>
                <c:pt idx="27" formatCode="_-* #,##0.000_-;\-* #,##0.000_-;_-* &quot;-&quot;??_-;_-@_-">
                  <c:v>0</c:v>
                </c:pt>
                <c:pt idx="28" formatCode="_-* #,##0.000_-;\-* #,##0.000_-;_-* &quot;-&quot;??_-;_-@_-">
                  <c:v>0</c:v>
                </c:pt>
                <c:pt idx="29" formatCode="_-* #,##0.000_-;\-* #,##0.000_-;_-* &quot;-&quot;??_-;_-@_-">
                  <c:v>0</c:v>
                </c:pt>
                <c:pt idx="30" formatCode="_-* #,##0.000_-;\-* #,##0.000_-;_-* &quot;-&quot;??_-;_-@_-">
                  <c:v>0</c:v>
                </c:pt>
                <c:pt idx="31" formatCode="_-* #,##0.000_-;\-* #,##0.000_-;_-* &quot;-&quot;??_-;_-@_-">
                  <c:v>0</c:v>
                </c:pt>
                <c:pt idx="32" formatCode="_-* #,##0.000_-;\-* #,##0.000_-;_-* &quot;-&quot;??_-;_-@_-">
                  <c:v>0</c:v>
                </c:pt>
              </c:numCache>
            </c:numRef>
          </c:val>
          <c:extLst>
            <c:ext xmlns:c16="http://schemas.microsoft.com/office/drawing/2014/chart" uri="{C3380CC4-5D6E-409C-BE32-E72D297353CC}">
              <c16:uniqueId val="{00000001-ACAC-4105-8678-29898949D179}"/>
            </c:ext>
          </c:extLst>
        </c:ser>
        <c:dLbls>
          <c:showLegendKey val="0"/>
          <c:showVal val="0"/>
          <c:showCatName val="0"/>
          <c:showSerName val="0"/>
          <c:showPercent val="0"/>
          <c:showBubbleSize val="0"/>
        </c:dLbls>
        <c:gapWidth val="100"/>
        <c:axId val="394723984"/>
        <c:axId val="394715248"/>
      </c:barChart>
      <c:valAx>
        <c:axId val="394715248"/>
        <c:scaling>
          <c:orientation val="minMax"/>
        </c:scaling>
        <c:delete val="0"/>
        <c:axPos val="b"/>
        <c:majorGridlines>
          <c:spPr>
            <a:ln w="9525" cap="flat" cmpd="sng" algn="ctr">
              <a:solidFill>
                <a:schemeClr val="bg1">
                  <a:lumMod val="50000"/>
                </a:schemeClr>
              </a:solidFill>
              <a:round/>
            </a:ln>
            <a:effectLst/>
          </c:spPr>
        </c:majorGridlines>
        <c:minorGridlines>
          <c:spPr>
            <a:ln w="9525" cap="flat" cmpd="sng" algn="ctr">
              <a:solidFill>
                <a:schemeClr val="tx1">
                  <a:lumMod val="5000"/>
                  <a:lumOff val="95000"/>
                  <a:lumOff val="10000"/>
                </a:schemeClr>
              </a:solidFill>
              <a:round/>
            </a:ln>
            <a:effectLst/>
          </c:spPr>
        </c:minorGridlines>
        <c:title>
          <c:tx>
            <c:rich>
              <a:bodyPr rot="0" spcFirstLastPara="1" vertOverflow="ellipsis" vert="horz" wrap="square" anchor="ctr" anchorCtr="1"/>
              <a:lstStyle/>
              <a:p>
                <a:pPr>
                  <a:defRPr sz="1050" b="0" i="0" u="none" strike="noStrike" baseline="0">
                    <a:solidFill>
                      <a:schemeClr val="tx1"/>
                    </a:solidFill>
                    <a:latin typeface="Arial" panose="020B0604020202020204" pitchFamily="34" charset="0"/>
                    <a:ea typeface="+mn-ea"/>
                    <a:cs typeface="Arial" panose="020B0604020202020204" pitchFamily="34" charset="0"/>
                  </a:defRPr>
                </a:pPr>
                <a:r>
                  <a:rPr lang="de-DE"/>
                  <a:t>Process specific climate impacts [t CO2-eq./ t spent</a:t>
                </a:r>
                <a:r>
                  <a:rPr lang="de-DE" baseline="0"/>
                  <a:t> LIB]</a:t>
                </a:r>
                <a:endParaRPr lang="de-DE"/>
              </a:p>
            </c:rich>
          </c:tx>
          <c:layout>
            <c:manualLayout>
              <c:xMode val="edge"/>
              <c:yMode val="edge"/>
              <c:x val="0.30291494774896516"/>
              <c:y val="0.91133444876863556"/>
            </c:manualLayout>
          </c:layout>
          <c:overlay val="0"/>
          <c:spPr>
            <a:noFill/>
            <a:ln>
              <a:noFill/>
            </a:ln>
            <a:effectLst/>
          </c:spPr>
          <c:txPr>
            <a:bodyPr rot="0" spcFirstLastPara="1" vertOverflow="ellipsis" vert="horz" wrap="square" anchor="ctr" anchorCtr="1"/>
            <a:lstStyle/>
            <a:p>
              <a:pPr>
                <a:defRPr sz="1050" b="0" i="0" u="none" strike="noStrike" baseline="0">
                  <a:solidFill>
                    <a:schemeClr val="tx1"/>
                  </a:solidFill>
                  <a:latin typeface="Arial" panose="020B0604020202020204" pitchFamily="34" charset="0"/>
                  <a:ea typeface="+mn-ea"/>
                  <a:cs typeface="Arial" panose="020B0604020202020204" pitchFamily="34" charset="0"/>
                </a:defRPr>
              </a:pPr>
              <a:endParaRPr lang="de-DE"/>
            </a:p>
          </c:txPr>
        </c:title>
        <c:numFmt formatCode="General" sourceLinked="0"/>
        <c:majorTickMark val="cross"/>
        <c:minorTickMark val="none"/>
        <c:tickLblPos val="nextTo"/>
        <c:spPr>
          <a:noFill/>
          <a:ln>
            <a:noFill/>
          </a:ln>
          <a:effectLst/>
        </c:spPr>
        <c:txPr>
          <a:bodyPr rot="-60000000" spcFirstLastPara="1" vertOverflow="ellipsis" vert="horz" wrap="square" anchor="ctr" anchorCtr="1"/>
          <a:lstStyle/>
          <a:p>
            <a:pPr>
              <a:defRPr sz="1050" b="0" i="0" u="none" strike="noStrike" baseline="0">
                <a:solidFill>
                  <a:schemeClr val="tx1"/>
                </a:solidFill>
                <a:latin typeface="Arial" panose="020B0604020202020204" pitchFamily="34" charset="0"/>
                <a:ea typeface="+mn-ea"/>
                <a:cs typeface="Arial" panose="020B0604020202020204" pitchFamily="34" charset="0"/>
              </a:defRPr>
            </a:pPr>
            <a:endParaRPr lang="de-DE"/>
          </a:p>
        </c:txPr>
        <c:crossAx val="394723984"/>
        <c:crosses val="autoZero"/>
        <c:crossBetween val="between"/>
        <c:majorUnit val="0.5"/>
      </c:valAx>
      <c:catAx>
        <c:axId val="39472398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baseline="0">
                <a:solidFill>
                  <a:schemeClr val="tx1"/>
                </a:solidFill>
                <a:latin typeface="Arial" panose="020B0604020202020204" pitchFamily="34" charset="0"/>
                <a:ea typeface="+mn-ea"/>
                <a:cs typeface="Arial" panose="020B0604020202020204" pitchFamily="34" charset="0"/>
              </a:defRPr>
            </a:pPr>
            <a:endParaRPr lang="de-DE"/>
          </a:p>
        </c:txPr>
        <c:crossAx val="394715248"/>
        <c:crosses val="autoZero"/>
        <c:auto val="1"/>
        <c:lblAlgn val="ctr"/>
        <c:lblOffset val="100"/>
        <c:noMultiLvlLbl val="0"/>
      </c:catAx>
      <c:spPr>
        <a:noFill/>
        <a:ln>
          <a:noFill/>
        </a:ln>
        <a:effectLst/>
      </c:spPr>
    </c:plotArea>
    <c:legend>
      <c:legendPos val="b"/>
      <c:layout>
        <c:manualLayout>
          <c:xMode val="edge"/>
          <c:yMode val="edge"/>
          <c:x val="0.52445879367047432"/>
          <c:y val="0.95732225207054966"/>
          <c:w val="0.27053437903124539"/>
          <c:h val="3.1833298323692874E-2"/>
        </c:manualLayout>
      </c:layout>
      <c:overlay val="0"/>
      <c:spPr>
        <a:noFill/>
        <a:ln>
          <a:noFill/>
        </a:ln>
        <a:effectLst/>
      </c:spPr>
      <c:txPr>
        <a:bodyPr rot="0" spcFirstLastPara="1" vertOverflow="ellipsis" vert="horz" wrap="square" anchor="ctr" anchorCtr="1"/>
        <a:lstStyle/>
        <a:p>
          <a:pPr>
            <a:defRPr sz="1050" b="0" i="0" u="none" strike="noStrike" baseline="0">
              <a:solidFill>
                <a:schemeClr val="tx1"/>
              </a:solidFill>
              <a:latin typeface="Arial" panose="020B0604020202020204" pitchFamily="34" charset="0"/>
              <a:ea typeface="+mn-ea"/>
              <a:cs typeface="Arial" panose="020B0604020202020204" pitchFamily="34" charset="0"/>
            </a:defRPr>
          </a:pPr>
          <a:endParaRPr lang="de-DE"/>
        </a:p>
      </c:txPr>
    </c:legend>
    <c:plotVisOnly val="1"/>
    <c:dispBlanksAs val="gap"/>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sz="1050">
          <a:solidFill>
            <a:schemeClr val="tx1"/>
          </a:solidFill>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41382900024711983"/>
          <c:y val="2.1199510444294894E-2"/>
          <c:w val="0.49934638598205855"/>
          <c:h val="0.86020927626688493"/>
        </c:manualLayout>
      </c:layout>
      <c:barChart>
        <c:barDir val="bar"/>
        <c:grouping val="clustered"/>
        <c:varyColors val="0"/>
        <c:ser>
          <c:idx val="0"/>
          <c:order val="0"/>
          <c:spPr>
            <a:solidFill>
              <a:srgbClr val="AEBEB6"/>
            </a:solidFill>
            <a:ln>
              <a:noFill/>
            </a:ln>
            <a:effectLst/>
          </c:spPr>
          <c:invertIfNegative val="0"/>
          <c:dPt>
            <c:idx val="0"/>
            <c:invertIfNegative val="0"/>
            <c:bubble3D val="0"/>
            <c:spPr>
              <a:solidFill>
                <a:srgbClr val="003F57"/>
              </a:solidFill>
              <a:ln>
                <a:noFill/>
              </a:ln>
              <a:effectLst/>
            </c:spPr>
            <c:extLst>
              <c:ext xmlns:c16="http://schemas.microsoft.com/office/drawing/2014/chart" uri="{C3380CC4-5D6E-409C-BE32-E72D297353CC}">
                <c16:uniqueId val="{00000001-30E8-4365-8105-0B0DDB6D6E40}"/>
              </c:ext>
            </c:extLst>
          </c:dPt>
          <c:dPt>
            <c:idx val="1"/>
            <c:invertIfNegative val="0"/>
            <c:bubble3D val="0"/>
            <c:spPr>
              <a:solidFill>
                <a:srgbClr val="003F57"/>
              </a:solidFill>
              <a:ln>
                <a:noFill/>
              </a:ln>
              <a:effectLst/>
            </c:spPr>
            <c:extLst>
              <c:ext xmlns:c16="http://schemas.microsoft.com/office/drawing/2014/chart" uri="{C3380CC4-5D6E-409C-BE32-E72D297353CC}">
                <c16:uniqueId val="{00000003-30E8-4365-8105-0B0DDB6D6E40}"/>
              </c:ext>
            </c:extLst>
          </c:dPt>
          <c:dPt>
            <c:idx val="3"/>
            <c:invertIfNegative val="0"/>
            <c:bubble3D val="0"/>
            <c:spPr>
              <a:solidFill>
                <a:srgbClr val="003F57"/>
              </a:solidFill>
              <a:ln>
                <a:noFill/>
              </a:ln>
              <a:effectLst/>
            </c:spPr>
            <c:extLst>
              <c:ext xmlns:c16="http://schemas.microsoft.com/office/drawing/2014/chart" uri="{C3380CC4-5D6E-409C-BE32-E72D297353CC}">
                <c16:uniqueId val="{00000007-30E8-4365-8105-0B0DDB6D6E40}"/>
              </c:ext>
            </c:extLst>
          </c:dPt>
          <c:dPt>
            <c:idx val="4"/>
            <c:invertIfNegative val="0"/>
            <c:bubble3D val="0"/>
            <c:spPr>
              <a:solidFill>
                <a:srgbClr val="003F57"/>
              </a:solidFill>
              <a:ln>
                <a:noFill/>
              </a:ln>
              <a:effectLst/>
            </c:spPr>
            <c:extLst>
              <c:ext xmlns:c16="http://schemas.microsoft.com/office/drawing/2014/chart" uri="{C3380CC4-5D6E-409C-BE32-E72D297353CC}">
                <c16:uniqueId val="{00000009-30E8-4365-8105-0B0DDB6D6E40}"/>
              </c:ext>
            </c:extLst>
          </c:dPt>
          <c:dPt>
            <c:idx val="5"/>
            <c:invertIfNegative val="0"/>
            <c:bubble3D val="0"/>
            <c:spPr>
              <a:solidFill>
                <a:srgbClr val="FA6E00"/>
              </a:solidFill>
              <a:ln>
                <a:noFill/>
              </a:ln>
              <a:effectLst/>
            </c:spPr>
            <c:extLst>
              <c:ext xmlns:c16="http://schemas.microsoft.com/office/drawing/2014/chart" uri="{C3380CC4-5D6E-409C-BE32-E72D297353CC}">
                <c16:uniqueId val="{0000000B-30E8-4365-8105-0B0DDB6D6E40}"/>
              </c:ext>
            </c:extLst>
          </c:dPt>
          <c:dPt>
            <c:idx val="6"/>
            <c:invertIfNegative val="0"/>
            <c:bubble3D val="0"/>
            <c:spPr>
              <a:solidFill>
                <a:srgbClr val="FA6E00"/>
              </a:solidFill>
              <a:ln>
                <a:noFill/>
              </a:ln>
              <a:effectLst/>
            </c:spPr>
            <c:extLst>
              <c:ext xmlns:c16="http://schemas.microsoft.com/office/drawing/2014/chart" uri="{C3380CC4-5D6E-409C-BE32-E72D297353CC}">
                <c16:uniqueId val="{0000000D-30E8-4365-8105-0B0DDB6D6E40}"/>
              </c:ext>
            </c:extLst>
          </c:dPt>
          <c:dPt>
            <c:idx val="7"/>
            <c:invertIfNegative val="0"/>
            <c:bubble3D val="0"/>
            <c:spPr>
              <a:solidFill>
                <a:srgbClr val="FA6E00"/>
              </a:solidFill>
              <a:ln>
                <a:noFill/>
              </a:ln>
              <a:effectLst/>
            </c:spPr>
            <c:extLst>
              <c:ext xmlns:c16="http://schemas.microsoft.com/office/drawing/2014/chart" uri="{C3380CC4-5D6E-409C-BE32-E72D297353CC}">
                <c16:uniqueId val="{0000000F-30E8-4365-8105-0B0DDB6D6E40}"/>
              </c:ext>
            </c:extLst>
          </c:dPt>
          <c:dPt>
            <c:idx val="8"/>
            <c:invertIfNegative val="0"/>
            <c:bubble3D val="0"/>
            <c:spPr>
              <a:solidFill>
                <a:srgbClr val="FA6E00"/>
              </a:solidFill>
              <a:ln>
                <a:noFill/>
              </a:ln>
              <a:effectLst/>
            </c:spPr>
            <c:extLst>
              <c:ext xmlns:c16="http://schemas.microsoft.com/office/drawing/2014/chart" uri="{C3380CC4-5D6E-409C-BE32-E72D297353CC}">
                <c16:uniqueId val="{00000011-30E8-4365-8105-0B0DDB6D6E40}"/>
              </c:ext>
            </c:extLst>
          </c:dPt>
          <c:dPt>
            <c:idx val="9"/>
            <c:invertIfNegative val="0"/>
            <c:bubble3D val="0"/>
            <c:spPr>
              <a:solidFill>
                <a:srgbClr val="FA6E00"/>
              </a:solidFill>
              <a:ln>
                <a:noFill/>
              </a:ln>
              <a:effectLst/>
            </c:spPr>
            <c:extLst>
              <c:ext xmlns:c16="http://schemas.microsoft.com/office/drawing/2014/chart" uri="{C3380CC4-5D6E-409C-BE32-E72D297353CC}">
                <c16:uniqueId val="{00000013-30E8-4365-8105-0B0DDB6D6E40}"/>
              </c:ext>
            </c:extLst>
          </c:dPt>
          <c:dPt>
            <c:idx val="10"/>
            <c:invertIfNegative val="0"/>
            <c:bubble3D val="0"/>
            <c:spPr>
              <a:solidFill>
                <a:srgbClr val="FA6E00"/>
              </a:solidFill>
              <a:ln>
                <a:noFill/>
              </a:ln>
              <a:effectLst/>
            </c:spPr>
            <c:extLst>
              <c:ext xmlns:c16="http://schemas.microsoft.com/office/drawing/2014/chart" uri="{C3380CC4-5D6E-409C-BE32-E72D297353CC}">
                <c16:uniqueId val="{00000015-30E8-4365-8105-0B0DDB6D6E40}"/>
              </c:ext>
            </c:extLst>
          </c:dPt>
          <c:dPt>
            <c:idx val="11"/>
            <c:invertIfNegative val="0"/>
            <c:bubble3D val="0"/>
            <c:spPr>
              <a:solidFill>
                <a:srgbClr val="FA6E00"/>
              </a:solidFill>
              <a:ln>
                <a:noFill/>
              </a:ln>
              <a:effectLst/>
            </c:spPr>
            <c:extLst>
              <c:ext xmlns:c16="http://schemas.microsoft.com/office/drawing/2014/chart" uri="{C3380CC4-5D6E-409C-BE32-E72D297353CC}">
                <c16:uniqueId val="{00000017-30E8-4365-8105-0B0DDB6D6E40}"/>
              </c:ext>
            </c:extLst>
          </c:dPt>
          <c:dPt>
            <c:idx val="12"/>
            <c:invertIfNegative val="0"/>
            <c:bubble3D val="0"/>
            <c:spPr>
              <a:solidFill>
                <a:srgbClr val="FA6E00"/>
              </a:solidFill>
              <a:ln>
                <a:noFill/>
              </a:ln>
              <a:effectLst/>
            </c:spPr>
            <c:extLst>
              <c:ext xmlns:c16="http://schemas.microsoft.com/office/drawing/2014/chart" uri="{C3380CC4-5D6E-409C-BE32-E72D297353CC}">
                <c16:uniqueId val="{00000019-30E8-4365-8105-0B0DDB6D6E40}"/>
              </c:ext>
            </c:extLst>
          </c:dPt>
          <c:dPt>
            <c:idx val="13"/>
            <c:invertIfNegative val="0"/>
            <c:bubble3D val="0"/>
            <c:spPr>
              <a:pattFill prst="dkDnDiag">
                <a:fgClr>
                  <a:srgbClr val="FA6E00"/>
                </a:fgClr>
                <a:bgClr>
                  <a:schemeClr val="bg1"/>
                </a:bgClr>
              </a:pattFill>
              <a:ln>
                <a:solidFill>
                  <a:srgbClr val="FA6E00"/>
                </a:solidFill>
              </a:ln>
              <a:effectLst/>
            </c:spPr>
            <c:extLst>
              <c:ext xmlns:c16="http://schemas.microsoft.com/office/drawing/2014/chart" uri="{C3380CC4-5D6E-409C-BE32-E72D297353CC}">
                <c16:uniqueId val="{0000001B-30E8-4365-8105-0B0DDB6D6E40}"/>
              </c:ext>
            </c:extLst>
          </c:dPt>
          <c:dPt>
            <c:idx val="14"/>
            <c:invertIfNegative val="0"/>
            <c:bubble3D val="0"/>
            <c:spPr>
              <a:solidFill>
                <a:srgbClr val="AEBEB6"/>
              </a:solidFill>
              <a:ln>
                <a:noFill/>
              </a:ln>
              <a:effectLst/>
            </c:spPr>
            <c:extLst>
              <c:ext xmlns:c16="http://schemas.microsoft.com/office/drawing/2014/chart" uri="{C3380CC4-5D6E-409C-BE32-E72D297353CC}">
                <c16:uniqueId val="{0000001D-30E8-4365-8105-0B0DDB6D6E40}"/>
              </c:ext>
            </c:extLst>
          </c:dPt>
          <c:dPt>
            <c:idx val="15"/>
            <c:invertIfNegative val="0"/>
            <c:bubble3D val="0"/>
            <c:spPr>
              <a:solidFill>
                <a:srgbClr val="AEBEB6"/>
              </a:solidFill>
              <a:ln>
                <a:noFill/>
              </a:ln>
              <a:effectLst/>
            </c:spPr>
            <c:extLst>
              <c:ext xmlns:c16="http://schemas.microsoft.com/office/drawing/2014/chart" uri="{C3380CC4-5D6E-409C-BE32-E72D297353CC}">
                <c16:uniqueId val="{0000001F-30E8-4365-8105-0B0DDB6D6E40}"/>
              </c:ext>
            </c:extLst>
          </c:dPt>
          <c:dPt>
            <c:idx val="16"/>
            <c:invertIfNegative val="0"/>
            <c:bubble3D val="0"/>
            <c:spPr>
              <a:solidFill>
                <a:srgbClr val="AEBEB6"/>
              </a:solidFill>
              <a:ln>
                <a:noFill/>
              </a:ln>
              <a:effectLst/>
            </c:spPr>
            <c:extLst>
              <c:ext xmlns:c16="http://schemas.microsoft.com/office/drawing/2014/chart" uri="{C3380CC4-5D6E-409C-BE32-E72D297353CC}">
                <c16:uniqueId val="{00000021-30E8-4365-8105-0B0DDB6D6E40}"/>
              </c:ext>
            </c:extLst>
          </c:dPt>
          <c:dPt>
            <c:idx val="17"/>
            <c:invertIfNegative val="0"/>
            <c:bubble3D val="0"/>
            <c:spPr>
              <a:pattFill prst="dkDnDiag">
                <a:fgClr>
                  <a:srgbClr val="AEBEB6"/>
                </a:fgClr>
                <a:bgClr>
                  <a:schemeClr val="bg1"/>
                </a:bgClr>
              </a:pattFill>
              <a:ln>
                <a:solidFill>
                  <a:srgbClr val="AEBEB6"/>
                </a:solidFill>
              </a:ln>
              <a:effectLst/>
            </c:spPr>
            <c:extLst>
              <c:ext xmlns:c16="http://schemas.microsoft.com/office/drawing/2014/chart" uri="{C3380CC4-5D6E-409C-BE32-E72D297353CC}">
                <c16:uniqueId val="{00000023-30E8-4365-8105-0B0DDB6D6E40}"/>
              </c:ext>
            </c:extLst>
          </c:dPt>
          <c:dPt>
            <c:idx val="18"/>
            <c:invertIfNegative val="0"/>
            <c:bubble3D val="0"/>
            <c:spPr>
              <a:solidFill>
                <a:srgbClr val="AEBEB6"/>
              </a:solidFill>
              <a:ln>
                <a:noFill/>
              </a:ln>
              <a:effectLst/>
            </c:spPr>
            <c:extLst>
              <c:ext xmlns:c16="http://schemas.microsoft.com/office/drawing/2014/chart" uri="{C3380CC4-5D6E-409C-BE32-E72D297353CC}">
                <c16:uniqueId val="{00000025-30E8-4365-8105-0B0DDB6D6E40}"/>
              </c:ext>
            </c:extLst>
          </c:dPt>
          <c:dPt>
            <c:idx val="19"/>
            <c:invertIfNegative val="0"/>
            <c:bubble3D val="0"/>
            <c:spPr>
              <a:solidFill>
                <a:srgbClr val="AEBEB6"/>
              </a:solidFill>
              <a:ln>
                <a:noFill/>
              </a:ln>
              <a:effectLst/>
            </c:spPr>
            <c:extLst>
              <c:ext xmlns:c16="http://schemas.microsoft.com/office/drawing/2014/chart" uri="{C3380CC4-5D6E-409C-BE32-E72D297353CC}">
                <c16:uniqueId val="{00000027-30E8-4365-8105-0B0DDB6D6E40}"/>
              </c:ext>
            </c:extLst>
          </c:dPt>
          <c:dPt>
            <c:idx val="20"/>
            <c:invertIfNegative val="0"/>
            <c:bubble3D val="0"/>
            <c:spPr>
              <a:solidFill>
                <a:srgbClr val="AEBEB6"/>
              </a:solidFill>
              <a:ln>
                <a:noFill/>
              </a:ln>
              <a:effectLst/>
            </c:spPr>
            <c:extLst>
              <c:ext xmlns:c16="http://schemas.microsoft.com/office/drawing/2014/chart" uri="{C3380CC4-5D6E-409C-BE32-E72D297353CC}">
                <c16:uniqueId val="{00000029-30E8-4365-8105-0B0DDB6D6E40}"/>
              </c:ext>
            </c:extLst>
          </c:dPt>
          <c:dPt>
            <c:idx val="21"/>
            <c:invertIfNegative val="0"/>
            <c:bubble3D val="0"/>
            <c:spPr>
              <a:solidFill>
                <a:srgbClr val="AEBEB6"/>
              </a:solidFill>
              <a:ln>
                <a:noFill/>
              </a:ln>
              <a:effectLst/>
            </c:spPr>
            <c:extLst>
              <c:ext xmlns:c16="http://schemas.microsoft.com/office/drawing/2014/chart" uri="{C3380CC4-5D6E-409C-BE32-E72D297353CC}">
                <c16:uniqueId val="{0000002B-30E8-4365-8105-0B0DDB6D6E40}"/>
              </c:ext>
            </c:extLst>
          </c:dPt>
          <c:dPt>
            <c:idx val="22"/>
            <c:invertIfNegative val="0"/>
            <c:bubble3D val="0"/>
            <c:spPr>
              <a:solidFill>
                <a:srgbClr val="AEBEB6"/>
              </a:solidFill>
              <a:ln>
                <a:noFill/>
              </a:ln>
              <a:effectLst/>
            </c:spPr>
            <c:extLst>
              <c:ext xmlns:c16="http://schemas.microsoft.com/office/drawing/2014/chart" uri="{C3380CC4-5D6E-409C-BE32-E72D297353CC}">
                <c16:uniqueId val="{0000002D-30E8-4365-8105-0B0DDB6D6E40}"/>
              </c:ext>
            </c:extLst>
          </c:dPt>
          <c:dPt>
            <c:idx val="23"/>
            <c:invertIfNegative val="0"/>
            <c:bubble3D val="0"/>
            <c:spPr>
              <a:solidFill>
                <a:srgbClr val="AEBEB6"/>
              </a:solidFill>
              <a:ln>
                <a:noFill/>
              </a:ln>
              <a:effectLst/>
            </c:spPr>
            <c:extLst>
              <c:ext xmlns:c16="http://schemas.microsoft.com/office/drawing/2014/chart" uri="{C3380CC4-5D6E-409C-BE32-E72D297353CC}">
                <c16:uniqueId val="{0000002F-30E8-4365-8105-0B0DDB6D6E40}"/>
              </c:ext>
            </c:extLst>
          </c:dPt>
          <c:dPt>
            <c:idx val="24"/>
            <c:invertIfNegative val="0"/>
            <c:bubble3D val="0"/>
            <c:spPr>
              <a:solidFill>
                <a:srgbClr val="AEBEB6"/>
              </a:solidFill>
              <a:ln>
                <a:noFill/>
              </a:ln>
              <a:effectLst/>
            </c:spPr>
            <c:extLst>
              <c:ext xmlns:c16="http://schemas.microsoft.com/office/drawing/2014/chart" uri="{C3380CC4-5D6E-409C-BE32-E72D297353CC}">
                <c16:uniqueId val="{00000031-30E8-4365-8105-0B0DDB6D6E40}"/>
              </c:ext>
            </c:extLst>
          </c:dPt>
          <c:dPt>
            <c:idx val="25"/>
            <c:invertIfNegative val="0"/>
            <c:bubble3D val="0"/>
            <c:spPr>
              <a:solidFill>
                <a:srgbClr val="AEBEB6"/>
              </a:solidFill>
              <a:ln>
                <a:noFill/>
              </a:ln>
              <a:effectLst/>
            </c:spPr>
            <c:extLst>
              <c:ext xmlns:c16="http://schemas.microsoft.com/office/drawing/2014/chart" uri="{C3380CC4-5D6E-409C-BE32-E72D297353CC}">
                <c16:uniqueId val="{00000033-30E8-4365-8105-0B0DDB6D6E40}"/>
              </c:ext>
            </c:extLst>
          </c:dPt>
          <c:dPt>
            <c:idx val="26"/>
            <c:invertIfNegative val="0"/>
            <c:bubble3D val="0"/>
            <c:spPr>
              <a:solidFill>
                <a:srgbClr val="AEBEB6"/>
              </a:solidFill>
              <a:ln>
                <a:noFill/>
              </a:ln>
              <a:effectLst/>
            </c:spPr>
            <c:extLst>
              <c:ext xmlns:c16="http://schemas.microsoft.com/office/drawing/2014/chart" uri="{C3380CC4-5D6E-409C-BE32-E72D297353CC}">
                <c16:uniqueId val="{00000035-30E8-4365-8105-0B0DDB6D6E40}"/>
              </c:ext>
            </c:extLst>
          </c:dPt>
          <c:dPt>
            <c:idx val="27"/>
            <c:invertIfNegative val="0"/>
            <c:bubble3D val="0"/>
            <c:spPr>
              <a:solidFill>
                <a:srgbClr val="AEBEB6"/>
              </a:solidFill>
              <a:ln>
                <a:solidFill>
                  <a:srgbClr val="AEBEB6"/>
                </a:solidFill>
              </a:ln>
              <a:effectLst/>
            </c:spPr>
            <c:extLst>
              <c:ext xmlns:c16="http://schemas.microsoft.com/office/drawing/2014/chart" uri="{C3380CC4-5D6E-409C-BE32-E72D297353CC}">
                <c16:uniqueId val="{00000037-30E8-4365-8105-0B0DDB6D6E40}"/>
              </c:ext>
            </c:extLst>
          </c:dPt>
          <c:dPt>
            <c:idx val="28"/>
            <c:invertIfNegative val="0"/>
            <c:bubble3D val="0"/>
            <c:spPr>
              <a:solidFill>
                <a:srgbClr val="AEBEB6"/>
              </a:solidFill>
              <a:ln>
                <a:solidFill>
                  <a:srgbClr val="AEBEB6"/>
                </a:solidFill>
              </a:ln>
              <a:effectLst/>
            </c:spPr>
            <c:extLst>
              <c:ext xmlns:c16="http://schemas.microsoft.com/office/drawing/2014/chart" uri="{C3380CC4-5D6E-409C-BE32-E72D297353CC}">
                <c16:uniqueId val="{00000039-30E8-4365-8105-0B0DDB6D6E40}"/>
              </c:ext>
            </c:extLst>
          </c:dPt>
          <c:dPt>
            <c:idx val="32"/>
            <c:invertIfNegative val="0"/>
            <c:bubble3D val="0"/>
            <c:spPr>
              <a:solidFill>
                <a:srgbClr val="AEBEB6"/>
              </a:solidFill>
              <a:ln>
                <a:solidFill>
                  <a:srgbClr val="AEBEB6"/>
                </a:solidFill>
              </a:ln>
              <a:effectLst/>
            </c:spPr>
            <c:extLst>
              <c:ext xmlns:c16="http://schemas.microsoft.com/office/drawing/2014/chart" uri="{C3380CC4-5D6E-409C-BE32-E72D297353CC}">
                <c16:uniqueId val="{00000041-30E8-4365-8105-0B0DDB6D6E40}"/>
              </c:ext>
            </c:extLst>
          </c:dPt>
          <c:dPt>
            <c:idx val="33"/>
            <c:invertIfNegative val="0"/>
            <c:bubble3D val="0"/>
            <c:spPr>
              <a:solidFill>
                <a:srgbClr val="AEBEB6"/>
              </a:solidFill>
              <a:ln>
                <a:solidFill>
                  <a:srgbClr val="AEBEB6"/>
                </a:solidFill>
              </a:ln>
              <a:effectLst/>
            </c:spPr>
            <c:extLst>
              <c:ext xmlns:c16="http://schemas.microsoft.com/office/drawing/2014/chart" uri="{C3380CC4-5D6E-409C-BE32-E72D297353CC}">
                <c16:uniqueId val="{00000043-30E8-4365-8105-0B0DDB6D6E40}"/>
              </c:ext>
            </c:extLst>
          </c:dPt>
          <c:dPt>
            <c:idx val="34"/>
            <c:invertIfNegative val="0"/>
            <c:bubble3D val="0"/>
            <c:spPr>
              <a:solidFill>
                <a:srgbClr val="AEBEB6"/>
              </a:solidFill>
              <a:ln>
                <a:solidFill>
                  <a:srgbClr val="AEBEB6"/>
                </a:solidFill>
              </a:ln>
              <a:effectLst/>
            </c:spPr>
            <c:extLst>
              <c:ext xmlns:c16="http://schemas.microsoft.com/office/drawing/2014/chart" uri="{C3380CC4-5D6E-409C-BE32-E72D297353CC}">
                <c16:uniqueId val="{00000045-30E8-4365-8105-0B0DDB6D6E40}"/>
              </c:ext>
            </c:extLst>
          </c:dPt>
          <c:dPt>
            <c:idx val="35"/>
            <c:invertIfNegative val="0"/>
            <c:bubble3D val="0"/>
            <c:spPr>
              <a:solidFill>
                <a:srgbClr val="AEBEB6"/>
              </a:solidFill>
              <a:ln>
                <a:solidFill>
                  <a:srgbClr val="AEBEB6"/>
                </a:solidFill>
              </a:ln>
              <a:effectLst/>
            </c:spPr>
            <c:extLst>
              <c:ext xmlns:c16="http://schemas.microsoft.com/office/drawing/2014/chart" uri="{C3380CC4-5D6E-409C-BE32-E72D297353CC}">
                <c16:uniqueId val="{00000045-EB94-4E7F-B061-BF18E045AC1F}"/>
              </c:ext>
            </c:extLst>
          </c:dPt>
          <c:dPt>
            <c:idx val="36"/>
            <c:invertIfNegative val="0"/>
            <c:bubble3D val="0"/>
            <c:spPr>
              <a:solidFill>
                <a:srgbClr val="AEBEB6"/>
              </a:solidFill>
              <a:ln>
                <a:solidFill>
                  <a:srgbClr val="AEBEB6"/>
                </a:solidFill>
              </a:ln>
              <a:effectLst/>
            </c:spPr>
            <c:extLst>
              <c:ext xmlns:c16="http://schemas.microsoft.com/office/drawing/2014/chart" uri="{C3380CC4-5D6E-409C-BE32-E72D297353CC}">
                <c16:uniqueId val="{00000041-C3CE-40BA-B5A9-D21ADB84F99B}"/>
              </c:ext>
            </c:extLst>
          </c:dPt>
          <c:dPt>
            <c:idx val="37"/>
            <c:invertIfNegative val="0"/>
            <c:bubble3D val="0"/>
            <c:spPr>
              <a:solidFill>
                <a:srgbClr val="AEBEB6"/>
              </a:solidFill>
              <a:ln>
                <a:solidFill>
                  <a:srgbClr val="AEBEB6"/>
                </a:solidFill>
              </a:ln>
              <a:effectLst/>
            </c:spPr>
            <c:extLst>
              <c:ext xmlns:c16="http://schemas.microsoft.com/office/drawing/2014/chart" uri="{C3380CC4-5D6E-409C-BE32-E72D297353CC}">
                <c16:uniqueId val="{00000043-C3CE-40BA-B5A9-D21ADB84F99B}"/>
              </c:ext>
            </c:extLst>
          </c:dPt>
          <c:cat>
            <c:strRef>
              <c:extLst>
                <c:ext xmlns:c15="http://schemas.microsoft.com/office/drawing/2012/chart" uri="{02D57815-91ED-43cb-92C2-25804820EDAC}">
                  <c15:fullRef>
                    <c15:sqref>'R3_Econ.'!$B$12:$B$50</c15:sqref>
                  </c15:fullRef>
                </c:ext>
              </c:extLst>
              <c:f>'R3_Econ.'!$B$12:$B$49</c:f>
              <c:strCache>
                <c:ptCount val="38"/>
                <c:pt idx="0">
                  <c:v>Storage</c:v>
                </c:pt>
                <c:pt idx="1">
                  <c:v>Storage (deffective)</c:v>
                </c:pt>
                <c:pt idx="2">
                  <c:v>Discharge</c:v>
                </c:pt>
                <c:pt idx="3">
                  <c:v>Disassembly</c:v>
                </c:pt>
                <c:pt idx="4">
                  <c:v>Deactivation and evaporation</c:v>
                </c:pt>
                <c:pt idx="5">
                  <c:v>Exhaust gas cleaning</c:v>
                </c:pt>
                <c:pt idx="6">
                  <c:v>Shredder</c:v>
                </c:pt>
                <c:pt idx="7">
                  <c:v>Magnetic seperation</c:v>
                </c:pt>
                <c:pt idx="8">
                  <c:v>Sieving</c:v>
                </c:pt>
                <c:pt idx="9">
                  <c:v>Zigzag sighting</c:v>
                </c:pt>
                <c:pt idx="10">
                  <c:v>Blast furnace</c:v>
                </c:pt>
                <c:pt idx="11">
                  <c:v>Exhaust gas cleaning</c:v>
                </c:pt>
                <c:pt idx="12">
                  <c:v>Mill (alloy)</c:v>
                </c:pt>
                <c:pt idx="13">
                  <c:v>Mill (slag)</c:v>
                </c:pt>
                <c:pt idx="14">
                  <c:v>Digestion</c:v>
                </c:pt>
                <c:pt idx="15">
                  <c:v>Leaching</c:v>
                </c:pt>
                <c:pt idx="16">
                  <c:v>Cementation Cu</c:v>
                </c:pt>
                <c:pt idx="17">
                  <c:v>Filtration Cu</c:v>
                </c:pt>
                <c:pt idx="18">
                  <c:v>Oxidation Fe</c:v>
                </c:pt>
                <c:pt idx="19">
                  <c:v>Precipitation Fe</c:v>
                </c:pt>
                <c:pt idx="20">
                  <c:v>Filtration Fe</c:v>
                </c:pt>
                <c:pt idx="21">
                  <c:v>Extraction Co</c:v>
                </c:pt>
                <c:pt idx="22">
                  <c:v>Scrubbing Co</c:v>
                </c:pt>
                <c:pt idx="23">
                  <c:v>Stripping Co</c:v>
                </c:pt>
                <c:pt idx="24">
                  <c:v>Cristallisation Ni</c:v>
                </c:pt>
                <c:pt idx="25">
                  <c:v>Cristallisation Co</c:v>
                </c:pt>
                <c:pt idx="26">
                  <c:v>Digestion (slag)</c:v>
                </c:pt>
                <c:pt idx="27">
                  <c:v>Leaching (slag)</c:v>
                </c:pt>
                <c:pt idx="28">
                  <c:v>Filter SiO2, CaSO4 (slag)</c:v>
                </c:pt>
                <c:pt idx="29">
                  <c:v>Oxidation Fe (slag)</c:v>
                </c:pt>
                <c:pt idx="30">
                  <c:v>Precipitation Fe, Al (slag)</c:v>
                </c:pt>
                <c:pt idx="31">
                  <c:v>Filtration Fe, Al (slag)</c:v>
                </c:pt>
                <c:pt idx="32">
                  <c:v>Extraction Mn (slag)</c:v>
                </c:pt>
                <c:pt idx="33">
                  <c:v>Scrubbing Mn (slag)</c:v>
                </c:pt>
                <c:pt idx="34">
                  <c:v>Stripping Mn (slag)</c:v>
                </c:pt>
                <c:pt idx="35">
                  <c:v>Cristallisation Mn (slag)</c:v>
                </c:pt>
                <c:pt idx="36">
                  <c:v>Precipitation Li (slag)</c:v>
                </c:pt>
                <c:pt idx="37">
                  <c:v>Filtration Li (slag)</c:v>
                </c:pt>
              </c:strCache>
            </c:strRef>
          </c:cat>
          <c:val>
            <c:numRef>
              <c:extLst>
                <c:ext xmlns:c15="http://schemas.microsoft.com/office/drawing/2012/chart" uri="{02D57815-91ED-43cb-92C2-25804820EDAC}">
                  <c15:fullRef>
                    <c15:sqref>'R3_Econ.'!$J$12:$J$50</c15:sqref>
                  </c15:fullRef>
                </c:ext>
              </c:extLst>
              <c:f>'R3_Econ.'!$J$12:$J$49</c:f>
              <c:numCache>
                <c:formatCode>_-* #,##0\ "€"_-;\-* #,##0\ "€"_-;_-* "-"??\ "€"_-;_-@_-</c:formatCode>
                <c:ptCount val="38"/>
                <c:pt idx="0">
                  <c:v>0</c:v>
                </c:pt>
                <c:pt idx="1">
                  <c:v>31046.719681908551</c:v>
                </c:pt>
                <c:pt idx="2">
                  <c:v>0</c:v>
                </c:pt>
                <c:pt idx="3">
                  <c:v>0</c:v>
                </c:pt>
                <c:pt idx="4">
                  <c:v>0</c:v>
                </c:pt>
                <c:pt idx="5">
                  <c:v>1304625.4613501837</c:v>
                </c:pt>
                <c:pt idx="6">
                  <c:v>278411.26870287571</c:v>
                </c:pt>
                <c:pt idx="7">
                  <c:v>106361.14337639287</c:v>
                </c:pt>
                <c:pt idx="8">
                  <c:v>98287.645353367945</c:v>
                </c:pt>
                <c:pt idx="9">
                  <c:v>82420.226157814366</c:v>
                </c:pt>
                <c:pt idx="10">
                  <c:v>343550.00772862375</c:v>
                </c:pt>
                <c:pt idx="11">
                  <c:v>1238975.9354187171</c:v>
                </c:pt>
                <c:pt idx="12">
                  <c:v>237319.88603660912</c:v>
                </c:pt>
                <c:pt idx="13">
                  <c:v>128985.10331857877</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numCache>
            </c:numRef>
          </c:val>
          <c:extLst>
            <c:ext xmlns:c15="http://schemas.microsoft.com/office/drawing/2012/chart" uri="{02D57815-91ED-43cb-92C2-25804820EDAC}">
              <c15:categoryFilterExceptions>
                <c15:categoryFilterException>
                  <c15:sqref>'R3_Econ.'!$J$50</c15:sqref>
                  <c15:spPr xmlns:c15="http://schemas.microsoft.com/office/drawing/2012/chart">
                    <a:solidFill>
                      <a:srgbClr val="AEBEB6"/>
                    </a:solidFill>
                    <a:ln>
                      <a:solidFill>
                        <a:srgbClr val="AEBEB6"/>
                      </a:solidFill>
                    </a:ln>
                    <a:effectLst/>
                  </c15:spPr>
                  <c15:invertIfNegative val="0"/>
                  <c15:bubble3D val="0"/>
                </c15:categoryFilterException>
              </c15:categoryFilterExceptions>
            </c:ext>
            <c:ext xmlns:c16="http://schemas.microsoft.com/office/drawing/2014/chart" uri="{C3380CC4-5D6E-409C-BE32-E72D297353CC}">
              <c16:uniqueId val="{0000004C-30E8-4365-8105-0B0DDB6D6E40}"/>
            </c:ext>
          </c:extLst>
        </c:ser>
        <c:dLbls>
          <c:showLegendKey val="0"/>
          <c:showVal val="0"/>
          <c:showCatName val="0"/>
          <c:showSerName val="0"/>
          <c:showPercent val="0"/>
          <c:showBubbleSize val="0"/>
        </c:dLbls>
        <c:gapWidth val="219"/>
        <c:axId val="646288960"/>
        <c:axId val="646292704"/>
      </c:barChart>
      <c:catAx>
        <c:axId val="646288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solidFill>
                <a:latin typeface="Arial" panose="020B0604020202020204" pitchFamily="34" charset="0"/>
                <a:ea typeface="+mn-ea"/>
                <a:cs typeface="Arial" panose="020B0604020202020204" pitchFamily="34" charset="0"/>
              </a:defRPr>
            </a:pPr>
            <a:endParaRPr lang="de-DE"/>
          </a:p>
        </c:txPr>
        <c:crossAx val="646292704"/>
        <c:crosses val="autoZero"/>
        <c:auto val="1"/>
        <c:lblAlgn val="ctr"/>
        <c:lblOffset val="100"/>
        <c:noMultiLvlLbl val="0"/>
      </c:catAx>
      <c:valAx>
        <c:axId val="646292704"/>
        <c:scaling>
          <c:orientation val="minMax"/>
        </c:scaling>
        <c:delete val="0"/>
        <c:axPos val="b"/>
        <c:majorGridlines>
          <c:spPr>
            <a:ln w="9525" cap="flat" cmpd="sng" algn="ctr">
              <a:solidFill>
                <a:schemeClr val="bg1">
                  <a:lumMod val="50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solidFill>
                <a:latin typeface="Arial" panose="020B0604020202020204" pitchFamily="34" charset="0"/>
                <a:ea typeface="+mn-ea"/>
                <a:cs typeface="Arial" panose="020B0604020202020204" pitchFamily="34" charset="0"/>
              </a:defRPr>
            </a:pPr>
            <a:endParaRPr lang="de-DE"/>
          </a:p>
        </c:txPr>
        <c:crossAx val="646288960"/>
        <c:crosses val="autoZero"/>
        <c:crossBetween val="between"/>
        <c:majorUnit val="500000"/>
        <c:dispUnits>
          <c:builtInUnit val="millions"/>
          <c:dispUnitsLbl>
            <c:layout>
              <c:manualLayout>
                <c:xMode val="edge"/>
                <c:yMode val="edge"/>
                <c:x val="0.41996374193600866"/>
                <c:y val="0.91839308727990876"/>
              </c:manualLayout>
            </c:layout>
            <c:tx>
              <c:rich>
                <a:bodyPr rot="0" spcFirstLastPara="1" vertOverflow="ellipsis" vert="horz" wrap="square" anchor="ctr" anchorCtr="1"/>
                <a:lstStyle/>
                <a:p>
                  <a:pPr>
                    <a:defRPr sz="1050" b="0" i="0" u="none" strike="noStrike" kern="1200" baseline="0">
                      <a:solidFill>
                        <a:schemeClr val="tx1"/>
                      </a:solidFill>
                      <a:latin typeface="Arial" panose="020B0604020202020204" pitchFamily="34" charset="0"/>
                      <a:ea typeface="+mn-ea"/>
                      <a:cs typeface="Arial" panose="020B0604020202020204" pitchFamily="34" charset="0"/>
                    </a:defRPr>
                  </a:pPr>
                  <a:r>
                    <a:rPr lang="en-US"/>
                    <a:t>Process specific needed investment [M€]</a:t>
                  </a:r>
                </a:p>
              </c:rich>
            </c:tx>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Arial" panose="020B0604020202020204" pitchFamily="34" charset="0"/>
                    <a:ea typeface="+mn-ea"/>
                    <a:cs typeface="Arial" panose="020B0604020202020204" pitchFamily="34" charset="0"/>
                  </a:defRPr>
                </a:pPr>
                <a:endParaRPr lang="de-DE"/>
              </a:p>
            </c:txPr>
          </c:dispUnitsLbl>
        </c:dispUnits>
      </c:valAx>
      <c:spPr>
        <a:noFill/>
        <a:ln>
          <a:noFill/>
        </a:ln>
        <a:effectLst/>
      </c:spPr>
    </c:plotArea>
    <c:plotVisOnly val="1"/>
    <c:dispBlanksAs val="gap"/>
    <c:showDLblsOverMax val="0"/>
  </c:chart>
  <c:spPr>
    <a:noFill/>
    <a:ln w="9525" cap="flat" cmpd="sng" algn="ctr">
      <a:noFill/>
      <a:round/>
    </a:ln>
    <a:effectLst/>
  </c:spPr>
  <c:txPr>
    <a:bodyPr/>
    <a:lstStyle/>
    <a:p>
      <a:pPr>
        <a:defRPr sz="1050">
          <a:solidFill>
            <a:schemeClr val="tx1"/>
          </a:solidFill>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60" b="0" i="0" u="none" strike="noStrike" kern="1200" spc="0" baseline="0">
                <a:solidFill>
                  <a:schemeClr val="tx1"/>
                </a:solidFill>
                <a:latin typeface="+mn-lt"/>
                <a:ea typeface="+mn-ea"/>
                <a:cs typeface="+mn-cs"/>
              </a:defRPr>
            </a:pPr>
            <a:r>
              <a:rPr lang="en-US"/>
              <a:t>Payback period</a:t>
            </a:r>
          </a:p>
        </c:rich>
      </c:tx>
      <c:layout>
        <c:manualLayout>
          <c:xMode val="edge"/>
          <c:yMode val="edge"/>
          <c:x val="0.3766834441935174"/>
          <c:y val="2.6164231023979415E-2"/>
        </c:manualLayout>
      </c:layout>
      <c:overlay val="0"/>
      <c:spPr>
        <a:noFill/>
        <a:ln>
          <a:noFill/>
        </a:ln>
        <a:effectLst/>
      </c:spPr>
      <c:txPr>
        <a:bodyPr rot="0" spcFirstLastPara="1" vertOverflow="ellipsis" vert="horz" wrap="square" anchor="ctr" anchorCtr="1"/>
        <a:lstStyle/>
        <a:p>
          <a:pPr>
            <a:defRPr sz="126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Evaluation!$O$5</c:f>
              <c:strCache>
                <c:ptCount val="1"/>
                <c:pt idx="0">
                  <c:v>Payback period</c:v>
                </c:pt>
              </c:strCache>
            </c:strRef>
          </c:tx>
          <c:spPr>
            <a:solidFill>
              <a:schemeClr val="accent1"/>
            </a:solidFill>
            <a:ln>
              <a:noFill/>
            </a:ln>
            <a:effectLst/>
          </c:spPr>
          <c:invertIfNegative val="0"/>
          <c:dPt>
            <c:idx val="0"/>
            <c:invertIfNegative val="0"/>
            <c:bubble3D val="0"/>
            <c:spPr>
              <a:solidFill>
                <a:srgbClr val="003F57"/>
              </a:solidFill>
              <a:ln>
                <a:noFill/>
              </a:ln>
              <a:effectLst/>
            </c:spPr>
            <c:extLst>
              <c:ext xmlns:c16="http://schemas.microsoft.com/office/drawing/2014/chart" uri="{C3380CC4-5D6E-409C-BE32-E72D297353CC}">
                <c16:uniqueId val="{00000001-5332-4CB4-B19C-77C35D9CFA65}"/>
              </c:ext>
            </c:extLst>
          </c:dPt>
          <c:dPt>
            <c:idx val="1"/>
            <c:invertIfNegative val="0"/>
            <c:bubble3D val="0"/>
            <c:spPr>
              <a:solidFill>
                <a:srgbClr val="FA6E00"/>
              </a:solidFill>
              <a:ln>
                <a:noFill/>
              </a:ln>
              <a:effectLst/>
            </c:spPr>
            <c:extLst>
              <c:ext xmlns:c16="http://schemas.microsoft.com/office/drawing/2014/chart" uri="{C3380CC4-5D6E-409C-BE32-E72D297353CC}">
                <c16:uniqueId val="{00000002-5332-4CB4-B19C-77C35D9CFA65}"/>
              </c:ext>
            </c:extLst>
          </c:dPt>
          <c:dPt>
            <c:idx val="2"/>
            <c:invertIfNegative val="0"/>
            <c:bubble3D val="0"/>
            <c:spPr>
              <a:solidFill>
                <a:srgbClr val="99B2BC"/>
              </a:solidFill>
              <a:ln>
                <a:noFill/>
              </a:ln>
              <a:effectLst/>
            </c:spPr>
            <c:extLst>
              <c:ext xmlns:c16="http://schemas.microsoft.com/office/drawing/2014/chart" uri="{C3380CC4-5D6E-409C-BE32-E72D297353CC}">
                <c16:uniqueId val="{00000003-5332-4CB4-B19C-77C35D9CFA65}"/>
              </c:ext>
            </c:extLst>
          </c:dPt>
          <c:cat>
            <c:strRef>
              <c:f>Evaluation!$P$3:$R$3</c:f>
              <c:strCache>
                <c:ptCount val="3"/>
                <c:pt idx="0">
                  <c:v>Route 1</c:v>
                </c:pt>
                <c:pt idx="1">
                  <c:v>Route 2</c:v>
                </c:pt>
                <c:pt idx="2">
                  <c:v>Route 3</c:v>
                </c:pt>
              </c:strCache>
            </c:strRef>
          </c:cat>
          <c:val>
            <c:numRef>
              <c:f>Evaluation!$P$5:$R$5</c:f>
              <c:numCache>
                <c:formatCode>#,##0.00</c:formatCode>
                <c:ptCount val="3"/>
                <c:pt idx="0">
                  <c:v>0</c:v>
                </c:pt>
                <c:pt idx="1">
                  <c:v>0</c:v>
                </c:pt>
                <c:pt idx="2">
                  <c:v>0</c:v>
                </c:pt>
              </c:numCache>
            </c:numRef>
          </c:val>
          <c:extLst>
            <c:ext xmlns:c16="http://schemas.microsoft.com/office/drawing/2014/chart" uri="{C3380CC4-5D6E-409C-BE32-E72D297353CC}">
              <c16:uniqueId val="{00000000-5332-4CB4-B19C-77C35D9CFA65}"/>
            </c:ext>
          </c:extLst>
        </c:ser>
        <c:dLbls>
          <c:showLegendKey val="0"/>
          <c:showVal val="0"/>
          <c:showCatName val="0"/>
          <c:showSerName val="0"/>
          <c:showPercent val="0"/>
          <c:showBubbleSize val="0"/>
        </c:dLbls>
        <c:gapWidth val="219"/>
        <c:overlap val="-27"/>
        <c:axId val="756350127"/>
        <c:axId val="756348047"/>
      </c:barChart>
      <c:catAx>
        <c:axId val="756350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de-DE"/>
          </a:p>
        </c:txPr>
        <c:crossAx val="756348047"/>
        <c:crosses val="autoZero"/>
        <c:auto val="1"/>
        <c:lblAlgn val="ctr"/>
        <c:lblOffset val="100"/>
        <c:noMultiLvlLbl val="0"/>
      </c:catAx>
      <c:valAx>
        <c:axId val="756348047"/>
        <c:scaling>
          <c:orientation val="minMax"/>
          <c:min val="0"/>
        </c:scaling>
        <c:delete val="0"/>
        <c:axPos val="l"/>
        <c:majorGridlines>
          <c:spPr>
            <a:ln w="9525" cap="flat" cmpd="sng" algn="ctr">
              <a:solidFill>
                <a:schemeClr val="bg1">
                  <a:lumMod val="50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solidFill>
                    <a:latin typeface="+mn-lt"/>
                    <a:ea typeface="+mn-ea"/>
                    <a:cs typeface="+mn-cs"/>
                  </a:defRPr>
                </a:pPr>
                <a:r>
                  <a:rPr lang="de-DE"/>
                  <a:t>Payback period [Years]</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de-DE"/>
            </a:p>
          </c:txPr>
        </c:title>
        <c:numFmt formatCode="#,##0.00" sourceLinked="1"/>
        <c:majorTickMark val="none"/>
        <c:minorTickMark val="none"/>
        <c:tickLblPos val="low"/>
        <c:spPr>
          <a:noFill/>
          <a:ln>
            <a:noFill/>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de-DE"/>
          </a:p>
        </c:txPr>
        <c:crossAx val="756350127"/>
        <c:crosses val="autoZero"/>
        <c:crossBetween val="between"/>
      </c:valAx>
      <c:spPr>
        <a:noFill/>
        <a:ln w="25400">
          <a:noFill/>
        </a:ln>
        <a:effectLst/>
      </c:spPr>
    </c:plotArea>
    <c:plotVisOnly val="1"/>
    <c:dispBlanksAs val="gap"/>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sz="1050">
          <a:solidFill>
            <a:schemeClr val="tx1"/>
          </a:solidFill>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60" b="0" i="0" u="none" strike="noStrike" kern="1200" spc="0" baseline="0">
                <a:solidFill>
                  <a:schemeClr val="tx1"/>
                </a:solidFill>
                <a:latin typeface="+mn-lt"/>
                <a:ea typeface="+mn-ea"/>
                <a:cs typeface="+mn-cs"/>
              </a:defRPr>
            </a:pPr>
            <a:r>
              <a:rPr lang="en-US"/>
              <a:t>Revenues &amp; Costs </a:t>
            </a:r>
          </a:p>
        </c:rich>
      </c:tx>
      <c:layout>
        <c:manualLayout>
          <c:xMode val="edge"/>
          <c:yMode val="edge"/>
          <c:x val="0.31637390345973337"/>
          <c:y val="2.3664787355425852E-2"/>
        </c:manualLayout>
      </c:layout>
      <c:overlay val="0"/>
      <c:spPr>
        <a:noFill/>
        <a:ln>
          <a:noFill/>
        </a:ln>
        <a:effectLst/>
      </c:spPr>
      <c:txPr>
        <a:bodyPr rot="0" spcFirstLastPara="1" vertOverflow="ellipsis" vert="horz" wrap="square" anchor="ctr" anchorCtr="1"/>
        <a:lstStyle/>
        <a:p>
          <a:pPr>
            <a:defRPr sz="126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1"/>
          <c:order val="0"/>
          <c:tx>
            <c:v>Revenues</c:v>
          </c:tx>
          <c:spPr>
            <a:solidFill>
              <a:srgbClr val="003F57"/>
            </a:solidFill>
            <a:ln>
              <a:noFill/>
            </a:ln>
            <a:effectLst/>
          </c:spPr>
          <c:invertIfNegative val="0"/>
          <c:dPt>
            <c:idx val="0"/>
            <c:invertIfNegative val="0"/>
            <c:bubble3D val="0"/>
            <c:extLst>
              <c:ext xmlns:c16="http://schemas.microsoft.com/office/drawing/2014/chart" uri="{C3380CC4-5D6E-409C-BE32-E72D297353CC}">
                <c16:uniqueId val="{00000009-682A-4C31-B575-F187C40BCA37}"/>
              </c:ext>
            </c:extLst>
          </c:dPt>
          <c:dPt>
            <c:idx val="1"/>
            <c:invertIfNegative val="0"/>
            <c:bubble3D val="0"/>
            <c:spPr>
              <a:solidFill>
                <a:srgbClr val="FA6E00"/>
              </a:solidFill>
              <a:ln>
                <a:noFill/>
              </a:ln>
              <a:effectLst/>
            </c:spPr>
            <c:extLst>
              <c:ext xmlns:c16="http://schemas.microsoft.com/office/drawing/2014/chart" uri="{C3380CC4-5D6E-409C-BE32-E72D297353CC}">
                <c16:uniqueId val="{00000007-682A-4C31-B575-F187C40BCA37}"/>
              </c:ext>
            </c:extLst>
          </c:dPt>
          <c:dPt>
            <c:idx val="2"/>
            <c:invertIfNegative val="0"/>
            <c:bubble3D val="0"/>
            <c:spPr>
              <a:solidFill>
                <a:srgbClr val="99B2BC"/>
              </a:solidFill>
              <a:ln>
                <a:noFill/>
              </a:ln>
              <a:effectLst/>
            </c:spPr>
            <c:extLst>
              <c:ext xmlns:c16="http://schemas.microsoft.com/office/drawing/2014/chart" uri="{C3380CC4-5D6E-409C-BE32-E72D297353CC}">
                <c16:uniqueId val="{00000008-682A-4C31-B575-F187C40BCA37}"/>
              </c:ext>
            </c:extLst>
          </c:dPt>
          <c:val>
            <c:numRef>
              <c:f>Evaluation!$P$9:$R$9</c:f>
              <c:numCache>
                <c:formatCode>#,##0.00</c:formatCode>
                <c:ptCount val="3"/>
                <c:pt idx="0" formatCode="0.00">
                  <c:v>0</c:v>
                </c:pt>
                <c:pt idx="1">
                  <c:v>0</c:v>
                </c:pt>
                <c:pt idx="2">
                  <c:v>0</c:v>
                </c:pt>
              </c:numCache>
            </c:numRef>
          </c:val>
          <c:extLst>
            <c:ext xmlns:c16="http://schemas.microsoft.com/office/drawing/2014/chart" uri="{C3380CC4-5D6E-409C-BE32-E72D297353CC}">
              <c16:uniqueId val="{00000004-1B2D-4FEA-A650-CA3FD360403A}"/>
            </c:ext>
          </c:extLst>
        </c:ser>
        <c:ser>
          <c:idx val="0"/>
          <c:order val="1"/>
          <c:tx>
            <c:v>Costs</c:v>
          </c:tx>
          <c:spPr>
            <a:pattFill prst="pct60">
              <a:fgClr>
                <a:srgbClr val="003F57"/>
              </a:fgClr>
              <a:bgClr>
                <a:schemeClr val="bg1"/>
              </a:bgClr>
            </a:pattFill>
            <a:ln>
              <a:noFill/>
            </a:ln>
            <a:effectLst/>
          </c:spPr>
          <c:invertIfNegative val="0"/>
          <c:dPt>
            <c:idx val="0"/>
            <c:invertIfNegative val="0"/>
            <c:bubble3D val="0"/>
            <c:spPr>
              <a:pattFill prst="pct60">
                <a:fgClr>
                  <a:srgbClr val="003F57"/>
                </a:fgClr>
                <a:bgClr>
                  <a:schemeClr val="bg1"/>
                </a:bgClr>
              </a:pattFill>
              <a:ln>
                <a:solidFill>
                  <a:srgbClr val="003F57"/>
                </a:solidFill>
              </a:ln>
              <a:effectLst/>
            </c:spPr>
            <c:extLst>
              <c:ext xmlns:c16="http://schemas.microsoft.com/office/drawing/2014/chart" uri="{C3380CC4-5D6E-409C-BE32-E72D297353CC}">
                <c16:uniqueId val="{00000001-1B2D-4FEA-A650-CA3FD360403A}"/>
              </c:ext>
            </c:extLst>
          </c:dPt>
          <c:dPt>
            <c:idx val="1"/>
            <c:invertIfNegative val="0"/>
            <c:bubble3D val="0"/>
            <c:spPr>
              <a:pattFill prst="pct60">
                <a:fgClr>
                  <a:srgbClr val="FA6E00"/>
                </a:fgClr>
                <a:bgClr>
                  <a:schemeClr val="bg1"/>
                </a:bgClr>
              </a:pattFill>
              <a:ln>
                <a:solidFill>
                  <a:srgbClr val="FA6E00"/>
                </a:solidFill>
              </a:ln>
              <a:effectLst/>
            </c:spPr>
            <c:extLst>
              <c:ext xmlns:c16="http://schemas.microsoft.com/office/drawing/2014/chart" uri="{C3380CC4-5D6E-409C-BE32-E72D297353CC}">
                <c16:uniqueId val="{00000002-1B2D-4FEA-A650-CA3FD360403A}"/>
              </c:ext>
            </c:extLst>
          </c:dPt>
          <c:dPt>
            <c:idx val="2"/>
            <c:invertIfNegative val="0"/>
            <c:bubble3D val="0"/>
            <c:spPr>
              <a:pattFill prst="pct60">
                <a:fgClr>
                  <a:srgbClr val="99B2BC"/>
                </a:fgClr>
                <a:bgClr>
                  <a:schemeClr val="bg1"/>
                </a:bgClr>
              </a:pattFill>
              <a:ln>
                <a:solidFill>
                  <a:srgbClr val="99B2BC"/>
                </a:solidFill>
              </a:ln>
              <a:effectLst/>
            </c:spPr>
            <c:extLst>
              <c:ext xmlns:c16="http://schemas.microsoft.com/office/drawing/2014/chart" uri="{C3380CC4-5D6E-409C-BE32-E72D297353CC}">
                <c16:uniqueId val="{00000003-1B2D-4FEA-A650-CA3FD360403A}"/>
              </c:ext>
            </c:extLst>
          </c:dPt>
          <c:cat>
            <c:strRef>
              <c:f>Evaluation!$P$3:$R$3</c:f>
              <c:strCache>
                <c:ptCount val="3"/>
                <c:pt idx="0">
                  <c:v>Route 1</c:v>
                </c:pt>
                <c:pt idx="1">
                  <c:v>Route 2</c:v>
                </c:pt>
                <c:pt idx="2">
                  <c:v>Route 3</c:v>
                </c:pt>
              </c:strCache>
            </c:strRef>
          </c:cat>
          <c:val>
            <c:numRef>
              <c:f>Evaluation!$P$8:$R$8</c:f>
              <c:numCache>
                <c:formatCode>0.00</c:formatCode>
                <c:ptCount val="3"/>
                <c:pt idx="0">
                  <c:v>0</c:v>
                </c:pt>
                <c:pt idx="1">
                  <c:v>0</c:v>
                </c:pt>
                <c:pt idx="2">
                  <c:v>0</c:v>
                </c:pt>
              </c:numCache>
            </c:numRef>
          </c:val>
          <c:extLst>
            <c:ext xmlns:c16="http://schemas.microsoft.com/office/drawing/2014/chart" uri="{C3380CC4-5D6E-409C-BE32-E72D297353CC}">
              <c16:uniqueId val="{00000000-1B2D-4FEA-A650-CA3FD360403A}"/>
            </c:ext>
          </c:extLst>
        </c:ser>
        <c:dLbls>
          <c:showLegendKey val="0"/>
          <c:showVal val="0"/>
          <c:showCatName val="0"/>
          <c:showSerName val="0"/>
          <c:showPercent val="0"/>
          <c:showBubbleSize val="0"/>
        </c:dLbls>
        <c:gapWidth val="219"/>
        <c:overlap val="-27"/>
        <c:axId val="756350127"/>
        <c:axId val="756348047"/>
      </c:barChart>
      <c:catAx>
        <c:axId val="756350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de-DE"/>
          </a:p>
        </c:txPr>
        <c:crossAx val="756348047"/>
        <c:crosses val="autoZero"/>
        <c:auto val="1"/>
        <c:lblAlgn val="ctr"/>
        <c:lblOffset val="100"/>
        <c:noMultiLvlLbl val="0"/>
      </c:catAx>
      <c:valAx>
        <c:axId val="756348047"/>
        <c:scaling>
          <c:orientation val="minMax"/>
          <c:min val="0"/>
        </c:scaling>
        <c:delete val="0"/>
        <c:axPos val="l"/>
        <c:majorGridlines>
          <c:spPr>
            <a:ln w="9525" cap="flat" cmpd="sng" algn="ctr">
              <a:solidFill>
                <a:schemeClr val="bg1">
                  <a:lumMod val="50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solidFill>
                    <a:latin typeface="+mn-lt"/>
                    <a:ea typeface="+mn-ea"/>
                    <a:cs typeface="+mn-cs"/>
                  </a:defRPr>
                </a:pPr>
                <a:r>
                  <a:rPr lang="de-DE"/>
                  <a:t>Revenues and costs [€/ t spent LIB]</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de-DE"/>
            </a:p>
          </c:txPr>
        </c:title>
        <c:numFmt formatCode="0" sourceLinked="0"/>
        <c:majorTickMark val="none"/>
        <c:minorTickMark val="none"/>
        <c:tickLblPos val="low"/>
        <c:spPr>
          <a:noFill/>
          <a:ln>
            <a:noFill/>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de-DE"/>
          </a:p>
        </c:txPr>
        <c:crossAx val="756350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de-DE"/>
        </a:p>
      </c:txPr>
    </c:legend>
    <c:plotVisOnly val="1"/>
    <c:dispBlanksAs val="gap"/>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sz="1050">
          <a:solidFill>
            <a:schemeClr val="tx1"/>
          </a:solidFill>
        </a:defRPr>
      </a:pPr>
      <a:endParaRPr lang="de-DE"/>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60" b="0" i="0" u="none" strike="noStrike" kern="1200" spc="0" baseline="0">
                <a:solidFill>
                  <a:schemeClr val="tx1"/>
                </a:solidFill>
                <a:latin typeface="+mn-lt"/>
                <a:ea typeface="+mn-ea"/>
                <a:cs typeface="+mn-cs"/>
              </a:defRPr>
            </a:pPr>
            <a:r>
              <a:rPr lang="en-US"/>
              <a:t>Climate impacts</a:t>
            </a:r>
          </a:p>
        </c:rich>
      </c:tx>
      <c:layout>
        <c:manualLayout>
          <c:xMode val="edge"/>
          <c:yMode val="edge"/>
          <c:x val="0.34204313250455731"/>
          <c:y val="2.6179089709762533E-2"/>
        </c:manualLayout>
      </c:layout>
      <c:overlay val="0"/>
      <c:spPr>
        <a:noFill/>
        <a:ln>
          <a:noFill/>
        </a:ln>
        <a:effectLst/>
      </c:spPr>
      <c:txPr>
        <a:bodyPr rot="0" spcFirstLastPara="1" vertOverflow="ellipsis" vert="horz" wrap="square" anchor="ctr" anchorCtr="1"/>
        <a:lstStyle/>
        <a:p>
          <a:pPr>
            <a:defRPr sz="126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1"/>
          <c:order val="0"/>
          <c:tx>
            <c:strRef>
              <c:f>Evaluation!$D$69</c:f>
              <c:strCache>
                <c:ptCount val="1"/>
                <c:pt idx="0">
                  <c:v>Credits</c:v>
                </c:pt>
              </c:strCache>
            </c:strRef>
          </c:tx>
          <c:spPr>
            <a:solidFill>
              <a:srgbClr val="003F57"/>
            </a:solidFill>
            <a:ln>
              <a:solidFill>
                <a:srgbClr val="003F57"/>
              </a:solidFill>
            </a:ln>
            <a:effectLst/>
          </c:spPr>
          <c:invertIfNegative val="0"/>
          <c:dPt>
            <c:idx val="1"/>
            <c:invertIfNegative val="0"/>
            <c:bubble3D val="0"/>
            <c:spPr>
              <a:solidFill>
                <a:srgbClr val="FA6E00"/>
              </a:solidFill>
              <a:ln>
                <a:solidFill>
                  <a:srgbClr val="FA6E00"/>
                </a:solidFill>
              </a:ln>
              <a:effectLst/>
            </c:spPr>
            <c:extLst>
              <c:ext xmlns:c16="http://schemas.microsoft.com/office/drawing/2014/chart" uri="{C3380CC4-5D6E-409C-BE32-E72D297353CC}">
                <c16:uniqueId val="{00000008-8BCA-4CFA-A311-0F1747ACE745}"/>
              </c:ext>
            </c:extLst>
          </c:dPt>
          <c:dPt>
            <c:idx val="2"/>
            <c:invertIfNegative val="0"/>
            <c:bubble3D val="0"/>
            <c:spPr>
              <a:solidFill>
                <a:srgbClr val="99B2BC"/>
              </a:solidFill>
              <a:ln>
                <a:solidFill>
                  <a:srgbClr val="99B2BC"/>
                </a:solidFill>
              </a:ln>
              <a:effectLst/>
            </c:spPr>
            <c:extLst>
              <c:ext xmlns:c16="http://schemas.microsoft.com/office/drawing/2014/chart" uri="{C3380CC4-5D6E-409C-BE32-E72D297353CC}">
                <c16:uniqueId val="{00000009-8BCA-4CFA-A311-0F1747ACE745}"/>
              </c:ext>
            </c:extLst>
          </c:dPt>
          <c:val>
            <c:numRef>
              <c:f>(Evaluation!$D$149,Evaluation!$F$149,Evaluation!$H$149)</c:f>
              <c:numCache>
                <c:formatCode>_(* #,##0.00_);_(* \(#,##0.00\);_(* "-"??_);_(@_)</c:formatCode>
                <c:ptCount val="3"/>
                <c:pt idx="0">
                  <c:v>0</c:v>
                </c:pt>
                <c:pt idx="1">
                  <c:v>0</c:v>
                </c:pt>
                <c:pt idx="2" formatCode="_-* #,##0.0_-;\-* #,##0.0_-;_-* &quot;-&quot;??_-;_-@_-">
                  <c:v>0</c:v>
                </c:pt>
              </c:numCache>
            </c:numRef>
          </c:val>
          <c:extLst>
            <c:ext xmlns:c16="http://schemas.microsoft.com/office/drawing/2014/chart" uri="{C3380CC4-5D6E-409C-BE32-E72D297353CC}">
              <c16:uniqueId val="{00000007-8BCA-4CFA-A311-0F1747ACE745}"/>
            </c:ext>
          </c:extLst>
        </c:ser>
        <c:ser>
          <c:idx val="0"/>
          <c:order val="1"/>
          <c:tx>
            <c:strRef>
              <c:f>Evaluation!$C$69</c:f>
              <c:strCache>
                <c:ptCount val="1"/>
                <c:pt idx="0">
                  <c:v>Effort</c:v>
                </c:pt>
              </c:strCache>
            </c:strRef>
          </c:tx>
          <c:spPr>
            <a:pattFill prst="pct60">
              <a:fgClr>
                <a:srgbClr val="003F57"/>
              </a:fgClr>
              <a:bgClr>
                <a:schemeClr val="bg1"/>
              </a:bgClr>
            </a:pattFill>
            <a:ln>
              <a:solidFill>
                <a:srgbClr val="003F57"/>
              </a:solidFill>
            </a:ln>
            <a:effectLst/>
          </c:spPr>
          <c:invertIfNegative val="0"/>
          <c:dPt>
            <c:idx val="1"/>
            <c:invertIfNegative val="0"/>
            <c:bubble3D val="0"/>
            <c:spPr>
              <a:pattFill prst="pct60">
                <a:fgClr>
                  <a:srgbClr val="FA6E00"/>
                </a:fgClr>
                <a:bgClr>
                  <a:schemeClr val="bg1"/>
                </a:bgClr>
              </a:pattFill>
              <a:ln>
                <a:solidFill>
                  <a:srgbClr val="FA6E00"/>
                </a:solidFill>
              </a:ln>
              <a:effectLst/>
            </c:spPr>
            <c:extLst>
              <c:ext xmlns:c16="http://schemas.microsoft.com/office/drawing/2014/chart" uri="{C3380CC4-5D6E-409C-BE32-E72D297353CC}">
                <c16:uniqueId val="{00000003-9BF6-4DD7-8E4D-5DB3328443FC}"/>
              </c:ext>
            </c:extLst>
          </c:dPt>
          <c:dPt>
            <c:idx val="2"/>
            <c:invertIfNegative val="0"/>
            <c:bubble3D val="0"/>
            <c:spPr>
              <a:pattFill prst="pct60">
                <a:fgClr>
                  <a:srgbClr val="99B2BC"/>
                </a:fgClr>
                <a:bgClr>
                  <a:schemeClr val="bg1"/>
                </a:bgClr>
              </a:pattFill>
              <a:ln>
                <a:solidFill>
                  <a:srgbClr val="99B2BC"/>
                </a:solidFill>
              </a:ln>
              <a:effectLst/>
            </c:spPr>
            <c:extLst>
              <c:ext xmlns:c16="http://schemas.microsoft.com/office/drawing/2014/chart" uri="{C3380CC4-5D6E-409C-BE32-E72D297353CC}">
                <c16:uniqueId val="{00000005-9BF6-4DD7-8E4D-5DB3328443FC}"/>
              </c:ext>
            </c:extLst>
          </c:dPt>
          <c:cat>
            <c:strRef>
              <c:f>Evaluation!$P$3:$R$3</c:f>
              <c:strCache>
                <c:ptCount val="3"/>
                <c:pt idx="0">
                  <c:v>Route 1</c:v>
                </c:pt>
                <c:pt idx="1">
                  <c:v>Route 2</c:v>
                </c:pt>
                <c:pt idx="2">
                  <c:v>Route 3</c:v>
                </c:pt>
              </c:strCache>
            </c:strRef>
          </c:cat>
          <c:val>
            <c:numRef>
              <c:f>(Evaluation!$C$149,Evaluation!$E$149,Evaluation!$G$149)</c:f>
              <c:numCache>
                <c:formatCode>_(* #,##0.00_);_(* \(#,##0.00\);_(* "-"??_);_(@_)</c:formatCode>
                <c:ptCount val="3"/>
                <c:pt idx="0">
                  <c:v>0</c:v>
                </c:pt>
                <c:pt idx="1">
                  <c:v>0</c:v>
                </c:pt>
                <c:pt idx="2">
                  <c:v>0</c:v>
                </c:pt>
              </c:numCache>
            </c:numRef>
          </c:val>
          <c:extLst>
            <c:ext xmlns:c16="http://schemas.microsoft.com/office/drawing/2014/chart" uri="{C3380CC4-5D6E-409C-BE32-E72D297353CC}">
              <c16:uniqueId val="{00000006-9BF6-4DD7-8E4D-5DB3328443FC}"/>
            </c:ext>
          </c:extLst>
        </c:ser>
        <c:dLbls>
          <c:showLegendKey val="0"/>
          <c:showVal val="0"/>
          <c:showCatName val="0"/>
          <c:showSerName val="0"/>
          <c:showPercent val="0"/>
          <c:showBubbleSize val="0"/>
        </c:dLbls>
        <c:gapWidth val="219"/>
        <c:overlap val="-27"/>
        <c:axId val="756350127"/>
        <c:axId val="756348047"/>
      </c:barChart>
      <c:catAx>
        <c:axId val="756350127"/>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de-DE"/>
          </a:p>
        </c:txPr>
        <c:crossAx val="756348047"/>
        <c:crosses val="autoZero"/>
        <c:auto val="1"/>
        <c:lblAlgn val="ctr"/>
        <c:lblOffset val="100"/>
        <c:noMultiLvlLbl val="0"/>
      </c:catAx>
      <c:valAx>
        <c:axId val="756348047"/>
        <c:scaling>
          <c:orientation val="minMax"/>
        </c:scaling>
        <c:delete val="0"/>
        <c:axPos val="l"/>
        <c:majorGridlines>
          <c:spPr>
            <a:ln w="9525" cap="flat" cmpd="sng" algn="ctr">
              <a:solidFill>
                <a:schemeClr val="bg1">
                  <a:lumMod val="50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solidFill>
                    <a:latin typeface="+mn-lt"/>
                    <a:ea typeface="+mn-ea"/>
                    <a:cs typeface="+mn-cs"/>
                  </a:defRPr>
                </a:pPr>
                <a:r>
                  <a:rPr lang="de-DE"/>
                  <a:t>Climate impacts [t CO2-eq./ t spent LIB]</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de-DE"/>
            </a:p>
          </c:txPr>
        </c:title>
        <c:numFmt formatCode="_(* #,##0.00_);_(* \(#,##0.00\);_(* &quot;-&quot;??_);_(@_)" sourceLinked="1"/>
        <c:majorTickMark val="none"/>
        <c:minorTickMark val="none"/>
        <c:tickLblPos val="low"/>
        <c:spPr>
          <a:noFill/>
          <a:ln>
            <a:noFill/>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de-DE"/>
          </a:p>
        </c:txPr>
        <c:crossAx val="756350127"/>
        <c:crosses val="autoZero"/>
        <c:crossBetween val="between"/>
        <c:majorUnit val="1"/>
      </c:valAx>
      <c:spPr>
        <a:noFill/>
        <a:ln w="25400">
          <a:noFill/>
        </a:ln>
        <a:effectLst/>
      </c:spPr>
    </c:plotArea>
    <c:legend>
      <c:legendPos val="b"/>
      <c:layout>
        <c:manualLayout>
          <c:xMode val="edge"/>
          <c:yMode val="edge"/>
          <c:x val="0.23851222466677807"/>
          <c:y val="0.9077256944444444"/>
          <c:w val="0.59996796576358324"/>
          <c:h val="7.2226006839084964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de-DE"/>
        </a:p>
      </c:txPr>
    </c:legend>
    <c:plotVisOnly val="1"/>
    <c:dispBlanksAs val="gap"/>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sz="1050">
          <a:solidFill>
            <a:schemeClr val="tx1"/>
          </a:solidFill>
        </a:defRPr>
      </a:pPr>
      <a:endParaRPr lang="de-DE"/>
    </a:p>
  </c:txPr>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60" b="0" i="0" u="none" strike="noStrike" kern="1200" spc="0" baseline="0">
                <a:solidFill>
                  <a:schemeClr val="tx1"/>
                </a:solidFill>
                <a:latin typeface="+mn-lt"/>
                <a:ea typeface="+mn-ea"/>
                <a:cs typeface="+mn-cs"/>
              </a:defRPr>
            </a:pPr>
            <a:r>
              <a:rPr lang="en-US"/>
              <a:t>Recovery rates by material</a:t>
            </a:r>
          </a:p>
        </c:rich>
      </c:tx>
      <c:overlay val="0"/>
      <c:spPr>
        <a:noFill/>
        <a:ln>
          <a:noFill/>
        </a:ln>
        <a:effectLst/>
      </c:spPr>
      <c:txPr>
        <a:bodyPr rot="0" spcFirstLastPara="1" vertOverflow="ellipsis" vert="horz" wrap="square" anchor="ctr" anchorCtr="1"/>
        <a:lstStyle/>
        <a:p>
          <a:pPr>
            <a:defRPr sz="126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Evaluation!$B$4</c:f>
              <c:strCache>
                <c:ptCount val="1"/>
                <c:pt idx="0">
                  <c:v>Route 1</c:v>
                </c:pt>
              </c:strCache>
            </c:strRef>
          </c:tx>
          <c:spPr>
            <a:solidFill>
              <a:srgbClr val="003F57"/>
            </a:solidFill>
            <a:ln>
              <a:noFill/>
            </a:ln>
            <a:effectLst/>
          </c:spPr>
          <c:invertIfNegative val="0"/>
          <c:dLbls>
            <c:spPr>
              <a:noFill/>
              <a:ln>
                <a:noFill/>
              </a:ln>
              <a:effectLst/>
            </c:spPr>
            <c:txPr>
              <a:bodyPr rot="-5400000" spcFirstLastPara="1" vertOverflow="ellipsis" wrap="square" anchor="ctr" anchorCtr="1"/>
              <a:lstStyle/>
              <a:p>
                <a:pPr>
                  <a:defRPr sz="1050" b="0" i="0" u="none" strike="noStrike" kern="1200" baseline="0">
                    <a:solidFill>
                      <a:schemeClr val="bg1"/>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Evaluation!$C$3:$L$3</c:f>
              <c:strCache>
                <c:ptCount val="10"/>
                <c:pt idx="0">
                  <c:v>Graphite</c:v>
                </c:pt>
                <c:pt idx="1">
                  <c:v>Cobalt</c:v>
                </c:pt>
                <c:pt idx="2">
                  <c:v>Nickel</c:v>
                </c:pt>
                <c:pt idx="3">
                  <c:v>Lithium</c:v>
                </c:pt>
                <c:pt idx="4">
                  <c:v>Manganese</c:v>
                </c:pt>
                <c:pt idx="5">
                  <c:v>Aluminium</c:v>
                </c:pt>
                <c:pt idx="6">
                  <c:v>Copper</c:v>
                </c:pt>
                <c:pt idx="7">
                  <c:v>Electrolyte</c:v>
                </c:pt>
                <c:pt idx="8">
                  <c:v>Steel</c:v>
                </c:pt>
                <c:pt idx="9">
                  <c:v>Total</c:v>
                </c:pt>
              </c:strCache>
            </c:strRef>
          </c:cat>
          <c:val>
            <c:numRef>
              <c:f>Evaluation!$C$4:$L$4</c:f>
              <c:numCache>
                <c:formatCode>0.0%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5EC9-4023-8282-252557FB9B87}"/>
            </c:ext>
          </c:extLst>
        </c:ser>
        <c:ser>
          <c:idx val="1"/>
          <c:order val="1"/>
          <c:tx>
            <c:strRef>
              <c:f>Evaluation!$B$5</c:f>
              <c:strCache>
                <c:ptCount val="1"/>
                <c:pt idx="0">
                  <c:v>Route 2</c:v>
                </c:pt>
              </c:strCache>
            </c:strRef>
          </c:tx>
          <c:spPr>
            <a:solidFill>
              <a:schemeClr val="accent2"/>
            </a:solidFill>
            <a:ln>
              <a:noFill/>
            </a:ln>
            <a:effectLst/>
          </c:spPr>
          <c:invertIfNegative val="0"/>
          <c:dLbls>
            <c:spPr>
              <a:noFill/>
              <a:ln>
                <a:noFill/>
              </a:ln>
              <a:effectLst/>
            </c:spPr>
            <c:txPr>
              <a:bodyPr rot="-5400000" spcFirstLastPara="1" vertOverflow="ellipsis" wrap="square" anchor="ctr" anchorCtr="1"/>
              <a:lstStyle/>
              <a:p>
                <a:pPr>
                  <a:defRPr sz="1050" b="0" i="0" u="none" strike="noStrike" kern="1200" baseline="0">
                    <a:solidFill>
                      <a:schemeClr val="tx1"/>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Evaluation!$C$3:$L$3</c:f>
              <c:strCache>
                <c:ptCount val="10"/>
                <c:pt idx="0">
                  <c:v>Graphite</c:v>
                </c:pt>
                <c:pt idx="1">
                  <c:v>Cobalt</c:v>
                </c:pt>
                <c:pt idx="2">
                  <c:v>Nickel</c:v>
                </c:pt>
                <c:pt idx="3">
                  <c:v>Lithium</c:v>
                </c:pt>
                <c:pt idx="4">
                  <c:v>Manganese</c:v>
                </c:pt>
                <c:pt idx="5">
                  <c:v>Aluminium</c:v>
                </c:pt>
                <c:pt idx="6">
                  <c:v>Copper</c:v>
                </c:pt>
                <c:pt idx="7">
                  <c:v>Electrolyte</c:v>
                </c:pt>
                <c:pt idx="8">
                  <c:v>Steel</c:v>
                </c:pt>
                <c:pt idx="9">
                  <c:v>Total</c:v>
                </c:pt>
              </c:strCache>
            </c:strRef>
          </c:cat>
          <c:val>
            <c:numRef>
              <c:f>Evaluation!$C$5:$L$5</c:f>
              <c:numCache>
                <c:formatCode>0.0%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5EC9-4023-8282-252557FB9B87}"/>
            </c:ext>
          </c:extLst>
        </c:ser>
        <c:ser>
          <c:idx val="2"/>
          <c:order val="2"/>
          <c:tx>
            <c:strRef>
              <c:f>Evaluation!$B$6</c:f>
              <c:strCache>
                <c:ptCount val="1"/>
                <c:pt idx="0">
                  <c:v>Route 3</c:v>
                </c:pt>
              </c:strCache>
            </c:strRef>
          </c:tx>
          <c:spPr>
            <a:solidFill>
              <a:srgbClr val="99B2BC"/>
            </a:solidFill>
            <a:ln>
              <a:solidFill>
                <a:srgbClr val="99B2BC"/>
              </a:solidFill>
            </a:ln>
            <a:effectLst/>
          </c:spPr>
          <c:invertIfNegative val="0"/>
          <c:dLbls>
            <c:spPr>
              <a:noFill/>
              <a:ln>
                <a:noFill/>
              </a:ln>
              <a:effectLst/>
            </c:spPr>
            <c:txPr>
              <a:bodyPr rot="-5400000" spcFirstLastPara="1" vertOverflow="ellipsis" wrap="square" anchor="ctr" anchorCtr="1"/>
              <a:lstStyle/>
              <a:p>
                <a:pPr>
                  <a:defRPr sz="1050" b="0" i="0" u="none" strike="noStrike" kern="1200" baseline="0">
                    <a:solidFill>
                      <a:schemeClr val="tx1"/>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Evaluation!$C$3:$L$3</c:f>
              <c:strCache>
                <c:ptCount val="10"/>
                <c:pt idx="0">
                  <c:v>Graphite</c:v>
                </c:pt>
                <c:pt idx="1">
                  <c:v>Cobalt</c:v>
                </c:pt>
                <c:pt idx="2">
                  <c:v>Nickel</c:v>
                </c:pt>
                <c:pt idx="3">
                  <c:v>Lithium</c:v>
                </c:pt>
                <c:pt idx="4">
                  <c:v>Manganese</c:v>
                </c:pt>
                <c:pt idx="5">
                  <c:v>Aluminium</c:v>
                </c:pt>
                <c:pt idx="6">
                  <c:v>Copper</c:v>
                </c:pt>
                <c:pt idx="7">
                  <c:v>Electrolyte</c:v>
                </c:pt>
                <c:pt idx="8">
                  <c:v>Steel</c:v>
                </c:pt>
                <c:pt idx="9">
                  <c:v>Total</c:v>
                </c:pt>
              </c:strCache>
            </c:strRef>
          </c:cat>
          <c:val>
            <c:numRef>
              <c:f>Evaluation!$C$6:$L$6</c:f>
              <c:numCache>
                <c:formatCode>0.0%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2-5EC9-4023-8282-252557FB9B87}"/>
            </c:ext>
          </c:extLst>
        </c:ser>
        <c:dLbls>
          <c:dLblPos val="ctr"/>
          <c:showLegendKey val="0"/>
          <c:showVal val="1"/>
          <c:showCatName val="0"/>
          <c:showSerName val="0"/>
          <c:showPercent val="0"/>
          <c:showBubbleSize val="0"/>
        </c:dLbls>
        <c:gapWidth val="219"/>
        <c:overlap val="-27"/>
        <c:axId val="826907791"/>
        <c:axId val="826927343"/>
      </c:barChart>
      <c:catAx>
        <c:axId val="826907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de-DE"/>
          </a:p>
        </c:txPr>
        <c:crossAx val="826927343"/>
        <c:crosses val="autoZero"/>
        <c:auto val="1"/>
        <c:lblAlgn val="ctr"/>
        <c:lblOffset val="100"/>
        <c:noMultiLvlLbl val="0"/>
      </c:catAx>
      <c:valAx>
        <c:axId val="826927343"/>
        <c:scaling>
          <c:orientation val="minMax"/>
          <c:max val="1"/>
          <c:min val="0"/>
        </c:scaling>
        <c:delete val="0"/>
        <c:axPos val="l"/>
        <c:majorGridlines>
          <c:spPr>
            <a:ln w="9525" cap="flat" cmpd="sng" algn="ctr">
              <a:solidFill>
                <a:schemeClr val="bg1">
                  <a:lumMod val="50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solidFill>
                    <a:latin typeface="+mn-lt"/>
                    <a:ea typeface="+mn-ea"/>
                    <a:cs typeface="+mn-cs"/>
                  </a:defRPr>
                </a:pPr>
                <a:r>
                  <a:rPr lang="en-US"/>
                  <a:t>Recovery rate [wt%]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de-DE"/>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de-DE"/>
          </a:p>
        </c:txPr>
        <c:crossAx val="826907791"/>
        <c:crosses val="autoZero"/>
        <c:crossBetween val="between"/>
        <c:majorUnit val="0.1"/>
        <c:minorUnit val="2.5000000000000005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de-DE"/>
        </a:p>
      </c:txPr>
    </c:legend>
    <c:plotVisOnly val="1"/>
    <c:dispBlanksAs val="gap"/>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sz="1050">
          <a:solidFill>
            <a:schemeClr val="tx1"/>
          </a:solidFill>
        </a:defRPr>
      </a:pPr>
      <a:endParaRPr lang="de-DE"/>
    </a:p>
  </c:txPr>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60" b="0" i="0" u="none" strike="noStrike" kern="1200" spc="0" baseline="0">
                <a:solidFill>
                  <a:schemeClr val="tx1"/>
                </a:solidFill>
                <a:latin typeface="Arial" panose="020B0604020202020204" pitchFamily="34" charset="0"/>
                <a:ea typeface="+mn-ea"/>
                <a:cs typeface="Arial" panose="020B0604020202020204" pitchFamily="34" charset="0"/>
              </a:defRPr>
            </a:pPr>
            <a:r>
              <a:rPr lang="de-DE" sz="1260" b="0" i="0" u="none" strike="noStrike" baseline="0"/>
              <a:t>Revenues and costs per material flow</a:t>
            </a:r>
            <a:endParaRPr lang="de-DE"/>
          </a:p>
        </c:rich>
      </c:tx>
      <c:overlay val="0"/>
      <c:spPr>
        <a:noFill/>
        <a:ln>
          <a:noFill/>
        </a:ln>
        <a:effectLst/>
      </c:spPr>
      <c:txPr>
        <a:bodyPr rot="0" spcFirstLastPara="1" vertOverflow="ellipsis" vert="horz" wrap="square" anchor="ctr" anchorCtr="1"/>
        <a:lstStyle/>
        <a:p>
          <a:pPr>
            <a:defRPr sz="1260" b="0" i="0" u="none" strike="noStrike" kern="1200" spc="0" baseline="0">
              <a:solidFill>
                <a:schemeClr val="tx1"/>
              </a:solidFill>
              <a:latin typeface="Arial" panose="020B0604020202020204" pitchFamily="34" charset="0"/>
              <a:ea typeface="+mn-ea"/>
              <a:cs typeface="Arial" panose="020B0604020202020204" pitchFamily="34" charset="0"/>
            </a:defRPr>
          </a:pPr>
          <a:endParaRPr lang="de-DE"/>
        </a:p>
      </c:txPr>
    </c:title>
    <c:autoTitleDeleted val="0"/>
    <c:plotArea>
      <c:layout/>
      <c:barChart>
        <c:barDir val="bar"/>
        <c:grouping val="clustered"/>
        <c:varyColors val="0"/>
        <c:ser>
          <c:idx val="0"/>
          <c:order val="0"/>
          <c:tx>
            <c:v>Costs</c:v>
          </c:tx>
          <c:spPr>
            <a:solidFill>
              <a:srgbClr val="FA6E00"/>
            </a:solidFill>
            <a:ln w="9525">
              <a:noFill/>
            </a:ln>
            <a:effectLst/>
          </c:spPr>
          <c:invertIfNegative val="0"/>
          <c:cat>
            <c:strRef>
              <c:f>Evaluation!$B$29:$B$63</c:f>
              <c:strCache>
                <c:ptCount val="35"/>
                <c:pt idx="0">
                  <c:v>Waste (Incineration)</c:v>
                </c:pt>
                <c:pt idx="1">
                  <c:v>Wastewater (municipal)</c:v>
                </c:pt>
                <c:pt idx="2">
                  <c:v>Wastewater (industrial)</c:v>
                </c:pt>
                <c:pt idx="3">
                  <c:v>Aluminium</c:v>
                </c:pt>
                <c:pt idx="4">
                  <c:v>Aluminiumhydroxide</c:v>
                </c:pt>
                <c:pt idx="5">
                  <c:v>Calcium sulfate</c:v>
                </c:pt>
                <c:pt idx="6">
                  <c:v>CoSO4 * 7 H2O</c:v>
                </c:pt>
                <c:pt idx="7">
                  <c:v>Cyanex 272</c:v>
                </c:pt>
                <c:pt idx="8">
                  <c:v>Cyanex 301GN</c:v>
                </c:pt>
                <c:pt idx="9">
                  <c:v>D2EHPA</c:v>
                </c:pt>
                <c:pt idx="10">
                  <c:v>Iron</c:v>
                </c:pt>
                <c:pt idx="11">
                  <c:v>Iron hydroxide Fe (OH) 3</c:v>
                </c:pt>
                <c:pt idx="12">
                  <c:v>Electricity</c:v>
                </c:pt>
                <c:pt idx="13">
                  <c:v>Electrolyte</c:v>
                </c:pt>
                <c:pt idx="14">
                  <c:v>Electronic scrap (circuit board)</c:v>
                </c:pt>
                <c:pt idx="15">
                  <c:v>Natural gas (CH4)</c:v>
                </c:pt>
                <c:pt idx="16">
                  <c:v>Graphite</c:v>
                </c:pt>
                <c:pt idx="17">
                  <c:v>Cable</c:v>
                </c:pt>
                <c:pt idx="18">
                  <c:v>Limestone (CaO)</c:v>
                </c:pt>
                <c:pt idx="19">
                  <c:v>Kerosene</c:v>
                </c:pt>
                <c:pt idx="20">
                  <c:v>concentrated wastewater</c:v>
                </c:pt>
                <c:pt idx="21">
                  <c:v>Copper</c:v>
                </c:pt>
                <c:pt idx="22">
                  <c:v>Li2CO3 (anhydrous)</c:v>
                </c:pt>
                <c:pt idx="23">
                  <c:v>MnSO4 * 1 H2O</c:v>
                </c:pt>
                <c:pt idx="24">
                  <c:v>Sodium carbonate</c:v>
                </c:pt>
                <c:pt idx="25">
                  <c:v>Sodium hydrogen carbonate</c:v>
                </c:pt>
                <c:pt idx="26">
                  <c:v>Sodium hydroxide</c:v>
                </c:pt>
                <c:pt idx="27">
                  <c:v>NiSO4 * 6 H2O</c:v>
                </c:pt>
                <c:pt idx="28">
                  <c:v>Sand (SiO2)</c:v>
                </c:pt>
                <c:pt idx="29">
                  <c:v>Oxygen</c:v>
                </c:pt>
                <c:pt idx="30">
                  <c:v>Sulfuric acid (95%)</c:v>
                </c:pt>
                <c:pt idx="31">
                  <c:v>Steel</c:v>
                </c:pt>
                <c:pt idx="32">
                  <c:v>Nitrogen</c:v>
                </c:pt>
                <c:pt idx="33">
                  <c:v>Water (Input)</c:v>
                </c:pt>
                <c:pt idx="34">
                  <c:v>Hydrogen peroxide</c:v>
                </c:pt>
              </c:strCache>
            </c:strRef>
          </c:cat>
          <c:val>
            <c:numRef>
              <c:f>Evaluation!$C$29:$C$63</c:f>
              <c:numCache>
                <c:formatCode>_("€"* #,##0.00_);_("€"* \(#,##0.00\);_("€"* "-"??_);_(@_)</c:formatCode>
                <c:ptCount val="35"/>
                <c:pt idx="0">
                  <c:v>0</c:v>
                </c:pt>
                <c:pt idx="1">
                  <c:v>0</c:v>
                </c:pt>
                <c:pt idx="2">
                  <c:v>0</c:v>
                </c:pt>
                <c:pt idx="7">
                  <c:v>0</c:v>
                </c:pt>
                <c:pt idx="9">
                  <c:v>0</c:v>
                </c:pt>
                <c:pt idx="10">
                  <c:v>0</c:v>
                </c:pt>
                <c:pt idx="12">
                  <c:v>0</c:v>
                </c:pt>
                <c:pt idx="15">
                  <c:v>0</c:v>
                </c:pt>
                <c:pt idx="18">
                  <c:v>0</c:v>
                </c:pt>
                <c:pt idx="19">
                  <c:v>0</c:v>
                </c:pt>
                <c:pt idx="20">
                  <c:v>0</c:v>
                </c:pt>
                <c:pt idx="24">
                  <c:v>0</c:v>
                </c:pt>
                <c:pt idx="26">
                  <c:v>0</c:v>
                </c:pt>
                <c:pt idx="28">
                  <c:v>0</c:v>
                </c:pt>
                <c:pt idx="29">
                  <c:v>0</c:v>
                </c:pt>
                <c:pt idx="30">
                  <c:v>0</c:v>
                </c:pt>
                <c:pt idx="33">
                  <c:v>0</c:v>
                </c:pt>
                <c:pt idx="34">
                  <c:v>0</c:v>
                </c:pt>
              </c:numCache>
            </c:numRef>
          </c:val>
          <c:extLst>
            <c:ext xmlns:c16="http://schemas.microsoft.com/office/drawing/2014/chart" uri="{C3380CC4-5D6E-409C-BE32-E72D297353CC}">
              <c16:uniqueId val="{0000003C-4C78-4FA7-8525-01858C67B5A8}"/>
            </c:ext>
          </c:extLst>
        </c:ser>
        <c:ser>
          <c:idx val="1"/>
          <c:order val="1"/>
          <c:tx>
            <c:v>Revenues</c:v>
          </c:tx>
          <c:spPr>
            <a:solidFill>
              <a:srgbClr val="003F57"/>
            </a:solidFill>
            <a:ln w="9525">
              <a:noFill/>
            </a:ln>
            <a:effectLst/>
          </c:spPr>
          <c:invertIfNegative val="0"/>
          <c:val>
            <c:numRef>
              <c:f>Evaluation!$D$29:$D$63</c:f>
              <c:numCache>
                <c:formatCode>_("€"* #,##0.00_);_("€"* \(#,##0.00\);_("€"* "-"??_);_(@_)</c:formatCode>
                <c:ptCount val="35"/>
                <c:pt idx="3">
                  <c:v>0</c:v>
                </c:pt>
                <c:pt idx="4">
                  <c:v>0</c:v>
                </c:pt>
                <c:pt idx="5">
                  <c:v>0</c:v>
                </c:pt>
                <c:pt idx="6">
                  <c:v>0</c:v>
                </c:pt>
                <c:pt idx="11">
                  <c:v>0</c:v>
                </c:pt>
                <c:pt idx="12">
                  <c:v>0</c:v>
                </c:pt>
                <c:pt idx="14">
                  <c:v>0</c:v>
                </c:pt>
                <c:pt idx="17">
                  <c:v>0</c:v>
                </c:pt>
                <c:pt idx="21">
                  <c:v>0</c:v>
                </c:pt>
                <c:pt idx="22">
                  <c:v>0</c:v>
                </c:pt>
                <c:pt idx="23">
                  <c:v>0</c:v>
                </c:pt>
                <c:pt idx="27">
                  <c:v>0</c:v>
                </c:pt>
                <c:pt idx="28">
                  <c:v>0</c:v>
                </c:pt>
                <c:pt idx="31">
                  <c:v>0</c:v>
                </c:pt>
              </c:numCache>
            </c:numRef>
          </c:val>
          <c:extLst>
            <c:ext xmlns:c16="http://schemas.microsoft.com/office/drawing/2014/chart" uri="{C3380CC4-5D6E-409C-BE32-E72D297353CC}">
              <c16:uniqueId val="{00000099-D7A6-4680-A208-980C389E7F8D}"/>
            </c:ext>
          </c:extLst>
        </c:ser>
        <c:dLbls>
          <c:showLegendKey val="0"/>
          <c:showVal val="0"/>
          <c:showCatName val="0"/>
          <c:showSerName val="0"/>
          <c:showPercent val="0"/>
          <c:showBubbleSize val="0"/>
        </c:dLbls>
        <c:gapWidth val="100"/>
        <c:axId val="394723984"/>
        <c:axId val="394715248"/>
      </c:barChart>
      <c:valAx>
        <c:axId val="394715248"/>
        <c:scaling>
          <c:orientation val="minMax"/>
          <c:min val="0"/>
        </c:scaling>
        <c:delete val="0"/>
        <c:axPos val="b"/>
        <c:majorGridlines>
          <c:spPr>
            <a:ln w="9525" cap="flat" cmpd="sng" algn="ctr">
              <a:solidFill>
                <a:schemeClr val="bg1">
                  <a:lumMod val="50000"/>
                </a:schemeClr>
              </a:solidFill>
              <a:round/>
            </a:ln>
            <a:effectLst/>
          </c:spPr>
        </c:majorGridlines>
        <c:minorGridlines>
          <c:spPr>
            <a:ln w="9525" cap="flat" cmpd="sng" algn="ctr">
              <a:solidFill>
                <a:schemeClr val="tx1">
                  <a:lumMod val="5000"/>
                  <a:lumOff val="95000"/>
                  <a:lumOff val="10000"/>
                </a:schemeClr>
              </a:solidFill>
              <a:round/>
            </a:ln>
            <a:effectLst/>
          </c:spPr>
        </c:minorGridlines>
        <c:title>
          <c:tx>
            <c:rich>
              <a:bodyPr rot="0" spcFirstLastPara="1" vertOverflow="ellipsis" vert="horz" wrap="square" anchor="ctr" anchorCtr="1"/>
              <a:lstStyle/>
              <a:p>
                <a:pPr>
                  <a:defRPr sz="1050" b="0" i="0" u="none" strike="noStrike" baseline="0">
                    <a:solidFill>
                      <a:schemeClr val="tx1"/>
                    </a:solidFill>
                    <a:latin typeface="Arial" panose="020B0604020202020204" pitchFamily="34" charset="0"/>
                    <a:ea typeface="+mn-ea"/>
                    <a:cs typeface="Arial" panose="020B0604020202020204" pitchFamily="34" charset="0"/>
                  </a:defRPr>
                </a:pPr>
                <a:r>
                  <a:rPr lang="de-DE" sz="1050" b="0" i="0" baseline="0">
                    <a:effectLst/>
                  </a:rPr>
                  <a:t>Resource flow specific costs and revenues [k€ / t spent LIB]</a:t>
                </a:r>
                <a:endParaRPr lang="en-US" sz="1050">
                  <a:effectLst/>
                </a:endParaRPr>
              </a:p>
            </c:rich>
          </c:tx>
          <c:layout>
            <c:manualLayout>
              <c:xMode val="edge"/>
              <c:yMode val="edge"/>
              <c:x val="0.27320692722142759"/>
              <c:y val="0.9107941466018501"/>
            </c:manualLayout>
          </c:layout>
          <c:overlay val="0"/>
          <c:spPr>
            <a:noFill/>
            <a:ln>
              <a:noFill/>
            </a:ln>
            <a:effectLst/>
          </c:spPr>
          <c:txPr>
            <a:bodyPr rot="0" spcFirstLastPara="1" vertOverflow="ellipsis" vert="horz" wrap="square" anchor="ctr" anchorCtr="1"/>
            <a:lstStyle/>
            <a:p>
              <a:pPr>
                <a:defRPr sz="1050" b="0" i="0" u="none" strike="noStrike" baseline="0">
                  <a:solidFill>
                    <a:schemeClr val="tx1"/>
                  </a:solidFill>
                  <a:latin typeface="Arial" panose="020B0604020202020204" pitchFamily="34" charset="0"/>
                  <a:ea typeface="+mn-ea"/>
                  <a:cs typeface="Arial" panose="020B0604020202020204" pitchFamily="34" charset="0"/>
                </a:defRPr>
              </a:pPr>
              <a:endParaRPr lang="de-DE"/>
            </a:p>
          </c:txPr>
        </c:title>
        <c:numFmt formatCode="_(&quot;€&quot;* #,##0.00_);_(&quot;€&quot;* \(#,##0.00\);_(&quot;€&quot;* &quot;-&quot;??_);_(@_)" sourceLinked="1"/>
        <c:majorTickMark val="cross"/>
        <c:minorTickMark val="none"/>
        <c:tickLblPos val="nextTo"/>
        <c:spPr>
          <a:noFill/>
          <a:ln>
            <a:noFill/>
          </a:ln>
          <a:effectLst/>
        </c:spPr>
        <c:txPr>
          <a:bodyPr rot="-60000000" spcFirstLastPara="1" vertOverflow="ellipsis" vert="horz" wrap="square" anchor="ctr" anchorCtr="1"/>
          <a:lstStyle/>
          <a:p>
            <a:pPr>
              <a:defRPr sz="1050" b="0" i="0" u="none" strike="noStrike" baseline="0">
                <a:solidFill>
                  <a:schemeClr val="tx1"/>
                </a:solidFill>
                <a:latin typeface="Arial" panose="020B0604020202020204" pitchFamily="34" charset="0"/>
                <a:ea typeface="+mn-ea"/>
                <a:cs typeface="Arial" panose="020B0604020202020204" pitchFamily="34" charset="0"/>
              </a:defRPr>
            </a:pPr>
            <a:endParaRPr lang="de-DE"/>
          </a:p>
        </c:txPr>
        <c:crossAx val="394723984"/>
        <c:crosses val="autoZero"/>
        <c:crossBetween val="between"/>
      </c:valAx>
      <c:catAx>
        <c:axId val="39472398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baseline="0">
                <a:solidFill>
                  <a:schemeClr val="tx1"/>
                </a:solidFill>
                <a:latin typeface="Arial" panose="020B0604020202020204" pitchFamily="34" charset="0"/>
                <a:ea typeface="+mn-ea"/>
                <a:cs typeface="Arial" panose="020B0604020202020204" pitchFamily="34" charset="0"/>
              </a:defRPr>
            </a:pPr>
            <a:endParaRPr lang="de-DE"/>
          </a:p>
        </c:txPr>
        <c:crossAx val="394715248"/>
        <c:crosses val="autoZero"/>
        <c:auto val="1"/>
        <c:lblAlgn val="ctr"/>
        <c:lblOffset val="100"/>
        <c:noMultiLvlLbl val="0"/>
      </c:catAx>
      <c:spPr>
        <a:noFill/>
        <a:ln>
          <a:noFill/>
        </a:ln>
        <a:effectLst/>
      </c:spPr>
    </c:plotArea>
    <c:legend>
      <c:legendPos val="b"/>
      <c:layout>
        <c:manualLayout>
          <c:xMode val="edge"/>
          <c:yMode val="edge"/>
          <c:x val="0.50938508116257564"/>
          <c:y val="0.9566740369295248"/>
          <c:w val="0.24391941428421496"/>
          <c:h val="3.2316801483145002E-2"/>
        </c:manualLayout>
      </c:layout>
      <c:overlay val="0"/>
      <c:spPr>
        <a:noFill/>
        <a:ln>
          <a:noFill/>
        </a:ln>
        <a:effectLst/>
      </c:spPr>
      <c:txPr>
        <a:bodyPr rot="0" spcFirstLastPara="1" vertOverflow="ellipsis" vert="horz" wrap="square" anchor="ctr" anchorCtr="1"/>
        <a:lstStyle/>
        <a:p>
          <a:pPr>
            <a:defRPr sz="1050" b="0" i="0" u="none" strike="noStrike" baseline="0">
              <a:solidFill>
                <a:schemeClr val="tx1"/>
              </a:solidFill>
              <a:latin typeface="Arial" panose="020B0604020202020204" pitchFamily="34" charset="0"/>
              <a:ea typeface="+mn-ea"/>
              <a:cs typeface="Arial" panose="020B0604020202020204" pitchFamily="34" charset="0"/>
            </a:defRPr>
          </a:pPr>
          <a:endParaRPr lang="de-DE"/>
        </a:p>
      </c:txPr>
    </c:legend>
    <c:plotVisOnly val="1"/>
    <c:dispBlanksAs val="gap"/>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sz="1050">
          <a:solidFill>
            <a:schemeClr val="tx1"/>
          </a:solidFill>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60" b="0" i="0" u="none" strike="noStrike" kern="1200" spc="0" baseline="0">
                <a:solidFill>
                  <a:schemeClr val="tx1"/>
                </a:solidFill>
                <a:latin typeface="Arial" panose="020B0604020202020204" pitchFamily="34" charset="0"/>
                <a:ea typeface="+mn-ea"/>
                <a:cs typeface="Arial" panose="020B0604020202020204" pitchFamily="34" charset="0"/>
              </a:defRPr>
            </a:pPr>
            <a:r>
              <a:rPr lang="de-DE" sz="1260" b="0" i="0" u="none" strike="noStrike" baseline="0">
                <a:effectLst/>
              </a:rPr>
              <a:t>CO2 eq. per process step</a:t>
            </a:r>
            <a:endParaRPr lang="de-DE"/>
          </a:p>
        </c:rich>
      </c:tx>
      <c:layout>
        <c:manualLayout>
          <c:xMode val="edge"/>
          <c:yMode val="edge"/>
          <c:x val="0.36034377773559695"/>
          <c:y val="1.0679045803636359E-2"/>
        </c:manualLayout>
      </c:layout>
      <c:overlay val="0"/>
      <c:spPr>
        <a:noFill/>
        <a:ln>
          <a:noFill/>
        </a:ln>
        <a:effectLst/>
      </c:spPr>
      <c:txPr>
        <a:bodyPr rot="0" spcFirstLastPara="1" vertOverflow="ellipsis" vert="horz" wrap="square" anchor="ctr" anchorCtr="1"/>
        <a:lstStyle/>
        <a:p>
          <a:pPr>
            <a:defRPr sz="1260" b="0" i="0" u="none" strike="noStrike" kern="1200" spc="0" baseline="0">
              <a:solidFill>
                <a:schemeClr val="tx1"/>
              </a:solidFill>
              <a:latin typeface="Arial" panose="020B0604020202020204" pitchFamily="34" charset="0"/>
              <a:ea typeface="+mn-ea"/>
              <a:cs typeface="Arial" panose="020B0604020202020204" pitchFamily="34" charset="0"/>
            </a:defRPr>
          </a:pPr>
          <a:endParaRPr lang="de-DE"/>
        </a:p>
      </c:txPr>
    </c:title>
    <c:autoTitleDeleted val="0"/>
    <c:plotArea>
      <c:layout>
        <c:manualLayout>
          <c:layoutTarget val="inner"/>
          <c:xMode val="edge"/>
          <c:yMode val="edge"/>
          <c:x val="0.38400656411585804"/>
          <c:y val="6.1393235197624046E-2"/>
          <c:w val="0.54972599368277142"/>
          <c:h val="0.81712503957329929"/>
        </c:manualLayout>
      </c:layout>
      <c:barChart>
        <c:barDir val="bar"/>
        <c:grouping val="clustered"/>
        <c:varyColors val="0"/>
        <c:ser>
          <c:idx val="0"/>
          <c:order val="0"/>
          <c:tx>
            <c:strRef>
              <c:f>Evaluation!$C$69</c:f>
              <c:strCache>
                <c:ptCount val="1"/>
                <c:pt idx="0">
                  <c:v>Effort</c:v>
                </c:pt>
              </c:strCache>
            </c:strRef>
          </c:tx>
          <c:spPr>
            <a:solidFill>
              <a:srgbClr val="FA6E00"/>
            </a:solidFill>
            <a:ln w="9525">
              <a:noFill/>
            </a:ln>
            <a:effectLst/>
          </c:spPr>
          <c:invertIfNegative val="0"/>
          <c:cat>
            <c:strRef>
              <c:extLst>
                <c:ext xmlns:c15="http://schemas.microsoft.com/office/drawing/2012/chart" uri="{02D57815-91ED-43cb-92C2-25804820EDAC}">
                  <c15:fullRef>
                    <c15:sqref>(Evaluation!$B$70:$B$78,Evaluation!$B$98:$B$106,Evaluation!$B$107:$B$115,Evaluation!$B$145:$B$147)</c15:sqref>
                  </c15:fullRef>
                </c:ext>
              </c:extLst>
              <c:f>(Evaluation!$B$70:$B$75,Evaluation!$B$77:$B$78,Evaluation!$B$98:$B$106,Evaluation!$B$107:$B$115,Evaluation!$B$145:$B$147)</c:f>
              <c:strCache>
                <c:ptCount val="29"/>
                <c:pt idx="0">
                  <c:v>Transport</c:v>
                </c:pt>
                <c:pt idx="1">
                  <c:v>Storage</c:v>
                </c:pt>
                <c:pt idx="2">
                  <c:v>Storage (defective)</c:v>
                </c:pt>
                <c:pt idx="3">
                  <c:v>Unloading</c:v>
                </c:pt>
                <c:pt idx="4">
                  <c:v>Dismantling</c:v>
                </c:pt>
                <c:pt idx="5">
                  <c:v>Melting down</c:v>
                </c:pt>
                <c:pt idx="6">
                  <c:v>Mill (alloy)</c:v>
                </c:pt>
                <c:pt idx="7">
                  <c:v>Mill (slag)</c:v>
                </c:pt>
                <c:pt idx="8">
                  <c:v>Digestion</c:v>
                </c:pt>
                <c:pt idx="9">
                  <c:v>Leaching</c:v>
                </c:pt>
                <c:pt idx="10">
                  <c:v>Cu cementation</c:v>
                </c:pt>
                <c:pt idx="11">
                  <c:v>Cu filtration</c:v>
                </c:pt>
                <c:pt idx="12">
                  <c:v>Oxidation Fe</c:v>
                </c:pt>
                <c:pt idx="13">
                  <c:v>Precipitation, filtration Fe</c:v>
                </c:pt>
                <c:pt idx="14">
                  <c:v>Extraction Co</c:v>
                </c:pt>
                <c:pt idx="15">
                  <c:v>Crystallization Ni</c:v>
                </c:pt>
                <c:pt idx="16">
                  <c:v>Crystallization Co</c:v>
                </c:pt>
                <c:pt idx="17">
                  <c:v>Digestion (slag)</c:v>
                </c:pt>
                <c:pt idx="18">
                  <c:v>Leaching (slag)</c:v>
                </c:pt>
                <c:pt idx="19">
                  <c:v>Filtration SiO2, CaSO4 (slag)</c:v>
                </c:pt>
                <c:pt idx="20">
                  <c:v>Oxidation Fe (slag)</c:v>
                </c:pt>
                <c:pt idx="21">
                  <c:v>Precipitation, filtration Fe, Al (slag)</c:v>
                </c:pt>
                <c:pt idx="22">
                  <c:v>Extraction Mn (slag)</c:v>
                </c:pt>
                <c:pt idx="23">
                  <c:v>Crystallization Mn (slag)</c:v>
                </c:pt>
                <c:pt idx="24">
                  <c:v>Concentration Li (slag)</c:v>
                </c:pt>
                <c:pt idx="25">
                  <c:v>Precipitation, Filtration Li (slag)</c:v>
                </c:pt>
                <c:pt idx="26">
                  <c:v>Fresh water</c:v>
                </c:pt>
                <c:pt idx="27">
                  <c:v>Wastewater (municipal)</c:v>
                </c:pt>
                <c:pt idx="28">
                  <c:v>Wastewater (industrial)</c:v>
                </c:pt>
              </c:strCache>
            </c:strRef>
          </c:cat>
          <c:val>
            <c:numRef>
              <c:extLst>
                <c:ext xmlns:c15="http://schemas.microsoft.com/office/drawing/2012/chart" uri="{02D57815-91ED-43cb-92C2-25804820EDAC}">
                  <c15:fullRef>
                    <c15:sqref>(Evaluation!$C$70:$C$78,Evaluation!$C$98:$C$115,Evaluation!$C$145:$C$147)</c15:sqref>
                  </c15:fullRef>
                </c:ext>
              </c:extLst>
              <c:f>(Evaluation!$C$70:$C$75,Evaluation!$C$77:$C$78,Evaluation!$C$98:$C$115,Evaluation!$C$145:$C$147)</c:f>
              <c:numCache>
                <c:formatCode>General</c:formatCode>
                <c:ptCount val="29"/>
                <c:pt idx="3" formatCode="_-* #,##0.000_-;\-* #,##0.000_-;_-* &quot;-&quot;??_-;_-@_-">
                  <c:v>0</c:v>
                </c:pt>
                <c:pt idx="4" formatCode="_-* #,##0.000_-;\-* #,##0.000_-;_-* &quot;-&quot;??_-;_-@_-">
                  <c:v>0</c:v>
                </c:pt>
                <c:pt idx="5" formatCode="_-* #,##0.000_-;\-* #,##0.000_-;_-* &quot;-&quot;??_-;_-@_-">
                  <c:v>0</c:v>
                </c:pt>
                <c:pt idx="6" formatCode="_-* #,##0.000_-;\-* #,##0.000_-;_-* &quot;-&quot;??_-;_-@_-">
                  <c:v>0</c:v>
                </c:pt>
                <c:pt idx="7" formatCode="_-* #,##0.000_-;\-* #,##0.000_-;_-* &quot;-&quot;??_-;_-@_-">
                  <c:v>0</c:v>
                </c:pt>
                <c:pt idx="8" formatCode="_-* #,##0.000_-;\-* #,##0.000_-;_-* &quot;-&quot;??_-;_-@_-">
                  <c:v>0</c:v>
                </c:pt>
                <c:pt idx="9" formatCode="_-* #,##0.000_-;\-* #,##0.000_-;_-* &quot;-&quot;??_-;_-@_-">
                  <c:v>0</c:v>
                </c:pt>
                <c:pt idx="10" formatCode="_-* #,##0.000_-;\-* #,##0.000_-;_-* &quot;-&quot;??_-;_-@_-">
                  <c:v>0</c:v>
                </c:pt>
                <c:pt idx="11" formatCode="_-* #,##0.000_-;\-* #,##0.000_-;_-* &quot;-&quot;??_-;_-@_-">
                  <c:v>0</c:v>
                </c:pt>
                <c:pt idx="12" formatCode="_-* #,##0.000_-;\-* #,##0.000_-;_-* &quot;-&quot;??_-;_-@_-">
                  <c:v>0</c:v>
                </c:pt>
                <c:pt idx="13" formatCode="_-* #,##0.000_-;\-* #,##0.000_-;_-* &quot;-&quot;??_-;_-@_-">
                  <c:v>0</c:v>
                </c:pt>
                <c:pt idx="14" formatCode="_-* #,##0.000_-;\-* #,##0.000_-;_-* &quot;-&quot;??_-;_-@_-">
                  <c:v>0</c:v>
                </c:pt>
                <c:pt idx="15" formatCode="_-* #,##0.000_-;\-* #,##0.000_-;_-* &quot;-&quot;??_-;_-@_-">
                  <c:v>0</c:v>
                </c:pt>
                <c:pt idx="16" formatCode="_-* #,##0.000_-;\-* #,##0.000_-;_-* &quot;-&quot;??_-;_-@_-">
                  <c:v>0</c:v>
                </c:pt>
                <c:pt idx="17" formatCode="_-* #,##0.000_-;\-* #,##0.000_-;_-* &quot;-&quot;??_-;_-@_-">
                  <c:v>0</c:v>
                </c:pt>
                <c:pt idx="18" formatCode="_-* #,##0.000_-;\-* #,##0.000_-;_-* &quot;-&quot;??_-;_-@_-">
                  <c:v>0</c:v>
                </c:pt>
                <c:pt idx="19" formatCode="_-* #,##0.000_-;\-* #,##0.000_-;_-* &quot;-&quot;??_-;_-@_-">
                  <c:v>0</c:v>
                </c:pt>
                <c:pt idx="20" formatCode="_-* #,##0.000_-;\-* #,##0.000_-;_-* &quot;-&quot;??_-;_-@_-">
                  <c:v>0</c:v>
                </c:pt>
                <c:pt idx="21" formatCode="_-* #,##0.000_-;\-* #,##0.000_-;_-* &quot;-&quot;??_-;_-@_-">
                  <c:v>0</c:v>
                </c:pt>
                <c:pt idx="22" formatCode="_-* #,##0.000_-;\-* #,##0.000_-;_-* &quot;-&quot;??_-;_-@_-">
                  <c:v>0</c:v>
                </c:pt>
                <c:pt idx="23" formatCode="_-* #,##0.000_-;\-* #,##0.000_-;_-* &quot;-&quot;??_-;_-@_-">
                  <c:v>0</c:v>
                </c:pt>
                <c:pt idx="24" formatCode="_-* #,##0.000_-;\-* #,##0.000_-;_-* &quot;-&quot;??_-;_-@_-">
                  <c:v>0</c:v>
                </c:pt>
                <c:pt idx="25" formatCode="_-* #,##0.000_-;\-* #,##0.000_-;_-* &quot;-&quot;??_-;_-@_-">
                  <c:v>0</c:v>
                </c:pt>
                <c:pt idx="26" formatCode="_-* #,##0.000_-;\-* #,##0.000_-;_-* &quot;-&quot;??_-;_-@_-">
                  <c:v>0</c:v>
                </c:pt>
                <c:pt idx="27" formatCode="_-* #,##0.000_-;\-* #,##0.000_-;_-* &quot;-&quot;??_-;_-@_-">
                  <c:v>0</c:v>
                </c:pt>
                <c:pt idx="28" formatCode="_-* #,##0.000_-;\-* #,##0.000_-;_-* &quot;-&quot;??_-;_-@_-">
                  <c:v>0</c:v>
                </c:pt>
              </c:numCache>
            </c:numRef>
          </c:val>
          <c:extLst>
            <c:ext xmlns:c16="http://schemas.microsoft.com/office/drawing/2014/chart" uri="{C3380CC4-5D6E-409C-BE32-E72D297353CC}">
              <c16:uniqueId val="{0000003C-F298-4B8A-B54C-97599090AE91}"/>
            </c:ext>
          </c:extLst>
        </c:ser>
        <c:ser>
          <c:idx val="1"/>
          <c:order val="1"/>
          <c:tx>
            <c:strRef>
              <c:f>Evaluation!$D$69</c:f>
              <c:strCache>
                <c:ptCount val="1"/>
                <c:pt idx="0">
                  <c:v>Credits</c:v>
                </c:pt>
              </c:strCache>
            </c:strRef>
          </c:tx>
          <c:spPr>
            <a:solidFill>
              <a:srgbClr val="003F57"/>
            </a:solidFill>
            <a:ln w="9525">
              <a:noFill/>
            </a:ln>
            <a:effectLst/>
          </c:spPr>
          <c:invertIfNegative val="0"/>
          <c:cat>
            <c:strRef>
              <c:extLst>
                <c:ext xmlns:c15="http://schemas.microsoft.com/office/drawing/2012/chart" uri="{02D57815-91ED-43cb-92C2-25804820EDAC}">
                  <c15:fullRef>
                    <c15:sqref>(Evaluation!$B$70:$B$78,Evaluation!$B$98:$B$106,Evaluation!$B$107:$B$115,Evaluation!$B$145:$B$147)</c15:sqref>
                  </c15:fullRef>
                </c:ext>
              </c:extLst>
              <c:f>(Evaluation!$B$70:$B$75,Evaluation!$B$77:$B$78,Evaluation!$B$98:$B$106,Evaluation!$B$107:$B$115,Evaluation!$B$145:$B$147)</c:f>
              <c:strCache>
                <c:ptCount val="29"/>
                <c:pt idx="0">
                  <c:v>Transport</c:v>
                </c:pt>
                <c:pt idx="1">
                  <c:v>Storage</c:v>
                </c:pt>
                <c:pt idx="2">
                  <c:v>Storage (defective)</c:v>
                </c:pt>
                <c:pt idx="3">
                  <c:v>Unloading</c:v>
                </c:pt>
                <c:pt idx="4">
                  <c:v>Dismantling</c:v>
                </c:pt>
                <c:pt idx="5">
                  <c:v>Melting down</c:v>
                </c:pt>
                <c:pt idx="6">
                  <c:v>Mill (alloy)</c:v>
                </c:pt>
                <c:pt idx="7">
                  <c:v>Mill (slag)</c:v>
                </c:pt>
                <c:pt idx="8">
                  <c:v>Digestion</c:v>
                </c:pt>
                <c:pt idx="9">
                  <c:v>Leaching</c:v>
                </c:pt>
                <c:pt idx="10">
                  <c:v>Cu cementation</c:v>
                </c:pt>
                <c:pt idx="11">
                  <c:v>Cu filtration</c:v>
                </c:pt>
                <c:pt idx="12">
                  <c:v>Oxidation Fe</c:v>
                </c:pt>
                <c:pt idx="13">
                  <c:v>Precipitation, filtration Fe</c:v>
                </c:pt>
                <c:pt idx="14">
                  <c:v>Extraction Co</c:v>
                </c:pt>
                <c:pt idx="15">
                  <c:v>Crystallization Ni</c:v>
                </c:pt>
                <c:pt idx="16">
                  <c:v>Crystallization Co</c:v>
                </c:pt>
                <c:pt idx="17">
                  <c:v>Digestion (slag)</c:v>
                </c:pt>
                <c:pt idx="18">
                  <c:v>Leaching (slag)</c:v>
                </c:pt>
                <c:pt idx="19">
                  <c:v>Filtration SiO2, CaSO4 (slag)</c:v>
                </c:pt>
                <c:pt idx="20">
                  <c:v>Oxidation Fe (slag)</c:v>
                </c:pt>
                <c:pt idx="21">
                  <c:v>Precipitation, filtration Fe, Al (slag)</c:v>
                </c:pt>
                <c:pt idx="22">
                  <c:v>Extraction Mn (slag)</c:v>
                </c:pt>
                <c:pt idx="23">
                  <c:v>Crystallization Mn (slag)</c:v>
                </c:pt>
                <c:pt idx="24">
                  <c:v>Concentration Li (slag)</c:v>
                </c:pt>
                <c:pt idx="25">
                  <c:v>Precipitation, Filtration Li (slag)</c:v>
                </c:pt>
                <c:pt idx="26">
                  <c:v>Fresh water</c:v>
                </c:pt>
                <c:pt idx="27">
                  <c:v>Wastewater (municipal)</c:v>
                </c:pt>
                <c:pt idx="28">
                  <c:v>Wastewater (industrial)</c:v>
                </c:pt>
              </c:strCache>
            </c:strRef>
          </c:cat>
          <c:val>
            <c:numRef>
              <c:extLst>
                <c:ext xmlns:c15="http://schemas.microsoft.com/office/drawing/2012/chart" uri="{02D57815-91ED-43cb-92C2-25804820EDAC}">
                  <c15:fullRef>
                    <c15:sqref>(Evaluation!$D$70:$D$78,Evaluation!$D$98:$D$106,Evaluation!$D$107:$D$115,Evaluation!$D$145:$D$147)</c15:sqref>
                  </c15:fullRef>
                </c:ext>
              </c:extLst>
              <c:f>(Evaluation!$D$70:$D$75,Evaluation!$D$77:$D$78,Evaluation!$D$98:$D$106,Evaluation!$D$107:$D$115,Evaluation!$D$145:$D$147)</c:f>
              <c:numCache>
                <c:formatCode>General</c:formatCode>
                <c:ptCount val="29"/>
                <c:pt idx="3" formatCode="_-* #,##0.000_-;\-* #,##0.000_-;_-* &quot;-&quot;??_-;_-@_-">
                  <c:v>0</c:v>
                </c:pt>
                <c:pt idx="4" formatCode="_-* #,##0.000_-;\-* #,##0.000_-;_-* &quot;-&quot;??_-;_-@_-">
                  <c:v>0</c:v>
                </c:pt>
                <c:pt idx="5" formatCode="_-* #,##0.000_-;\-* #,##0.000_-;_-* &quot;-&quot;??_-;_-@_-">
                  <c:v>0</c:v>
                </c:pt>
                <c:pt idx="6" formatCode="_-* #,##0.000_-;\-* #,##0.000_-;_-* &quot;-&quot;??_-;_-@_-">
                  <c:v>0</c:v>
                </c:pt>
                <c:pt idx="7" formatCode="_-* #,##0.000_-;\-* #,##0.000_-;_-* &quot;-&quot;??_-;_-@_-">
                  <c:v>0</c:v>
                </c:pt>
                <c:pt idx="8" formatCode="_-* #,##0.000_-;\-* #,##0.000_-;_-* &quot;-&quot;??_-;_-@_-">
                  <c:v>0</c:v>
                </c:pt>
                <c:pt idx="9" formatCode="_-* #,##0.000_-;\-* #,##0.000_-;_-* &quot;-&quot;??_-;_-@_-">
                  <c:v>0</c:v>
                </c:pt>
                <c:pt idx="10" formatCode="_-* #,##0.000_-;\-* #,##0.000_-;_-* &quot;-&quot;??_-;_-@_-">
                  <c:v>0</c:v>
                </c:pt>
                <c:pt idx="11" formatCode="_-* #,##0.000_-;\-* #,##0.000_-;_-* &quot;-&quot;??_-;_-@_-">
                  <c:v>0</c:v>
                </c:pt>
                <c:pt idx="12" formatCode="_-* #,##0.000_-;\-* #,##0.000_-;_-* &quot;-&quot;??_-;_-@_-">
                  <c:v>0</c:v>
                </c:pt>
                <c:pt idx="13" formatCode="_-* #,##0.000_-;\-* #,##0.000_-;_-* &quot;-&quot;??_-;_-@_-">
                  <c:v>0</c:v>
                </c:pt>
                <c:pt idx="14" formatCode="_-* #,##0.000_-;\-* #,##0.000_-;_-* &quot;-&quot;??_-;_-@_-">
                  <c:v>0</c:v>
                </c:pt>
                <c:pt idx="15" formatCode="_-* #,##0.000_-;\-* #,##0.000_-;_-* &quot;-&quot;??_-;_-@_-">
                  <c:v>0</c:v>
                </c:pt>
                <c:pt idx="16" formatCode="_-* #,##0.000_-;\-* #,##0.000_-;_-* &quot;-&quot;??_-;_-@_-">
                  <c:v>0</c:v>
                </c:pt>
                <c:pt idx="17" formatCode="_-* #,##0.000_-;\-* #,##0.000_-;_-* &quot;-&quot;??_-;_-@_-">
                  <c:v>0</c:v>
                </c:pt>
                <c:pt idx="18" formatCode="_-* #,##0.000_-;\-* #,##0.000_-;_-* &quot;-&quot;??_-;_-@_-">
                  <c:v>0</c:v>
                </c:pt>
                <c:pt idx="19" formatCode="_-* #,##0.000_-;\-* #,##0.000_-;_-* &quot;-&quot;??_-;_-@_-">
                  <c:v>0</c:v>
                </c:pt>
                <c:pt idx="20" formatCode="_-* #,##0.000_-;\-* #,##0.000_-;_-* &quot;-&quot;??_-;_-@_-">
                  <c:v>0</c:v>
                </c:pt>
                <c:pt idx="21" formatCode="_-* #,##0.000_-;\-* #,##0.000_-;_-* &quot;-&quot;??_-;_-@_-">
                  <c:v>0</c:v>
                </c:pt>
                <c:pt idx="23" formatCode="_-* #,##0.000_-;\-* #,##0.000_-;_-* &quot;-&quot;??_-;_-@_-">
                  <c:v>0</c:v>
                </c:pt>
                <c:pt idx="24" formatCode="_(* #,##0.00_);_(* \(#,##0.00\);_(* &quot;-&quot;??_);_(@_)">
                  <c:v>0</c:v>
                </c:pt>
                <c:pt idx="25" formatCode="_-* #,##0.000_-;\-* #,##0.000_-;_-* &quot;-&quot;??_-;_-@_-">
                  <c:v>0</c:v>
                </c:pt>
                <c:pt idx="26" formatCode="_-* #,##0.000_-;\-* #,##0.000_-;_-* &quot;-&quot;??_-;_-@_-">
                  <c:v>0</c:v>
                </c:pt>
                <c:pt idx="27" formatCode="_-* #,##0.000_-;\-* #,##0.000_-;_-* &quot;-&quot;??_-;_-@_-">
                  <c:v>0</c:v>
                </c:pt>
                <c:pt idx="28" formatCode="_-* #,##0.000_-;\-* #,##0.000_-;_-* &quot;-&quot;??_-;_-@_-">
                  <c:v>0</c:v>
                </c:pt>
              </c:numCache>
            </c:numRef>
          </c:val>
          <c:extLst>
            <c:ext xmlns:c16="http://schemas.microsoft.com/office/drawing/2014/chart" uri="{C3380CC4-5D6E-409C-BE32-E72D297353CC}">
              <c16:uniqueId val="{0000003C-753F-43AA-8714-EF3FB40966AE}"/>
            </c:ext>
          </c:extLst>
        </c:ser>
        <c:dLbls>
          <c:showLegendKey val="0"/>
          <c:showVal val="0"/>
          <c:showCatName val="0"/>
          <c:showSerName val="0"/>
          <c:showPercent val="0"/>
          <c:showBubbleSize val="0"/>
        </c:dLbls>
        <c:gapWidth val="100"/>
        <c:axId val="394723984"/>
        <c:axId val="394715248"/>
      </c:barChart>
      <c:valAx>
        <c:axId val="394715248"/>
        <c:scaling>
          <c:orientation val="minMax"/>
        </c:scaling>
        <c:delete val="0"/>
        <c:axPos val="b"/>
        <c:majorGridlines>
          <c:spPr>
            <a:ln w="9525" cap="flat" cmpd="sng" algn="ctr">
              <a:solidFill>
                <a:schemeClr val="bg1">
                  <a:lumMod val="50000"/>
                </a:schemeClr>
              </a:solidFill>
              <a:round/>
            </a:ln>
            <a:effectLst/>
          </c:spPr>
        </c:majorGridlines>
        <c:minorGridlines>
          <c:spPr>
            <a:ln w="9525" cap="flat" cmpd="sng" algn="ctr">
              <a:solidFill>
                <a:schemeClr val="tx1">
                  <a:lumMod val="5000"/>
                  <a:lumOff val="95000"/>
                  <a:lumOff val="10000"/>
                </a:schemeClr>
              </a:solidFill>
              <a:round/>
            </a:ln>
            <a:effectLst/>
          </c:spPr>
        </c:minorGridlines>
        <c:title>
          <c:tx>
            <c:rich>
              <a:bodyPr rot="0" spcFirstLastPara="1" vertOverflow="ellipsis" vert="horz" wrap="square" anchor="ctr" anchorCtr="1"/>
              <a:lstStyle/>
              <a:p>
                <a:pPr>
                  <a:defRPr sz="1050" b="0" i="0" u="none" strike="noStrike" baseline="0">
                    <a:solidFill>
                      <a:schemeClr val="tx1"/>
                    </a:solidFill>
                    <a:latin typeface="Arial" panose="020B0604020202020204" pitchFamily="34" charset="0"/>
                    <a:ea typeface="+mn-ea"/>
                    <a:cs typeface="Arial" panose="020B0604020202020204" pitchFamily="34" charset="0"/>
                  </a:defRPr>
                </a:pPr>
                <a:r>
                  <a:rPr lang="de-DE" sz="1050" b="0" i="0" baseline="0">
                    <a:effectLst/>
                  </a:rPr>
                  <a:t>Process specific climate impacts [t CO2-eq./ t spent LIB]</a:t>
                </a:r>
                <a:endParaRPr lang="en-US" sz="1050">
                  <a:effectLst/>
                </a:endParaRPr>
              </a:p>
            </c:rich>
          </c:tx>
          <c:layout>
            <c:manualLayout>
              <c:xMode val="edge"/>
              <c:yMode val="edge"/>
              <c:x val="0.32503086650866264"/>
              <c:y val="0.92089017523364158"/>
            </c:manualLayout>
          </c:layout>
          <c:overlay val="0"/>
          <c:spPr>
            <a:noFill/>
            <a:ln>
              <a:noFill/>
            </a:ln>
            <a:effectLst/>
          </c:spPr>
          <c:txPr>
            <a:bodyPr rot="0" spcFirstLastPara="1" vertOverflow="ellipsis" vert="horz" wrap="square" anchor="ctr" anchorCtr="1"/>
            <a:lstStyle/>
            <a:p>
              <a:pPr>
                <a:defRPr sz="1050" b="0" i="0" u="none" strike="noStrike" baseline="0">
                  <a:solidFill>
                    <a:schemeClr val="tx1"/>
                  </a:solidFill>
                  <a:latin typeface="Arial" panose="020B0604020202020204" pitchFamily="34" charset="0"/>
                  <a:ea typeface="+mn-ea"/>
                  <a:cs typeface="Arial" panose="020B0604020202020204" pitchFamily="34" charset="0"/>
                </a:defRPr>
              </a:pPr>
              <a:endParaRPr lang="de-DE"/>
            </a:p>
          </c:txPr>
        </c:title>
        <c:numFmt formatCode="General" sourceLinked="0"/>
        <c:majorTickMark val="cross"/>
        <c:minorTickMark val="none"/>
        <c:tickLblPos val="nextTo"/>
        <c:spPr>
          <a:noFill/>
          <a:ln>
            <a:noFill/>
          </a:ln>
          <a:effectLst/>
        </c:spPr>
        <c:txPr>
          <a:bodyPr rot="-60000000" spcFirstLastPara="1" vertOverflow="ellipsis" vert="horz" wrap="square" anchor="ctr" anchorCtr="1"/>
          <a:lstStyle/>
          <a:p>
            <a:pPr>
              <a:defRPr sz="1050" b="0" i="0" u="none" strike="noStrike" baseline="0">
                <a:solidFill>
                  <a:schemeClr val="tx1"/>
                </a:solidFill>
                <a:latin typeface="Arial" panose="020B0604020202020204" pitchFamily="34" charset="0"/>
                <a:ea typeface="+mn-ea"/>
                <a:cs typeface="Arial" panose="020B0604020202020204" pitchFamily="34" charset="0"/>
              </a:defRPr>
            </a:pPr>
            <a:endParaRPr lang="de-DE"/>
          </a:p>
        </c:txPr>
        <c:crossAx val="394723984"/>
        <c:crosses val="autoZero"/>
        <c:crossBetween val="between"/>
        <c:majorUnit val="0.5"/>
      </c:valAx>
      <c:catAx>
        <c:axId val="39472398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baseline="0">
                <a:solidFill>
                  <a:schemeClr val="tx1"/>
                </a:solidFill>
                <a:latin typeface="Arial" panose="020B0604020202020204" pitchFamily="34" charset="0"/>
                <a:ea typeface="+mn-ea"/>
                <a:cs typeface="Arial" panose="020B0604020202020204" pitchFamily="34" charset="0"/>
              </a:defRPr>
            </a:pPr>
            <a:endParaRPr lang="de-DE"/>
          </a:p>
        </c:txPr>
        <c:crossAx val="394715248"/>
        <c:crosses val="autoZero"/>
        <c:auto val="1"/>
        <c:lblAlgn val="ctr"/>
        <c:lblOffset val="100"/>
        <c:noMultiLvlLbl val="0"/>
      </c:catAx>
      <c:spPr>
        <a:noFill/>
        <a:ln>
          <a:noFill/>
        </a:ln>
        <a:effectLst/>
      </c:spPr>
    </c:plotArea>
    <c:legend>
      <c:legendPos val="b"/>
      <c:layout>
        <c:manualLayout>
          <c:xMode val="edge"/>
          <c:yMode val="edge"/>
          <c:x val="0.52229596130043154"/>
          <c:y val="0.9565400962322308"/>
          <c:w val="0.26968231777789092"/>
          <c:h val="3.1863140673399286E-2"/>
        </c:manualLayout>
      </c:layout>
      <c:overlay val="0"/>
      <c:spPr>
        <a:noFill/>
        <a:ln>
          <a:noFill/>
        </a:ln>
        <a:effectLst/>
      </c:spPr>
      <c:txPr>
        <a:bodyPr rot="0" spcFirstLastPara="1" vertOverflow="ellipsis" vert="horz" wrap="square" anchor="ctr" anchorCtr="1"/>
        <a:lstStyle/>
        <a:p>
          <a:pPr>
            <a:defRPr sz="1050" b="0" i="0" u="none" strike="noStrike" baseline="0">
              <a:solidFill>
                <a:schemeClr val="tx1"/>
              </a:solidFill>
              <a:latin typeface="Arial" panose="020B0604020202020204" pitchFamily="34" charset="0"/>
              <a:ea typeface="+mn-ea"/>
              <a:cs typeface="Arial" panose="020B0604020202020204" pitchFamily="34" charset="0"/>
            </a:defRPr>
          </a:pPr>
          <a:endParaRPr lang="de-DE"/>
        </a:p>
      </c:txPr>
    </c:legend>
    <c:plotVisOnly val="1"/>
    <c:dispBlanksAs val="gap"/>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sz="1050">
          <a:solidFill>
            <a:schemeClr val="tx1"/>
          </a:solidFill>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60" b="0" i="0" u="none" strike="noStrike" kern="1200" spc="0" baseline="0">
                <a:solidFill>
                  <a:schemeClr val="tx1"/>
                </a:solidFill>
                <a:latin typeface="Arial" panose="020B0604020202020204" pitchFamily="34" charset="0"/>
                <a:ea typeface="+mn-ea"/>
                <a:cs typeface="Arial" panose="020B0604020202020204" pitchFamily="34" charset="0"/>
              </a:defRPr>
            </a:pPr>
            <a:r>
              <a:rPr lang="de-DE" sz="1260" b="0" i="0" u="none" strike="noStrike" baseline="0">
                <a:effectLst/>
              </a:rPr>
              <a:t>Investments per process step</a:t>
            </a:r>
            <a:endParaRPr lang="de-DE"/>
          </a:p>
        </c:rich>
      </c:tx>
      <c:layout>
        <c:manualLayout>
          <c:xMode val="edge"/>
          <c:yMode val="edge"/>
          <c:x val="0.37846206654475006"/>
          <c:y val="1.0845293875440519E-2"/>
        </c:manualLayout>
      </c:layout>
      <c:overlay val="0"/>
      <c:spPr>
        <a:noFill/>
        <a:ln>
          <a:noFill/>
        </a:ln>
        <a:effectLst/>
      </c:spPr>
      <c:txPr>
        <a:bodyPr rot="0" spcFirstLastPara="1" vertOverflow="ellipsis" vert="horz" wrap="square" anchor="ctr" anchorCtr="1"/>
        <a:lstStyle/>
        <a:p>
          <a:pPr>
            <a:defRPr sz="1260" b="0" i="0" u="none" strike="noStrike" kern="1200" spc="0" baseline="0">
              <a:solidFill>
                <a:schemeClr val="tx1"/>
              </a:solidFill>
              <a:latin typeface="Arial" panose="020B0604020202020204" pitchFamily="34" charset="0"/>
              <a:ea typeface="+mn-ea"/>
              <a:cs typeface="Arial" panose="020B0604020202020204" pitchFamily="34" charset="0"/>
            </a:defRPr>
          </a:pPr>
          <a:endParaRPr lang="de-DE"/>
        </a:p>
      </c:txPr>
    </c:title>
    <c:autoTitleDeleted val="0"/>
    <c:plotArea>
      <c:layout>
        <c:manualLayout>
          <c:layoutTarget val="inner"/>
          <c:xMode val="edge"/>
          <c:yMode val="edge"/>
          <c:x val="0.41382900024711983"/>
          <c:y val="6.1349818596668076E-2"/>
          <c:w val="0.49934638598205855"/>
          <c:h val="0.82005902148360466"/>
        </c:manualLayout>
      </c:layout>
      <c:barChart>
        <c:barDir val="bar"/>
        <c:grouping val="clustered"/>
        <c:varyColors val="0"/>
        <c:ser>
          <c:idx val="0"/>
          <c:order val="0"/>
          <c:spPr>
            <a:solidFill>
              <a:schemeClr val="accent1"/>
            </a:solidFill>
            <a:ln>
              <a:noFill/>
            </a:ln>
            <a:effectLst/>
          </c:spPr>
          <c:invertIfNegative val="0"/>
          <c:dPt>
            <c:idx val="0"/>
            <c:invertIfNegative val="0"/>
            <c:bubble3D val="0"/>
            <c:spPr>
              <a:solidFill>
                <a:srgbClr val="003F57"/>
              </a:solidFill>
              <a:ln>
                <a:noFill/>
              </a:ln>
              <a:effectLst/>
            </c:spPr>
            <c:extLst>
              <c:ext xmlns:c16="http://schemas.microsoft.com/office/drawing/2014/chart" uri="{C3380CC4-5D6E-409C-BE32-E72D297353CC}">
                <c16:uniqueId val="{00000005-582D-42E3-9013-83CD901B5980}"/>
              </c:ext>
            </c:extLst>
          </c:dPt>
          <c:dPt>
            <c:idx val="1"/>
            <c:invertIfNegative val="0"/>
            <c:bubble3D val="0"/>
            <c:spPr>
              <a:solidFill>
                <a:srgbClr val="003F57"/>
              </a:solidFill>
              <a:ln>
                <a:noFill/>
              </a:ln>
              <a:effectLst/>
            </c:spPr>
            <c:extLst>
              <c:ext xmlns:c16="http://schemas.microsoft.com/office/drawing/2014/chart" uri="{C3380CC4-5D6E-409C-BE32-E72D297353CC}">
                <c16:uniqueId val="{00000004-582D-42E3-9013-83CD901B5980}"/>
              </c:ext>
            </c:extLst>
          </c:dPt>
          <c:dPt>
            <c:idx val="2"/>
            <c:invertIfNegative val="0"/>
            <c:bubble3D val="0"/>
            <c:spPr>
              <a:solidFill>
                <a:srgbClr val="003F57"/>
              </a:solidFill>
              <a:ln>
                <a:noFill/>
              </a:ln>
              <a:effectLst/>
            </c:spPr>
            <c:extLst>
              <c:ext xmlns:c16="http://schemas.microsoft.com/office/drawing/2014/chart" uri="{C3380CC4-5D6E-409C-BE32-E72D297353CC}">
                <c16:uniqueId val="{00000003-582D-42E3-9013-83CD901B5980}"/>
              </c:ext>
            </c:extLst>
          </c:dPt>
          <c:dPt>
            <c:idx val="3"/>
            <c:invertIfNegative val="0"/>
            <c:bubble3D val="0"/>
            <c:spPr>
              <a:solidFill>
                <a:srgbClr val="003F57"/>
              </a:solidFill>
              <a:ln>
                <a:noFill/>
              </a:ln>
              <a:effectLst/>
            </c:spPr>
            <c:extLst>
              <c:ext xmlns:c16="http://schemas.microsoft.com/office/drawing/2014/chart" uri="{C3380CC4-5D6E-409C-BE32-E72D297353CC}">
                <c16:uniqueId val="{00000002-582D-42E3-9013-83CD901B5980}"/>
              </c:ext>
            </c:extLst>
          </c:dPt>
          <c:dPt>
            <c:idx val="4"/>
            <c:invertIfNegative val="0"/>
            <c:bubble3D val="0"/>
            <c:spPr>
              <a:solidFill>
                <a:srgbClr val="FA6E00"/>
              </a:solidFill>
              <a:ln>
                <a:noFill/>
              </a:ln>
              <a:effectLst/>
            </c:spPr>
            <c:extLst>
              <c:ext xmlns:c16="http://schemas.microsoft.com/office/drawing/2014/chart" uri="{C3380CC4-5D6E-409C-BE32-E72D297353CC}">
                <c16:uniqueId val="{00000000-582D-42E3-9013-83CD901B5980}"/>
              </c:ext>
            </c:extLst>
          </c:dPt>
          <c:dPt>
            <c:idx val="5"/>
            <c:invertIfNegative val="0"/>
            <c:bubble3D val="0"/>
            <c:spPr>
              <a:solidFill>
                <a:srgbClr val="FA6E00"/>
              </a:solidFill>
              <a:ln>
                <a:noFill/>
              </a:ln>
              <a:effectLst/>
            </c:spPr>
            <c:extLst>
              <c:ext xmlns:c16="http://schemas.microsoft.com/office/drawing/2014/chart" uri="{C3380CC4-5D6E-409C-BE32-E72D297353CC}">
                <c16:uniqueId val="{00000001-582D-42E3-9013-83CD901B5980}"/>
              </c:ext>
            </c:extLst>
          </c:dPt>
          <c:dPt>
            <c:idx val="6"/>
            <c:invertIfNegative val="0"/>
            <c:bubble3D val="0"/>
            <c:spPr>
              <a:solidFill>
                <a:srgbClr val="FA6E00"/>
              </a:solidFill>
              <a:ln>
                <a:noFill/>
              </a:ln>
              <a:effectLst/>
            </c:spPr>
            <c:extLst>
              <c:ext xmlns:c16="http://schemas.microsoft.com/office/drawing/2014/chart" uri="{C3380CC4-5D6E-409C-BE32-E72D297353CC}">
                <c16:uniqueId val="{00000006-582D-42E3-9013-83CD901B5980}"/>
              </c:ext>
            </c:extLst>
          </c:dPt>
          <c:dPt>
            <c:idx val="7"/>
            <c:invertIfNegative val="0"/>
            <c:bubble3D val="0"/>
            <c:spPr>
              <a:solidFill>
                <a:srgbClr val="FA6E00"/>
              </a:solidFill>
              <a:ln>
                <a:noFill/>
              </a:ln>
              <a:effectLst/>
            </c:spPr>
            <c:extLst>
              <c:ext xmlns:c16="http://schemas.microsoft.com/office/drawing/2014/chart" uri="{C3380CC4-5D6E-409C-BE32-E72D297353CC}">
                <c16:uniqueId val="{00000007-582D-42E3-9013-83CD901B5980}"/>
              </c:ext>
            </c:extLst>
          </c:dPt>
          <c:dPt>
            <c:idx val="8"/>
            <c:invertIfNegative val="0"/>
            <c:bubble3D val="0"/>
            <c:spPr>
              <a:solidFill>
                <a:srgbClr val="AEBEB6"/>
              </a:solidFill>
              <a:ln>
                <a:noFill/>
              </a:ln>
              <a:effectLst/>
            </c:spPr>
            <c:extLst>
              <c:ext xmlns:c16="http://schemas.microsoft.com/office/drawing/2014/chart" uri="{C3380CC4-5D6E-409C-BE32-E72D297353CC}">
                <c16:uniqueId val="{00000008-582D-42E3-9013-83CD901B5980}"/>
              </c:ext>
            </c:extLst>
          </c:dPt>
          <c:dPt>
            <c:idx val="9"/>
            <c:invertIfNegative val="0"/>
            <c:bubble3D val="0"/>
            <c:spPr>
              <a:solidFill>
                <a:srgbClr val="AEBEB6"/>
              </a:solidFill>
              <a:ln>
                <a:noFill/>
              </a:ln>
              <a:effectLst/>
            </c:spPr>
            <c:extLst>
              <c:ext xmlns:c16="http://schemas.microsoft.com/office/drawing/2014/chart" uri="{C3380CC4-5D6E-409C-BE32-E72D297353CC}">
                <c16:uniqueId val="{00000009-582D-42E3-9013-83CD901B5980}"/>
              </c:ext>
            </c:extLst>
          </c:dPt>
          <c:dPt>
            <c:idx val="10"/>
            <c:invertIfNegative val="0"/>
            <c:bubble3D val="0"/>
            <c:spPr>
              <a:solidFill>
                <a:srgbClr val="AEBEB6"/>
              </a:solidFill>
              <a:ln>
                <a:noFill/>
              </a:ln>
              <a:effectLst/>
            </c:spPr>
            <c:extLst>
              <c:ext xmlns:c16="http://schemas.microsoft.com/office/drawing/2014/chart" uri="{C3380CC4-5D6E-409C-BE32-E72D297353CC}">
                <c16:uniqueId val="{0000000A-582D-42E3-9013-83CD901B5980}"/>
              </c:ext>
            </c:extLst>
          </c:dPt>
          <c:dPt>
            <c:idx val="11"/>
            <c:invertIfNegative val="0"/>
            <c:bubble3D val="0"/>
            <c:spPr>
              <a:solidFill>
                <a:srgbClr val="AEBEB6"/>
              </a:solidFill>
              <a:ln>
                <a:noFill/>
              </a:ln>
              <a:effectLst/>
            </c:spPr>
            <c:extLst>
              <c:ext xmlns:c16="http://schemas.microsoft.com/office/drawing/2014/chart" uri="{C3380CC4-5D6E-409C-BE32-E72D297353CC}">
                <c16:uniqueId val="{0000000B-582D-42E3-9013-83CD901B5980}"/>
              </c:ext>
            </c:extLst>
          </c:dPt>
          <c:dPt>
            <c:idx val="12"/>
            <c:invertIfNegative val="0"/>
            <c:bubble3D val="0"/>
            <c:spPr>
              <a:solidFill>
                <a:srgbClr val="AEBEB6"/>
              </a:solidFill>
              <a:ln>
                <a:noFill/>
              </a:ln>
              <a:effectLst/>
            </c:spPr>
            <c:extLst>
              <c:ext xmlns:c16="http://schemas.microsoft.com/office/drawing/2014/chart" uri="{C3380CC4-5D6E-409C-BE32-E72D297353CC}">
                <c16:uniqueId val="{0000000C-582D-42E3-9013-83CD901B5980}"/>
              </c:ext>
            </c:extLst>
          </c:dPt>
          <c:dPt>
            <c:idx val="13"/>
            <c:invertIfNegative val="0"/>
            <c:bubble3D val="0"/>
            <c:spPr>
              <a:solidFill>
                <a:srgbClr val="AEBEB6"/>
              </a:solidFill>
              <a:ln>
                <a:noFill/>
              </a:ln>
              <a:effectLst/>
            </c:spPr>
            <c:extLst>
              <c:ext xmlns:c16="http://schemas.microsoft.com/office/drawing/2014/chart" uri="{C3380CC4-5D6E-409C-BE32-E72D297353CC}">
                <c16:uniqueId val="{0000000D-582D-42E3-9013-83CD901B5980}"/>
              </c:ext>
            </c:extLst>
          </c:dPt>
          <c:dPt>
            <c:idx val="14"/>
            <c:invertIfNegative val="0"/>
            <c:bubble3D val="0"/>
            <c:spPr>
              <a:solidFill>
                <a:srgbClr val="AEBEB6"/>
              </a:solidFill>
              <a:ln>
                <a:noFill/>
              </a:ln>
              <a:effectLst/>
            </c:spPr>
            <c:extLst>
              <c:ext xmlns:c16="http://schemas.microsoft.com/office/drawing/2014/chart" uri="{C3380CC4-5D6E-409C-BE32-E72D297353CC}">
                <c16:uniqueId val="{0000000E-582D-42E3-9013-83CD901B5980}"/>
              </c:ext>
            </c:extLst>
          </c:dPt>
          <c:dPt>
            <c:idx val="15"/>
            <c:invertIfNegative val="0"/>
            <c:bubble3D val="0"/>
            <c:spPr>
              <a:solidFill>
                <a:srgbClr val="AEBEB6"/>
              </a:solidFill>
              <a:ln>
                <a:noFill/>
              </a:ln>
              <a:effectLst/>
            </c:spPr>
            <c:extLst>
              <c:ext xmlns:c16="http://schemas.microsoft.com/office/drawing/2014/chart" uri="{C3380CC4-5D6E-409C-BE32-E72D297353CC}">
                <c16:uniqueId val="{0000000F-582D-42E3-9013-83CD901B5980}"/>
              </c:ext>
            </c:extLst>
          </c:dPt>
          <c:dPt>
            <c:idx val="16"/>
            <c:invertIfNegative val="0"/>
            <c:bubble3D val="0"/>
            <c:spPr>
              <a:solidFill>
                <a:srgbClr val="AEBEB6"/>
              </a:solidFill>
              <a:ln>
                <a:noFill/>
              </a:ln>
              <a:effectLst/>
            </c:spPr>
            <c:extLst>
              <c:ext xmlns:c16="http://schemas.microsoft.com/office/drawing/2014/chart" uri="{C3380CC4-5D6E-409C-BE32-E72D297353CC}">
                <c16:uniqueId val="{00000010-582D-42E3-9013-83CD901B5980}"/>
              </c:ext>
            </c:extLst>
          </c:dPt>
          <c:dPt>
            <c:idx val="17"/>
            <c:invertIfNegative val="0"/>
            <c:bubble3D val="0"/>
            <c:spPr>
              <a:solidFill>
                <a:srgbClr val="AEBEB6"/>
              </a:solidFill>
              <a:ln>
                <a:noFill/>
              </a:ln>
              <a:effectLst/>
            </c:spPr>
            <c:extLst>
              <c:ext xmlns:c16="http://schemas.microsoft.com/office/drawing/2014/chart" uri="{C3380CC4-5D6E-409C-BE32-E72D297353CC}">
                <c16:uniqueId val="{00000011-582D-42E3-9013-83CD901B5980}"/>
              </c:ext>
            </c:extLst>
          </c:dPt>
          <c:dPt>
            <c:idx val="18"/>
            <c:invertIfNegative val="0"/>
            <c:bubble3D val="0"/>
            <c:spPr>
              <a:solidFill>
                <a:srgbClr val="AEBEB6"/>
              </a:solidFill>
              <a:ln>
                <a:noFill/>
              </a:ln>
              <a:effectLst/>
            </c:spPr>
            <c:extLst>
              <c:ext xmlns:c16="http://schemas.microsoft.com/office/drawing/2014/chart" uri="{C3380CC4-5D6E-409C-BE32-E72D297353CC}">
                <c16:uniqueId val="{00000012-582D-42E3-9013-83CD901B5980}"/>
              </c:ext>
            </c:extLst>
          </c:dPt>
          <c:dPt>
            <c:idx val="19"/>
            <c:invertIfNegative val="0"/>
            <c:bubble3D val="0"/>
            <c:spPr>
              <a:solidFill>
                <a:srgbClr val="AEBEB6"/>
              </a:solidFill>
              <a:ln>
                <a:noFill/>
              </a:ln>
              <a:effectLst/>
            </c:spPr>
            <c:extLst>
              <c:ext xmlns:c16="http://schemas.microsoft.com/office/drawing/2014/chart" uri="{C3380CC4-5D6E-409C-BE32-E72D297353CC}">
                <c16:uniqueId val="{00000013-582D-42E3-9013-83CD901B5980}"/>
              </c:ext>
            </c:extLst>
          </c:dPt>
          <c:dPt>
            <c:idx val="20"/>
            <c:invertIfNegative val="0"/>
            <c:bubble3D val="0"/>
            <c:spPr>
              <a:pattFill prst="dkDnDiag">
                <a:fgClr>
                  <a:srgbClr val="AEBEB6"/>
                </a:fgClr>
                <a:bgClr>
                  <a:schemeClr val="bg1"/>
                </a:bgClr>
              </a:pattFill>
              <a:ln>
                <a:solidFill>
                  <a:srgbClr val="AEBEB6"/>
                </a:solidFill>
              </a:ln>
              <a:effectLst/>
            </c:spPr>
            <c:extLst>
              <c:ext xmlns:c16="http://schemas.microsoft.com/office/drawing/2014/chart" uri="{C3380CC4-5D6E-409C-BE32-E72D297353CC}">
                <c16:uniqueId val="{00000014-582D-42E3-9013-83CD901B5980}"/>
              </c:ext>
            </c:extLst>
          </c:dPt>
          <c:dPt>
            <c:idx val="21"/>
            <c:invertIfNegative val="0"/>
            <c:bubble3D val="0"/>
            <c:spPr>
              <a:pattFill prst="dkDnDiag">
                <a:fgClr>
                  <a:srgbClr val="AEBEB6"/>
                </a:fgClr>
                <a:bgClr>
                  <a:schemeClr val="bg1"/>
                </a:bgClr>
              </a:pattFill>
              <a:ln>
                <a:solidFill>
                  <a:srgbClr val="AEBEB6"/>
                </a:solidFill>
              </a:ln>
              <a:effectLst/>
            </c:spPr>
            <c:extLst>
              <c:ext xmlns:c16="http://schemas.microsoft.com/office/drawing/2014/chart" uri="{C3380CC4-5D6E-409C-BE32-E72D297353CC}">
                <c16:uniqueId val="{00000015-582D-42E3-9013-83CD901B5980}"/>
              </c:ext>
            </c:extLst>
          </c:dPt>
          <c:dPt>
            <c:idx val="22"/>
            <c:invertIfNegative val="0"/>
            <c:bubble3D val="0"/>
            <c:spPr>
              <a:pattFill prst="dkDnDiag">
                <a:fgClr>
                  <a:srgbClr val="AEBEB6"/>
                </a:fgClr>
                <a:bgClr>
                  <a:schemeClr val="bg1"/>
                </a:bgClr>
              </a:pattFill>
              <a:ln>
                <a:solidFill>
                  <a:srgbClr val="AEBEB6"/>
                </a:solidFill>
              </a:ln>
              <a:effectLst/>
            </c:spPr>
            <c:extLst>
              <c:ext xmlns:c16="http://schemas.microsoft.com/office/drawing/2014/chart" uri="{C3380CC4-5D6E-409C-BE32-E72D297353CC}">
                <c16:uniqueId val="{00000016-582D-42E3-9013-83CD901B5980}"/>
              </c:ext>
            </c:extLst>
          </c:dPt>
          <c:dPt>
            <c:idx val="23"/>
            <c:invertIfNegative val="0"/>
            <c:bubble3D val="0"/>
            <c:spPr>
              <a:pattFill prst="dkDnDiag">
                <a:fgClr>
                  <a:srgbClr val="AEBEB6"/>
                </a:fgClr>
                <a:bgClr>
                  <a:schemeClr val="bg1"/>
                </a:bgClr>
              </a:pattFill>
              <a:ln>
                <a:solidFill>
                  <a:srgbClr val="AEBEB6"/>
                </a:solidFill>
              </a:ln>
              <a:effectLst/>
            </c:spPr>
            <c:extLst>
              <c:ext xmlns:c16="http://schemas.microsoft.com/office/drawing/2014/chart" uri="{C3380CC4-5D6E-409C-BE32-E72D297353CC}">
                <c16:uniqueId val="{00000017-582D-42E3-9013-83CD901B5980}"/>
              </c:ext>
            </c:extLst>
          </c:dPt>
          <c:dPt>
            <c:idx val="24"/>
            <c:invertIfNegative val="0"/>
            <c:bubble3D val="0"/>
            <c:spPr>
              <a:pattFill prst="dkDnDiag">
                <a:fgClr>
                  <a:srgbClr val="AEBEB6"/>
                </a:fgClr>
                <a:bgClr>
                  <a:schemeClr val="bg1"/>
                </a:bgClr>
              </a:pattFill>
              <a:ln>
                <a:solidFill>
                  <a:srgbClr val="AEBEB6"/>
                </a:solidFill>
              </a:ln>
              <a:effectLst/>
            </c:spPr>
            <c:extLst>
              <c:ext xmlns:c16="http://schemas.microsoft.com/office/drawing/2014/chart" uri="{C3380CC4-5D6E-409C-BE32-E72D297353CC}">
                <c16:uniqueId val="{00000018-582D-42E3-9013-83CD901B5980}"/>
              </c:ext>
            </c:extLst>
          </c:dPt>
          <c:dPt>
            <c:idx val="25"/>
            <c:invertIfNegative val="0"/>
            <c:bubble3D val="0"/>
            <c:spPr>
              <a:pattFill prst="dkDnDiag">
                <a:fgClr>
                  <a:srgbClr val="AEBEB6"/>
                </a:fgClr>
                <a:bgClr>
                  <a:schemeClr val="bg1"/>
                </a:bgClr>
              </a:pattFill>
              <a:ln>
                <a:solidFill>
                  <a:srgbClr val="AEBEB6"/>
                </a:solidFill>
              </a:ln>
              <a:effectLst/>
            </c:spPr>
            <c:extLst>
              <c:ext xmlns:c16="http://schemas.microsoft.com/office/drawing/2014/chart" uri="{C3380CC4-5D6E-409C-BE32-E72D297353CC}">
                <c16:uniqueId val="{00000019-582D-42E3-9013-83CD901B5980}"/>
              </c:ext>
            </c:extLst>
          </c:dPt>
          <c:dPt>
            <c:idx val="26"/>
            <c:invertIfNegative val="0"/>
            <c:bubble3D val="0"/>
            <c:spPr>
              <a:pattFill prst="dkDnDiag">
                <a:fgClr>
                  <a:srgbClr val="AEBEB6"/>
                </a:fgClr>
                <a:bgClr>
                  <a:schemeClr val="bg1"/>
                </a:bgClr>
              </a:pattFill>
              <a:ln>
                <a:solidFill>
                  <a:srgbClr val="AEBEB6"/>
                </a:solidFill>
              </a:ln>
              <a:effectLst/>
            </c:spPr>
            <c:extLst>
              <c:ext xmlns:c16="http://schemas.microsoft.com/office/drawing/2014/chart" uri="{C3380CC4-5D6E-409C-BE32-E72D297353CC}">
                <c16:uniqueId val="{0000001A-582D-42E3-9013-83CD901B5980}"/>
              </c:ext>
            </c:extLst>
          </c:dPt>
          <c:dPt>
            <c:idx val="27"/>
            <c:invertIfNegative val="0"/>
            <c:bubble3D val="0"/>
            <c:spPr>
              <a:pattFill prst="dkDnDiag">
                <a:fgClr>
                  <a:srgbClr val="AEBEB6"/>
                </a:fgClr>
                <a:bgClr>
                  <a:schemeClr val="bg1"/>
                </a:bgClr>
              </a:pattFill>
              <a:ln>
                <a:solidFill>
                  <a:srgbClr val="AEBEB6"/>
                </a:solidFill>
              </a:ln>
              <a:effectLst/>
            </c:spPr>
            <c:extLst>
              <c:ext xmlns:c16="http://schemas.microsoft.com/office/drawing/2014/chart" uri="{C3380CC4-5D6E-409C-BE32-E72D297353CC}">
                <c16:uniqueId val="{0000001B-582D-42E3-9013-83CD901B5980}"/>
              </c:ext>
            </c:extLst>
          </c:dPt>
          <c:dPt>
            <c:idx val="28"/>
            <c:invertIfNegative val="0"/>
            <c:bubble3D val="0"/>
            <c:spPr>
              <a:pattFill prst="dkDnDiag">
                <a:fgClr>
                  <a:srgbClr val="AEBEB6"/>
                </a:fgClr>
                <a:bgClr>
                  <a:schemeClr val="bg1"/>
                </a:bgClr>
              </a:pattFill>
              <a:ln>
                <a:solidFill>
                  <a:srgbClr val="AEBEB6"/>
                </a:solidFill>
              </a:ln>
              <a:effectLst/>
            </c:spPr>
            <c:extLst>
              <c:ext xmlns:c16="http://schemas.microsoft.com/office/drawing/2014/chart" uri="{C3380CC4-5D6E-409C-BE32-E72D297353CC}">
                <c16:uniqueId val="{0000001C-582D-42E3-9013-83CD901B5980}"/>
              </c:ext>
            </c:extLst>
          </c:dPt>
          <c:dPt>
            <c:idx val="29"/>
            <c:invertIfNegative val="0"/>
            <c:bubble3D val="0"/>
            <c:spPr>
              <a:pattFill prst="dkDnDiag">
                <a:fgClr>
                  <a:srgbClr val="AEBEB6"/>
                </a:fgClr>
                <a:bgClr>
                  <a:schemeClr val="bg1"/>
                </a:bgClr>
              </a:pattFill>
              <a:ln>
                <a:solidFill>
                  <a:srgbClr val="AEBEB6"/>
                </a:solidFill>
              </a:ln>
              <a:effectLst/>
            </c:spPr>
            <c:extLst>
              <c:ext xmlns:c16="http://schemas.microsoft.com/office/drawing/2014/chart" uri="{C3380CC4-5D6E-409C-BE32-E72D297353CC}">
                <c16:uniqueId val="{0000001D-582D-42E3-9013-83CD901B5980}"/>
              </c:ext>
            </c:extLst>
          </c:dPt>
          <c:dPt>
            <c:idx val="30"/>
            <c:invertIfNegative val="0"/>
            <c:bubble3D val="0"/>
            <c:spPr>
              <a:pattFill prst="dkDnDiag">
                <a:fgClr>
                  <a:srgbClr val="AEBEB6"/>
                </a:fgClr>
                <a:bgClr>
                  <a:schemeClr val="bg1"/>
                </a:bgClr>
              </a:pattFill>
              <a:ln>
                <a:solidFill>
                  <a:srgbClr val="AEBEB6"/>
                </a:solidFill>
              </a:ln>
              <a:effectLst/>
            </c:spPr>
            <c:extLst>
              <c:ext xmlns:c16="http://schemas.microsoft.com/office/drawing/2014/chart" uri="{C3380CC4-5D6E-409C-BE32-E72D297353CC}">
                <c16:uniqueId val="{0000001E-582D-42E3-9013-83CD901B5980}"/>
              </c:ext>
            </c:extLst>
          </c:dPt>
          <c:dPt>
            <c:idx val="31"/>
            <c:invertIfNegative val="0"/>
            <c:bubble3D val="0"/>
            <c:spPr>
              <a:pattFill prst="dkDnDiag">
                <a:fgClr>
                  <a:srgbClr val="AEBEB6"/>
                </a:fgClr>
                <a:bgClr>
                  <a:schemeClr val="bg1"/>
                </a:bgClr>
              </a:pattFill>
              <a:ln>
                <a:solidFill>
                  <a:srgbClr val="AEBEB6"/>
                </a:solidFill>
              </a:ln>
              <a:effectLst/>
            </c:spPr>
            <c:extLst>
              <c:ext xmlns:c16="http://schemas.microsoft.com/office/drawing/2014/chart" uri="{C3380CC4-5D6E-409C-BE32-E72D297353CC}">
                <c16:uniqueId val="{0000001F-582D-42E3-9013-83CD901B5980}"/>
              </c:ext>
            </c:extLst>
          </c:dPt>
          <c:dPt>
            <c:idx val="32"/>
            <c:invertIfNegative val="0"/>
            <c:bubble3D val="0"/>
            <c:spPr>
              <a:pattFill prst="dkDnDiag">
                <a:fgClr>
                  <a:srgbClr val="AEBEB6"/>
                </a:fgClr>
                <a:bgClr>
                  <a:schemeClr val="bg1"/>
                </a:bgClr>
              </a:pattFill>
              <a:ln>
                <a:solidFill>
                  <a:srgbClr val="AEBEB6"/>
                </a:solidFill>
              </a:ln>
              <a:effectLst/>
            </c:spPr>
            <c:extLst>
              <c:ext xmlns:c16="http://schemas.microsoft.com/office/drawing/2014/chart" uri="{C3380CC4-5D6E-409C-BE32-E72D297353CC}">
                <c16:uniqueId val="{00000020-582D-42E3-9013-83CD901B5980}"/>
              </c:ext>
            </c:extLst>
          </c:dPt>
          <c:cat>
            <c:strRef>
              <c:extLst>
                <c:ext xmlns:c15="http://schemas.microsoft.com/office/drawing/2012/chart" uri="{02D57815-91ED-43cb-92C2-25804820EDAC}">
                  <c15:fullRef>
                    <c15:sqref>'R1_Econ.'!$B$12:$B$45</c15:sqref>
                  </c15:fullRef>
                </c:ext>
              </c:extLst>
              <c:f>'R1_Econ.'!$B$12:$B$44</c:f>
              <c:strCache>
                <c:ptCount val="33"/>
                <c:pt idx="0">
                  <c:v>Storage</c:v>
                </c:pt>
                <c:pt idx="1">
                  <c:v>Storage (defective)</c:v>
                </c:pt>
                <c:pt idx="2">
                  <c:v>Discharge</c:v>
                </c:pt>
                <c:pt idx="3">
                  <c:v>Disassembly</c:v>
                </c:pt>
                <c:pt idx="4">
                  <c:v>Melting down</c:v>
                </c:pt>
                <c:pt idx="5">
                  <c:v>Exhaust gas cleaning</c:v>
                </c:pt>
                <c:pt idx="6">
                  <c:v>Mill 1</c:v>
                </c:pt>
                <c:pt idx="7">
                  <c:v>Mill 2</c:v>
                </c:pt>
                <c:pt idx="8">
                  <c:v>Exposure</c:v>
                </c:pt>
                <c:pt idx="9">
                  <c:v>Leaching</c:v>
                </c:pt>
                <c:pt idx="10">
                  <c:v>Cementation Cu</c:v>
                </c:pt>
                <c:pt idx="11">
                  <c:v>Filtration Cu</c:v>
                </c:pt>
                <c:pt idx="12">
                  <c:v>Oxidation Fe</c:v>
                </c:pt>
                <c:pt idx="13">
                  <c:v>Precipitation Fe</c:v>
                </c:pt>
                <c:pt idx="14">
                  <c:v>Filtration Fe</c:v>
                </c:pt>
                <c:pt idx="15">
                  <c:v>Extraction Co</c:v>
                </c:pt>
                <c:pt idx="16">
                  <c:v>Scrubbing co</c:v>
                </c:pt>
                <c:pt idx="17">
                  <c:v>Stripping Co</c:v>
                </c:pt>
                <c:pt idx="18">
                  <c:v>Crystallization Ni</c:v>
                </c:pt>
                <c:pt idx="19">
                  <c:v>Crystallization Co</c:v>
                </c:pt>
                <c:pt idx="20">
                  <c:v>
Digestion (140 ° C)</c:v>
                </c:pt>
                <c:pt idx="21">
                  <c:v>Leaching</c:v>
                </c:pt>
                <c:pt idx="22">
                  <c:v>Filtration SiO2, CaSO4</c:v>
                </c:pt>
                <c:pt idx="23">
                  <c:v>Oxidation Fe</c:v>
                </c:pt>
                <c:pt idx="24">
                  <c:v>Precipitation Fe, Al</c:v>
                </c:pt>
                <c:pt idx="25">
                  <c:v>Filtration Fe, Al</c:v>
                </c:pt>
                <c:pt idx="26">
                  <c:v>Extraction Mn</c:v>
                </c:pt>
                <c:pt idx="27">
                  <c:v>Scrubbing Mn</c:v>
                </c:pt>
                <c:pt idx="28">
                  <c:v>Stripping Mn</c:v>
                </c:pt>
                <c:pt idx="29">
                  <c:v>Crystallization Mn</c:v>
                </c:pt>
                <c:pt idx="30">
                  <c:v>Concentration Li</c:v>
                </c:pt>
                <c:pt idx="31">
                  <c:v>Precipitation Li (90 ° C)</c:v>
                </c:pt>
                <c:pt idx="32">
                  <c:v>Filtration Li</c:v>
                </c:pt>
              </c:strCache>
            </c:strRef>
          </c:cat>
          <c:val>
            <c:numRef>
              <c:extLst>
                <c:ext xmlns:c15="http://schemas.microsoft.com/office/drawing/2012/chart" uri="{02D57815-91ED-43cb-92C2-25804820EDAC}">
                  <c15:fullRef>
                    <c15:sqref>'R1_Econ.'!$J$12:$J$45</c15:sqref>
                  </c15:fullRef>
                </c:ext>
              </c:extLst>
              <c:f>'R1_Econ.'!$J$12:$J$44</c:f>
              <c:numCache>
                <c:formatCode>_-* #,##0\ "€"_-;\-* #,##0\ "€"_-;_-* "-"??\ "€"_-;_-@_-</c:formatCode>
                <c:ptCount val="33"/>
                <c:pt idx="0">
                  <c:v>0</c:v>
                </c:pt>
                <c:pt idx="1">
                  <c:v>31046.719681908551</c:v>
                </c:pt>
                <c:pt idx="2">
                  <c:v>0</c:v>
                </c:pt>
                <c:pt idx="3">
                  <c:v>0</c:v>
                </c:pt>
                <c:pt idx="4">
                  <c:v>600074.7670171163</c:v>
                </c:pt>
                <c:pt idx="5">
                  <c:v>3141831.2410692242</c:v>
                </c:pt>
                <c:pt idx="6">
                  <c:v>310625.10984528187</c:v>
                </c:pt>
                <c:pt idx="7">
                  <c:v>310625.10984528187</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extLst>
            <c:ext xmlns:c15="http://schemas.microsoft.com/office/drawing/2012/chart" uri="{02D57815-91ED-43cb-92C2-25804820EDAC}">
              <c15:categoryFilterExceptions>
                <c15:categoryFilterException>
                  <c15:sqref>'R1_Econ.'!$J$45</c15:sqref>
                  <c15:spPr xmlns:c15="http://schemas.microsoft.com/office/drawing/2012/chart">
                    <a:pattFill prst="dkDnDiag">
                      <a:fgClr>
                        <a:srgbClr val="AEBEB6"/>
                      </a:fgClr>
                      <a:bgClr>
                        <a:schemeClr val="bg1"/>
                      </a:bgClr>
                    </a:pattFill>
                    <a:ln>
                      <a:solidFill>
                        <a:srgbClr val="AEBEB6"/>
                      </a:solidFill>
                    </a:ln>
                    <a:effectLst/>
                  </c15:spPr>
                  <c15:invertIfNegative val="0"/>
                  <c15:bubble3D val="0"/>
                </c15:categoryFilterException>
              </c15:categoryFilterExceptions>
            </c:ext>
            <c:ext xmlns:c16="http://schemas.microsoft.com/office/drawing/2014/chart" uri="{C3380CC4-5D6E-409C-BE32-E72D297353CC}">
              <c16:uniqueId val="{0000003C-5354-4C98-8494-E076392EDB71}"/>
            </c:ext>
          </c:extLst>
        </c:ser>
        <c:dLbls>
          <c:showLegendKey val="0"/>
          <c:showVal val="0"/>
          <c:showCatName val="0"/>
          <c:showSerName val="0"/>
          <c:showPercent val="0"/>
          <c:showBubbleSize val="0"/>
        </c:dLbls>
        <c:gapWidth val="219"/>
        <c:axId val="646288960"/>
        <c:axId val="646292704"/>
      </c:barChart>
      <c:catAx>
        <c:axId val="646288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solidFill>
                <a:latin typeface="Arial" panose="020B0604020202020204" pitchFamily="34" charset="0"/>
                <a:ea typeface="+mn-ea"/>
                <a:cs typeface="Arial" panose="020B0604020202020204" pitchFamily="34" charset="0"/>
              </a:defRPr>
            </a:pPr>
            <a:endParaRPr lang="de-DE"/>
          </a:p>
        </c:txPr>
        <c:crossAx val="646292704"/>
        <c:crosses val="autoZero"/>
        <c:auto val="1"/>
        <c:lblAlgn val="ctr"/>
        <c:lblOffset val="100"/>
        <c:noMultiLvlLbl val="0"/>
      </c:catAx>
      <c:valAx>
        <c:axId val="646292704"/>
        <c:scaling>
          <c:orientation val="minMax"/>
        </c:scaling>
        <c:delete val="0"/>
        <c:axPos val="b"/>
        <c:majorGridlines>
          <c:spPr>
            <a:ln w="9525" cap="flat" cmpd="sng" algn="ctr">
              <a:solidFill>
                <a:schemeClr val="bg1">
                  <a:lumMod val="50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solidFill>
                <a:latin typeface="Arial" panose="020B0604020202020204" pitchFamily="34" charset="0"/>
                <a:ea typeface="+mn-ea"/>
                <a:cs typeface="Arial" panose="020B0604020202020204" pitchFamily="34" charset="0"/>
              </a:defRPr>
            </a:pPr>
            <a:endParaRPr lang="de-DE"/>
          </a:p>
        </c:txPr>
        <c:crossAx val="646288960"/>
        <c:crosses val="autoZero"/>
        <c:crossBetween val="between"/>
        <c:majorUnit val="1000000"/>
        <c:dispUnits>
          <c:builtInUnit val="millions"/>
          <c:dispUnitsLbl>
            <c:layout>
              <c:manualLayout>
                <c:xMode val="edge"/>
                <c:yMode val="edge"/>
                <c:x val="0.41671220762799788"/>
                <c:y val="0.91839313259378119"/>
              </c:manualLayout>
            </c:layout>
            <c:tx>
              <c:rich>
                <a:bodyPr rot="0" spcFirstLastPara="1" vertOverflow="ellipsis" vert="horz" wrap="square" anchor="ctr" anchorCtr="1"/>
                <a:lstStyle/>
                <a:p>
                  <a:pPr>
                    <a:defRPr sz="1050" b="0" i="0" u="none" strike="noStrike" kern="1200" baseline="0">
                      <a:solidFill>
                        <a:schemeClr val="tx1"/>
                      </a:solidFill>
                      <a:latin typeface="Arial" panose="020B0604020202020204" pitchFamily="34" charset="0"/>
                      <a:ea typeface="+mn-ea"/>
                      <a:cs typeface="Arial" panose="020B0604020202020204" pitchFamily="34" charset="0"/>
                    </a:defRPr>
                  </a:pPr>
                  <a:r>
                    <a:rPr lang="en-US" sz="1050" b="0" i="0" baseline="0">
                      <a:effectLst/>
                    </a:rPr>
                    <a:t>Process specific needed investment [M€]</a:t>
                  </a:r>
                  <a:endParaRPr lang="en-US" sz="1050">
                    <a:effectLst/>
                  </a:endParaRPr>
                </a:p>
              </c:rich>
            </c:tx>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Arial" panose="020B0604020202020204" pitchFamily="34" charset="0"/>
                    <a:ea typeface="+mn-ea"/>
                    <a:cs typeface="Arial" panose="020B0604020202020204" pitchFamily="34" charset="0"/>
                  </a:defRPr>
                </a:pPr>
                <a:endParaRPr lang="de-DE"/>
              </a:p>
            </c:txPr>
          </c:dispUnitsLbl>
        </c:dispUnits>
      </c:valAx>
      <c:spPr>
        <a:noFill/>
        <a:ln>
          <a:noFill/>
        </a:ln>
        <a:effectLst/>
      </c:spPr>
    </c:plotArea>
    <c:plotVisOnly val="1"/>
    <c:dispBlanksAs val="gap"/>
    <c:showDLblsOverMax val="0"/>
  </c:chart>
  <c:spPr>
    <a:solidFill>
      <a:schemeClr val="bg1">
        <a:lumMod val="85000"/>
      </a:schemeClr>
    </a:solidFill>
    <a:ln w="9525" cap="flat" cmpd="sng" algn="ctr">
      <a:noFill/>
      <a:round/>
    </a:ln>
    <a:effectLst/>
  </c:spPr>
  <c:txPr>
    <a:bodyPr/>
    <a:lstStyle/>
    <a:p>
      <a:pPr>
        <a:defRPr sz="1050">
          <a:solidFill>
            <a:schemeClr val="tx1"/>
          </a:solidFill>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60" b="0" i="0" u="none" strike="noStrike" kern="1200" spc="0" baseline="0">
                <a:solidFill>
                  <a:schemeClr val="tx1"/>
                </a:solidFill>
                <a:latin typeface="Arial" panose="020B0604020202020204" pitchFamily="34" charset="0"/>
                <a:ea typeface="+mn-ea"/>
                <a:cs typeface="Arial" panose="020B0604020202020204" pitchFamily="34" charset="0"/>
              </a:defRPr>
            </a:pPr>
            <a:r>
              <a:rPr lang="de-DE" sz="1260" b="0" i="0" u="none" strike="noStrike" baseline="0"/>
              <a:t>Revenues and costs per material flow</a:t>
            </a:r>
            <a:endParaRPr lang="de-DE"/>
          </a:p>
        </c:rich>
      </c:tx>
      <c:overlay val="0"/>
      <c:spPr>
        <a:noFill/>
        <a:ln>
          <a:noFill/>
        </a:ln>
        <a:effectLst/>
      </c:spPr>
      <c:txPr>
        <a:bodyPr rot="0" spcFirstLastPara="1" vertOverflow="ellipsis" vert="horz" wrap="square" anchor="ctr" anchorCtr="1"/>
        <a:lstStyle/>
        <a:p>
          <a:pPr>
            <a:defRPr sz="1260" b="0" i="0" u="none" strike="noStrike" kern="1200" spc="0" baseline="0">
              <a:solidFill>
                <a:schemeClr val="tx1"/>
              </a:solidFill>
              <a:latin typeface="Arial" panose="020B0604020202020204" pitchFamily="34" charset="0"/>
              <a:ea typeface="+mn-ea"/>
              <a:cs typeface="Arial" panose="020B0604020202020204" pitchFamily="34" charset="0"/>
            </a:defRPr>
          </a:pPr>
          <a:endParaRPr lang="de-DE"/>
        </a:p>
      </c:txPr>
    </c:title>
    <c:autoTitleDeleted val="0"/>
    <c:plotArea>
      <c:layout/>
      <c:barChart>
        <c:barDir val="bar"/>
        <c:grouping val="clustered"/>
        <c:varyColors val="0"/>
        <c:ser>
          <c:idx val="0"/>
          <c:order val="0"/>
          <c:tx>
            <c:v>Costs</c:v>
          </c:tx>
          <c:spPr>
            <a:solidFill>
              <a:schemeClr val="accent2"/>
            </a:solidFill>
            <a:ln w="9525">
              <a:noFill/>
            </a:ln>
            <a:effectLst/>
          </c:spPr>
          <c:invertIfNegative val="0"/>
          <c:cat>
            <c:strRef>
              <c:f>Evaluation!$B$29:$B$63</c:f>
              <c:strCache>
                <c:ptCount val="35"/>
                <c:pt idx="0">
                  <c:v>Waste (Incineration)</c:v>
                </c:pt>
                <c:pt idx="1">
                  <c:v>Wastewater (municipal)</c:v>
                </c:pt>
                <c:pt idx="2">
                  <c:v>Wastewater (industrial)</c:v>
                </c:pt>
                <c:pt idx="3">
                  <c:v>Aluminium</c:v>
                </c:pt>
                <c:pt idx="4">
                  <c:v>Aluminiumhydroxide</c:v>
                </c:pt>
                <c:pt idx="5">
                  <c:v>Calcium sulfate</c:v>
                </c:pt>
                <c:pt idx="6">
                  <c:v>CoSO4 * 7 H2O</c:v>
                </c:pt>
                <c:pt idx="7">
                  <c:v>Cyanex 272</c:v>
                </c:pt>
                <c:pt idx="8">
                  <c:v>Cyanex 301GN</c:v>
                </c:pt>
                <c:pt idx="9">
                  <c:v>D2EHPA</c:v>
                </c:pt>
                <c:pt idx="10">
                  <c:v>Iron</c:v>
                </c:pt>
                <c:pt idx="11">
                  <c:v>Iron hydroxide Fe (OH) 3</c:v>
                </c:pt>
                <c:pt idx="12">
                  <c:v>Electricity</c:v>
                </c:pt>
                <c:pt idx="13">
                  <c:v>Electrolyte</c:v>
                </c:pt>
                <c:pt idx="14">
                  <c:v>Electronic scrap (circuit board)</c:v>
                </c:pt>
                <c:pt idx="15">
                  <c:v>Natural gas (CH4)</c:v>
                </c:pt>
                <c:pt idx="16">
                  <c:v>Graphite</c:v>
                </c:pt>
                <c:pt idx="17">
                  <c:v>Cable</c:v>
                </c:pt>
                <c:pt idx="18">
                  <c:v>Limestone (CaO)</c:v>
                </c:pt>
                <c:pt idx="19">
                  <c:v>Kerosene</c:v>
                </c:pt>
                <c:pt idx="20">
                  <c:v>concentrated wastewater</c:v>
                </c:pt>
                <c:pt idx="21">
                  <c:v>Copper</c:v>
                </c:pt>
                <c:pt idx="22">
                  <c:v>Li2CO3 (anhydrous)</c:v>
                </c:pt>
                <c:pt idx="23">
                  <c:v>MnSO4 * 1 H2O</c:v>
                </c:pt>
                <c:pt idx="24">
                  <c:v>Sodium carbonate</c:v>
                </c:pt>
                <c:pt idx="25">
                  <c:v>Sodium hydrogen carbonate</c:v>
                </c:pt>
                <c:pt idx="26">
                  <c:v>Sodium hydroxide</c:v>
                </c:pt>
                <c:pt idx="27">
                  <c:v>NiSO4 * 6 H2O</c:v>
                </c:pt>
                <c:pt idx="28">
                  <c:v>Sand (SiO2)</c:v>
                </c:pt>
                <c:pt idx="29">
                  <c:v>Oxygen</c:v>
                </c:pt>
                <c:pt idx="30">
                  <c:v>Sulfuric acid (95%)</c:v>
                </c:pt>
                <c:pt idx="31">
                  <c:v>Steel</c:v>
                </c:pt>
                <c:pt idx="32">
                  <c:v>Nitrogen</c:v>
                </c:pt>
                <c:pt idx="33">
                  <c:v>Water (Input)</c:v>
                </c:pt>
                <c:pt idx="34">
                  <c:v>Hydrogen peroxide</c:v>
                </c:pt>
              </c:strCache>
            </c:strRef>
          </c:cat>
          <c:val>
            <c:numRef>
              <c:f>Evaluation!$E$29:$E$63</c:f>
              <c:numCache>
                <c:formatCode>_("€"* #,##0.00_);_("€"* \(#,##0.00\);_("€"* "-"??_);_(@_)</c:formatCode>
                <c:ptCount val="35"/>
                <c:pt idx="0">
                  <c:v>0</c:v>
                </c:pt>
                <c:pt idx="1">
                  <c:v>0</c:v>
                </c:pt>
                <c:pt idx="2">
                  <c:v>0</c:v>
                </c:pt>
                <c:pt idx="7">
                  <c:v>0</c:v>
                </c:pt>
                <c:pt idx="8">
                  <c:v>0</c:v>
                </c:pt>
                <c:pt idx="9">
                  <c:v>0</c:v>
                </c:pt>
                <c:pt idx="10">
                  <c:v>0</c:v>
                </c:pt>
                <c:pt idx="12">
                  <c:v>0</c:v>
                </c:pt>
                <c:pt idx="15">
                  <c:v>0</c:v>
                </c:pt>
                <c:pt idx="19">
                  <c:v>0</c:v>
                </c:pt>
                <c:pt idx="20">
                  <c:v>0</c:v>
                </c:pt>
                <c:pt idx="24">
                  <c:v>0</c:v>
                </c:pt>
                <c:pt idx="26">
                  <c:v>0</c:v>
                </c:pt>
                <c:pt idx="30">
                  <c:v>0</c:v>
                </c:pt>
                <c:pt idx="32">
                  <c:v>0</c:v>
                </c:pt>
                <c:pt idx="33">
                  <c:v>0</c:v>
                </c:pt>
                <c:pt idx="34">
                  <c:v>0</c:v>
                </c:pt>
              </c:numCache>
            </c:numRef>
          </c:val>
          <c:extLst>
            <c:ext xmlns:c16="http://schemas.microsoft.com/office/drawing/2014/chart" uri="{C3380CC4-5D6E-409C-BE32-E72D297353CC}">
              <c16:uniqueId val="{00000000-82E3-407A-B2AC-1E25CEF47004}"/>
            </c:ext>
          </c:extLst>
        </c:ser>
        <c:ser>
          <c:idx val="1"/>
          <c:order val="1"/>
          <c:tx>
            <c:v>Revenues</c:v>
          </c:tx>
          <c:spPr>
            <a:solidFill>
              <a:srgbClr val="003F57"/>
            </a:solidFill>
            <a:ln w="9525">
              <a:noFill/>
            </a:ln>
            <a:effectLst/>
          </c:spPr>
          <c:invertIfNegative val="0"/>
          <c:val>
            <c:numRef>
              <c:f>Evaluation!$F$29:$F$63</c:f>
              <c:numCache>
                <c:formatCode>_("€"* #,##0.00_);_("€"* \(#,##0.00\);_("€"* "-"??_);_(@_)</c:formatCode>
                <c:ptCount val="35"/>
                <c:pt idx="3">
                  <c:v>0</c:v>
                </c:pt>
                <c:pt idx="4">
                  <c:v>0</c:v>
                </c:pt>
                <c:pt idx="6">
                  <c:v>0</c:v>
                </c:pt>
                <c:pt idx="11">
                  <c:v>0</c:v>
                </c:pt>
                <c:pt idx="12">
                  <c:v>0</c:v>
                </c:pt>
                <c:pt idx="13">
                  <c:v>0</c:v>
                </c:pt>
                <c:pt idx="14">
                  <c:v>0</c:v>
                </c:pt>
                <c:pt idx="16">
                  <c:v>0</c:v>
                </c:pt>
                <c:pt idx="17">
                  <c:v>0</c:v>
                </c:pt>
                <c:pt idx="21">
                  <c:v>0</c:v>
                </c:pt>
                <c:pt idx="22">
                  <c:v>0</c:v>
                </c:pt>
                <c:pt idx="23">
                  <c:v>0</c:v>
                </c:pt>
                <c:pt idx="27">
                  <c:v>0</c:v>
                </c:pt>
                <c:pt idx="31">
                  <c:v>0</c:v>
                </c:pt>
              </c:numCache>
            </c:numRef>
          </c:val>
          <c:extLst>
            <c:ext xmlns:c16="http://schemas.microsoft.com/office/drawing/2014/chart" uri="{C3380CC4-5D6E-409C-BE32-E72D297353CC}">
              <c16:uniqueId val="{00000001-82E3-407A-B2AC-1E25CEF47004}"/>
            </c:ext>
          </c:extLst>
        </c:ser>
        <c:dLbls>
          <c:showLegendKey val="0"/>
          <c:showVal val="0"/>
          <c:showCatName val="0"/>
          <c:showSerName val="0"/>
          <c:showPercent val="0"/>
          <c:showBubbleSize val="0"/>
        </c:dLbls>
        <c:gapWidth val="100"/>
        <c:axId val="394723984"/>
        <c:axId val="394715248"/>
      </c:barChart>
      <c:valAx>
        <c:axId val="394715248"/>
        <c:scaling>
          <c:orientation val="minMax"/>
        </c:scaling>
        <c:delete val="0"/>
        <c:axPos val="b"/>
        <c:majorGridlines>
          <c:spPr>
            <a:ln w="9525" cap="flat" cmpd="sng" algn="ctr">
              <a:solidFill>
                <a:schemeClr val="bg1">
                  <a:lumMod val="50000"/>
                </a:schemeClr>
              </a:solidFill>
              <a:round/>
            </a:ln>
            <a:effectLst/>
          </c:spPr>
        </c:majorGridlines>
        <c:minorGridlines>
          <c:spPr>
            <a:ln w="9525" cap="flat" cmpd="sng" algn="ctr">
              <a:solidFill>
                <a:schemeClr val="tx1">
                  <a:lumMod val="5000"/>
                  <a:lumOff val="95000"/>
                  <a:lumOff val="10000"/>
                </a:schemeClr>
              </a:solidFill>
              <a:round/>
            </a:ln>
            <a:effectLst/>
          </c:spPr>
        </c:minorGridlines>
        <c:title>
          <c:tx>
            <c:rich>
              <a:bodyPr rot="0" spcFirstLastPara="1" vertOverflow="ellipsis" vert="horz" wrap="square" anchor="ctr" anchorCtr="1"/>
              <a:lstStyle/>
              <a:p>
                <a:pPr>
                  <a:defRPr sz="1050" b="0" i="0" u="none" strike="noStrike" baseline="0">
                    <a:solidFill>
                      <a:schemeClr val="tx1"/>
                    </a:solidFill>
                    <a:latin typeface="Arial" panose="020B0604020202020204" pitchFamily="34" charset="0"/>
                    <a:ea typeface="+mn-ea"/>
                    <a:cs typeface="Arial" panose="020B0604020202020204" pitchFamily="34" charset="0"/>
                  </a:defRPr>
                </a:pPr>
                <a:r>
                  <a:rPr lang="de-DE" sz="1050" b="0" i="0" baseline="0">
                    <a:effectLst/>
                  </a:rPr>
                  <a:t>Resource flow specific costs and revenues [k€ / t spent LIB]</a:t>
                </a:r>
                <a:endParaRPr lang="en-US" sz="1050">
                  <a:effectLst/>
                </a:endParaRPr>
              </a:p>
            </c:rich>
          </c:tx>
          <c:layout>
            <c:manualLayout>
              <c:xMode val="edge"/>
              <c:yMode val="edge"/>
              <c:x val="0.25408706934180336"/>
              <c:y val="0.91411108744340452"/>
            </c:manualLayout>
          </c:layout>
          <c:overlay val="0"/>
          <c:spPr>
            <a:noFill/>
            <a:ln>
              <a:noFill/>
            </a:ln>
            <a:effectLst/>
          </c:spPr>
          <c:txPr>
            <a:bodyPr rot="0" spcFirstLastPara="1" vertOverflow="ellipsis" vert="horz" wrap="square" anchor="ctr" anchorCtr="1"/>
            <a:lstStyle/>
            <a:p>
              <a:pPr>
                <a:defRPr sz="1050" b="0" i="0" u="none" strike="noStrike" baseline="0">
                  <a:solidFill>
                    <a:schemeClr val="tx1"/>
                  </a:solidFill>
                  <a:latin typeface="Arial" panose="020B0604020202020204" pitchFamily="34" charset="0"/>
                  <a:ea typeface="+mn-ea"/>
                  <a:cs typeface="Arial" panose="020B0604020202020204" pitchFamily="34" charset="0"/>
                </a:defRPr>
              </a:pPr>
              <a:endParaRPr lang="de-DE"/>
            </a:p>
          </c:txPr>
        </c:title>
        <c:numFmt formatCode="_(&quot;€&quot;* #,##0.00_);_(&quot;€&quot;* \(#,##0.00\);_(&quot;€&quot;* &quot;-&quot;??_);_(@_)" sourceLinked="1"/>
        <c:majorTickMark val="cross"/>
        <c:minorTickMark val="none"/>
        <c:tickLblPos val="nextTo"/>
        <c:spPr>
          <a:noFill/>
          <a:ln>
            <a:noFill/>
          </a:ln>
          <a:effectLst/>
        </c:spPr>
        <c:txPr>
          <a:bodyPr rot="-60000000" spcFirstLastPara="1" vertOverflow="ellipsis" vert="horz" wrap="square" anchor="ctr" anchorCtr="1"/>
          <a:lstStyle/>
          <a:p>
            <a:pPr>
              <a:defRPr sz="1050" b="0" i="0" u="none" strike="noStrike" baseline="0">
                <a:solidFill>
                  <a:schemeClr val="tx1"/>
                </a:solidFill>
                <a:latin typeface="Arial" panose="020B0604020202020204" pitchFamily="34" charset="0"/>
                <a:ea typeface="+mn-ea"/>
                <a:cs typeface="Arial" panose="020B0604020202020204" pitchFamily="34" charset="0"/>
              </a:defRPr>
            </a:pPr>
            <a:endParaRPr lang="de-DE"/>
          </a:p>
        </c:txPr>
        <c:crossAx val="394723984"/>
        <c:crosses val="autoZero"/>
        <c:crossBetween val="between"/>
      </c:valAx>
      <c:catAx>
        <c:axId val="39472398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baseline="0">
                <a:solidFill>
                  <a:schemeClr val="tx1"/>
                </a:solidFill>
                <a:latin typeface="Arial" panose="020B0604020202020204" pitchFamily="34" charset="0"/>
                <a:ea typeface="+mn-ea"/>
                <a:cs typeface="Arial" panose="020B0604020202020204" pitchFamily="34" charset="0"/>
              </a:defRPr>
            </a:pPr>
            <a:endParaRPr lang="de-DE"/>
          </a:p>
        </c:txPr>
        <c:crossAx val="394715248"/>
        <c:crosses val="autoZero"/>
        <c:auto val="1"/>
        <c:lblAlgn val="ctr"/>
        <c:lblOffset val="100"/>
        <c:noMultiLvlLbl val="0"/>
      </c:catAx>
      <c:spPr>
        <a:noFill/>
        <a:ln>
          <a:noFill/>
        </a:ln>
        <a:effectLst/>
      </c:spPr>
    </c:plotArea>
    <c:legend>
      <c:legendPos val="b"/>
      <c:layout>
        <c:manualLayout>
          <c:xMode val="edge"/>
          <c:yMode val="edge"/>
          <c:x val="0.53127587921335617"/>
          <c:y val="0.95731526616094598"/>
          <c:w val="0.24391941428421496"/>
          <c:h val="3.1838509108124337E-2"/>
        </c:manualLayout>
      </c:layout>
      <c:overlay val="0"/>
      <c:spPr>
        <a:noFill/>
        <a:ln>
          <a:noFill/>
        </a:ln>
        <a:effectLst/>
      </c:spPr>
      <c:txPr>
        <a:bodyPr rot="0" spcFirstLastPara="1" vertOverflow="ellipsis" vert="horz" wrap="square" anchor="ctr" anchorCtr="1"/>
        <a:lstStyle/>
        <a:p>
          <a:pPr>
            <a:defRPr sz="1050" b="0" i="0" u="none" strike="noStrike" baseline="0">
              <a:solidFill>
                <a:schemeClr val="tx1"/>
              </a:solidFill>
              <a:latin typeface="Arial" panose="020B0604020202020204" pitchFamily="34" charset="0"/>
              <a:ea typeface="+mn-ea"/>
              <a:cs typeface="Arial" panose="020B0604020202020204" pitchFamily="34" charset="0"/>
            </a:defRPr>
          </a:pPr>
          <a:endParaRPr lang="de-DE"/>
        </a:p>
      </c:txPr>
    </c:legend>
    <c:plotVisOnly val="1"/>
    <c:dispBlanksAs val="gap"/>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sz="1050">
          <a:solidFill>
            <a:schemeClr val="tx1"/>
          </a:solidFill>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5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9525">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5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9525">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5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9525">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5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9525">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5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9525">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5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9525">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trlProps/ctrlProp1.xml><?xml version="1.0" encoding="utf-8"?>
<formControlPr xmlns="http://schemas.microsoft.com/office/spreadsheetml/2009/9/main" objectType="CheckBox" checked="Checked" fmlaLink="$D$10" lockText="1" noThreeD="1"/>
</file>

<file path=xl/ctrlProps/ctrlProp10.xml><?xml version="1.0" encoding="utf-8"?>
<formControlPr xmlns="http://schemas.microsoft.com/office/spreadsheetml/2009/9/main" objectType="CheckBox" fmlaLink="$D$11" lockText="1" noThreeD="1"/>
</file>

<file path=xl/ctrlProps/ctrlProp11.xml><?xml version="1.0" encoding="utf-8"?>
<formControlPr xmlns="http://schemas.microsoft.com/office/spreadsheetml/2009/9/main" objectType="CheckBox" checked="Checked" fmlaLink="Macro!$D$10" lockText="1" noThreeD="1"/>
</file>

<file path=xl/ctrlProps/ctrlProp12.xml><?xml version="1.0" encoding="utf-8"?>
<formControlPr xmlns="http://schemas.microsoft.com/office/spreadsheetml/2009/9/main" objectType="Drop" dropLines="3" dropStyle="combo" dx="16" fmlaLink="Macro!$D$8" fmlaRange="Kapazitäten" sel="2" val="0"/>
</file>

<file path=xl/ctrlProps/ctrlProp13.xml><?xml version="1.0" encoding="utf-8"?>
<formControlPr xmlns="http://schemas.microsoft.com/office/spreadsheetml/2009/9/main" objectType="Drop" dropLines="4" dropStyle="combo" dx="16" fmlaLink="Macro!$H$8" fmlaRange="Preisszenario" sel="2" val="0"/>
</file>

<file path=xl/ctrlProps/ctrlProp14.xml><?xml version="1.0" encoding="utf-8"?>
<formControlPr xmlns="http://schemas.microsoft.com/office/spreadsheetml/2009/9/main" objectType="Drop" dropLines="3" dropStyle="combo" dx="16" fmlaLink="Macro!$D$20" fmlaRange="Schichten" sel="3" val="0"/>
</file>

<file path=xl/ctrlProps/ctrlProp15.xml><?xml version="1.0" encoding="utf-8"?>
<formControlPr xmlns="http://schemas.microsoft.com/office/spreadsheetml/2009/9/main" objectType="Drop" dropLines="3" dropStyle="combo" dx="16" fmlaLink="Macro!$D$18" fmlaRange="Schichten" sel="2" val="0"/>
</file>

<file path=xl/ctrlProps/ctrlProp16.xml><?xml version="1.0" encoding="utf-8"?>
<formControlPr xmlns="http://schemas.microsoft.com/office/spreadsheetml/2009/9/main" objectType="CheckBox" fmlaLink="Macro!$D$22" lockText="1" noThreeD="1"/>
</file>

<file path=xl/ctrlProps/ctrlProp17.xml><?xml version="1.0" encoding="utf-8"?>
<formControlPr xmlns="http://schemas.microsoft.com/office/spreadsheetml/2009/9/main" objectType="CheckBox" fmlaLink="$D$11" lockText="1" noThreeD="1"/>
</file>

<file path=xl/ctrlProps/ctrlProp18.xml><?xml version="1.0" encoding="utf-8"?>
<formControlPr xmlns="http://schemas.microsoft.com/office/spreadsheetml/2009/9/main" objectType="CheckBox" fmlaLink="$D$11" lockText="1" noThreeD="1"/>
</file>

<file path=xl/ctrlProps/ctrlProp19.xml><?xml version="1.0" encoding="utf-8"?>
<formControlPr xmlns="http://schemas.microsoft.com/office/spreadsheetml/2009/9/main" objectType="CheckBox" fmlaLink="$D$11" lockText="1" noThreeD="1"/>
</file>

<file path=xl/ctrlProps/ctrlProp2.xml><?xml version="1.0" encoding="utf-8"?>
<formControlPr xmlns="http://schemas.microsoft.com/office/spreadsheetml/2009/9/main" objectType="CheckBox" checked="Checked" fmlaLink="$D$12" lockText="1" noThreeD="1"/>
</file>

<file path=xl/ctrlProps/ctrlProp20.xml><?xml version="1.0" encoding="utf-8"?>
<formControlPr xmlns="http://schemas.microsoft.com/office/spreadsheetml/2009/9/main" objectType="CheckBox" fmlaLink="Macro!$D$14" lockText="1" noThreeD="1"/>
</file>

<file path=xl/ctrlProps/ctrlProp21.xml><?xml version="1.0" encoding="utf-8"?>
<formControlPr xmlns="http://schemas.microsoft.com/office/spreadsheetml/2009/9/main" objectType="CheckBox" checked="Checked" fmlaLink="Macro!$D$12" lockText="1" noThreeD="1"/>
</file>

<file path=xl/ctrlProps/ctrlProp22.xml><?xml version="1.0" encoding="utf-8"?>
<formControlPr xmlns="http://schemas.microsoft.com/office/spreadsheetml/2009/9/main" objectType="Drop" dropLines="3" dropStyle="combo" dx="16" fmlaLink="Macro!$D$8" fmlaRange="Kapazitäten" sel="2" val="0"/>
</file>

<file path=xl/ctrlProps/ctrlProp23.xml><?xml version="1.0" encoding="utf-8"?>
<formControlPr xmlns="http://schemas.microsoft.com/office/spreadsheetml/2009/9/main" objectType="Drop" dropLines="4" dropStyle="combo" dx="16" fmlaLink="Macro!$H$8" fmlaRange="Preisszenario" sel="2" val="0"/>
</file>

<file path=xl/ctrlProps/ctrlProp24.xml><?xml version="1.0" encoding="utf-8"?>
<formControlPr xmlns="http://schemas.microsoft.com/office/spreadsheetml/2009/9/main" objectType="Drop" dropLines="3" dropStyle="combo" dx="16" fmlaLink="Macro!$D$20" fmlaRange="Schichten" sel="3" val="0"/>
</file>

<file path=xl/ctrlProps/ctrlProp25.xml><?xml version="1.0" encoding="utf-8"?>
<formControlPr xmlns="http://schemas.microsoft.com/office/spreadsheetml/2009/9/main" objectType="Drop" dropLines="3" dropStyle="combo" dx="16" fmlaLink="Macro!$D$18" fmlaRange="Schichten" sel="2" val="0"/>
</file>

<file path=xl/ctrlProps/ctrlProp26.xml><?xml version="1.0" encoding="utf-8"?>
<formControlPr xmlns="http://schemas.microsoft.com/office/spreadsheetml/2009/9/main" objectType="CheckBox" fmlaLink="Macro!$D$22" lockText="1" noThreeD="1"/>
</file>

<file path=xl/ctrlProps/ctrlProp27.xml><?xml version="1.0" encoding="utf-8"?>
<formControlPr xmlns="http://schemas.microsoft.com/office/spreadsheetml/2009/9/main" objectType="CheckBox" fmlaLink="$D$11" lockText="1" noThreeD="1"/>
</file>

<file path=xl/ctrlProps/ctrlProp28.xml><?xml version="1.0" encoding="utf-8"?>
<formControlPr xmlns="http://schemas.microsoft.com/office/spreadsheetml/2009/9/main" objectType="CheckBox" fmlaLink="$D$11" lockText="1" noThreeD="1"/>
</file>

<file path=xl/ctrlProps/ctrlProp29.xml><?xml version="1.0" encoding="utf-8"?>
<formControlPr xmlns="http://schemas.microsoft.com/office/spreadsheetml/2009/9/main" objectType="CheckBox" fmlaLink="$D$11" lockText="1" noThreeD="1"/>
</file>

<file path=xl/ctrlProps/ctrlProp3.xml><?xml version="1.0" encoding="utf-8"?>
<formControlPr xmlns="http://schemas.microsoft.com/office/spreadsheetml/2009/9/main" objectType="CheckBox" fmlaLink="$D$14" lockText="1" noThreeD="1"/>
</file>

<file path=xl/ctrlProps/ctrlProp30.xml><?xml version="1.0" encoding="utf-8"?>
<formControlPr xmlns="http://schemas.microsoft.com/office/spreadsheetml/2009/9/main" objectType="CheckBox" checked="Checked" fmlaLink="Macro!$D$10" lockText="1" noThreeD="1"/>
</file>

<file path=xl/ctrlProps/ctrlProp31.xml><?xml version="1.0" encoding="utf-8"?>
<formControlPr xmlns="http://schemas.microsoft.com/office/spreadsheetml/2009/9/main" objectType="CheckBox" checked="Checked" fmlaLink="Macro!$D$10" lockText="1" noThreeD="1"/>
</file>

<file path=xl/ctrlProps/ctrlProp32.xml><?xml version="1.0" encoding="utf-8"?>
<formControlPr xmlns="http://schemas.microsoft.com/office/spreadsheetml/2009/9/main" objectType="Drop" dropLines="3" dropStyle="combo" dx="16" fmlaLink="Macro!$D$8" fmlaRange="Kapazitäten" sel="2" val="0"/>
</file>

<file path=xl/ctrlProps/ctrlProp33.xml><?xml version="1.0" encoding="utf-8"?>
<formControlPr xmlns="http://schemas.microsoft.com/office/spreadsheetml/2009/9/main" objectType="Drop" dropLines="4" dropStyle="combo" dx="16" fmlaLink="Macro!$H$8" fmlaRange="Preisszenario" sel="2" val="0"/>
</file>

<file path=xl/ctrlProps/ctrlProp34.xml><?xml version="1.0" encoding="utf-8"?>
<formControlPr xmlns="http://schemas.microsoft.com/office/spreadsheetml/2009/9/main" objectType="Drop" dropLines="3" dropStyle="combo" dx="16" fmlaLink="Macro!$D$20" fmlaRange="Schichten" sel="3" val="0"/>
</file>

<file path=xl/ctrlProps/ctrlProp35.xml><?xml version="1.0" encoding="utf-8"?>
<formControlPr xmlns="http://schemas.microsoft.com/office/spreadsheetml/2009/9/main" objectType="Drop" dropLines="3" dropStyle="combo" dx="16" fmlaLink="Macro!$D$18" fmlaRange="Schichten" sel="2" val="0"/>
</file>

<file path=xl/ctrlProps/ctrlProp36.xml><?xml version="1.0" encoding="utf-8"?>
<formControlPr xmlns="http://schemas.microsoft.com/office/spreadsheetml/2009/9/main" objectType="CheckBox" fmlaLink="Macro!$D$22" lockText="1" noThreeD="1"/>
</file>

<file path=xl/ctrlProps/ctrlProp4.xml><?xml version="1.0" encoding="utf-8"?>
<formControlPr xmlns="http://schemas.microsoft.com/office/spreadsheetml/2009/9/main" objectType="Drop" dropLines="3" dropStyle="combo" dx="16" fmlaLink="$D$8" fmlaRange="Kapazitäten" sel="2" val="0"/>
</file>

<file path=xl/ctrlProps/ctrlProp5.xml><?xml version="1.0" encoding="utf-8"?>
<formControlPr xmlns="http://schemas.microsoft.com/office/spreadsheetml/2009/9/main" objectType="Drop" dropLines="4" dropStyle="combo" dx="16" fmlaLink="$H$8" fmlaRange="Preisszenario" sel="2" val="0"/>
</file>

<file path=xl/ctrlProps/ctrlProp6.xml><?xml version="1.0" encoding="utf-8"?>
<formControlPr xmlns="http://schemas.microsoft.com/office/spreadsheetml/2009/9/main" objectType="Drop" dropLines="3" dropStyle="combo" dx="16" fmlaLink="$D$20" fmlaRange="Schichten" sel="3" val="0"/>
</file>

<file path=xl/ctrlProps/ctrlProp7.xml><?xml version="1.0" encoding="utf-8"?>
<formControlPr xmlns="http://schemas.microsoft.com/office/spreadsheetml/2009/9/main" objectType="Drop" dropLines="3" dropStyle="combo" dx="16" fmlaLink="$D$18" fmlaRange="Schichten" sel="2" val="0"/>
</file>

<file path=xl/ctrlProps/ctrlProp8.xml><?xml version="1.0" encoding="utf-8"?>
<formControlPr xmlns="http://schemas.microsoft.com/office/spreadsheetml/2009/9/main" objectType="Drop" dropLines="4" dropStyle="combo" dx="16" fmlaLink="$H$14" fmlaRange="Dropdown!$E$2:$E$3" sel="1" val="0"/>
</file>

<file path=xl/ctrlProps/ctrlProp9.xml><?xml version="1.0" encoding="utf-8"?>
<formControlPr xmlns="http://schemas.microsoft.com/office/spreadsheetml/2009/9/main" objectType="CheckBox" fmlaLink="$D$22" lockText="1" noThreeD="1"/>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emf"/><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8.emf"/><Relationship Id="rId3" Type="http://schemas.openxmlformats.org/officeDocument/2006/relationships/chart" Target="../charts/chart3.xml"/><Relationship Id="rId7" Type="http://schemas.openxmlformats.org/officeDocument/2006/relationships/image" Target="../media/image7.emf"/><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6.emf"/><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image" Target="../media/image11.emf"/><Relationship Id="rId5" Type="http://schemas.openxmlformats.org/officeDocument/2006/relationships/image" Target="../media/image10.emf"/><Relationship Id="rId4" Type="http://schemas.openxmlformats.org/officeDocument/2006/relationships/image" Target="../media/image9.emf"/></Relationships>
</file>

<file path=xl/drawings/_rels/drawing4.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image" Target="../media/image14.emf"/><Relationship Id="rId5" Type="http://schemas.openxmlformats.org/officeDocument/2006/relationships/image" Target="../media/image13.emf"/><Relationship Id="rId4" Type="http://schemas.openxmlformats.org/officeDocument/2006/relationships/image" Target="../media/image12.emf"/></Relationships>
</file>

<file path=xl/drawings/_rels/drawing5.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image" Target="../media/image17.emf"/><Relationship Id="rId5" Type="http://schemas.openxmlformats.org/officeDocument/2006/relationships/image" Target="../media/image16.emf"/><Relationship Id="rId4" Type="http://schemas.openxmlformats.org/officeDocument/2006/relationships/image" Target="../media/image15.emf"/></Relationships>
</file>

<file path=xl/drawings/drawing1.xml><?xml version="1.0" encoding="utf-8"?>
<xdr:wsDr xmlns:xdr="http://schemas.openxmlformats.org/drawingml/2006/spreadsheetDrawing" xmlns:a="http://schemas.openxmlformats.org/drawingml/2006/main">
  <xdr:twoCellAnchor editAs="oneCell">
    <xdr:from>
      <xdr:col>6</xdr:col>
      <xdr:colOff>753226</xdr:colOff>
      <xdr:row>12</xdr:row>
      <xdr:rowOff>13520</xdr:rowOff>
    </xdr:from>
    <xdr:to>
      <xdr:col>10</xdr:col>
      <xdr:colOff>323373</xdr:colOff>
      <xdr:row>15</xdr:row>
      <xdr:rowOff>49530</xdr:rowOff>
    </xdr:to>
    <xdr:pic>
      <xdr:nvPicPr>
        <xdr:cNvPr id="3" name="Grafik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487026" y="2356670"/>
          <a:ext cx="2656247" cy="607510"/>
        </a:xfrm>
        <a:prstGeom prst="rect">
          <a:avLst/>
        </a:prstGeom>
      </xdr:spPr>
    </xdr:pic>
    <xdr:clientData/>
  </xdr:twoCellAnchor>
  <xdr:twoCellAnchor editAs="oneCell">
    <xdr:from>
      <xdr:col>2</xdr:col>
      <xdr:colOff>0</xdr:colOff>
      <xdr:row>9</xdr:row>
      <xdr:rowOff>19050</xdr:rowOff>
    </xdr:from>
    <xdr:to>
      <xdr:col>5</xdr:col>
      <xdr:colOff>668473</xdr:colOff>
      <xdr:row>15</xdr:row>
      <xdr:rowOff>49530</xdr:rowOff>
    </xdr:to>
    <xdr:pic>
      <xdr:nvPicPr>
        <xdr:cNvPr id="13" name="Grafik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47700" y="1790700"/>
          <a:ext cx="2983048" cy="1173480"/>
        </a:xfrm>
        <a:prstGeom prst="rect">
          <a:avLst/>
        </a:prstGeom>
      </xdr:spPr>
    </xdr:pic>
    <xdr:clientData/>
  </xdr:twoCellAnchor>
  <xdr:twoCellAnchor editAs="oneCell">
    <xdr:from>
      <xdr:col>6</xdr:col>
      <xdr:colOff>495300</xdr:colOff>
      <xdr:row>9</xdr:row>
      <xdr:rowOff>19050</xdr:rowOff>
    </xdr:from>
    <xdr:to>
      <xdr:col>10</xdr:col>
      <xdr:colOff>323373</xdr:colOff>
      <xdr:row>10</xdr:row>
      <xdr:rowOff>167139</xdr:rowOff>
    </xdr:to>
    <xdr:pic>
      <xdr:nvPicPr>
        <xdr:cNvPr id="14" name="Grafik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229100" y="1790700"/>
          <a:ext cx="2914173" cy="338589"/>
        </a:xfrm>
        <a:prstGeom prst="rect">
          <a:avLst/>
        </a:prstGeom>
      </xdr:spPr>
    </xdr:pic>
    <xdr:clientData/>
  </xdr:twoCellAnchor>
  <xdr:twoCellAnchor editAs="oneCell">
    <xdr:from>
      <xdr:col>14</xdr:col>
      <xdr:colOff>457199</xdr:colOff>
      <xdr:row>8</xdr:row>
      <xdr:rowOff>38100</xdr:rowOff>
    </xdr:from>
    <xdr:to>
      <xdr:col>15</xdr:col>
      <xdr:colOff>609599</xdr:colOff>
      <xdr:row>9</xdr:row>
      <xdr:rowOff>173074</xdr:rowOff>
    </xdr:to>
    <xdr:pic>
      <xdr:nvPicPr>
        <xdr:cNvPr id="8" name="Grafik 7" descr="Creative Commons Lizenzvertrag">
          <a:extLst>
            <a:ext uri="{FF2B5EF4-FFF2-40B4-BE49-F238E27FC236}">
              <a16:creationId xmlns:a16="http://schemas.microsoft.com/office/drawing/2014/main" id="{00000000-0008-0000-0000-000008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858374" y="1619250"/>
          <a:ext cx="923925" cy="3254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335280</xdr:colOff>
      <xdr:row>26</xdr:row>
      <xdr:rowOff>68580</xdr:rowOff>
    </xdr:from>
    <xdr:to>
      <xdr:col>20</xdr:col>
      <xdr:colOff>312420</xdr:colOff>
      <xdr:row>47</xdr:row>
      <xdr:rowOff>76104</xdr:rowOff>
    </xdr:to>
    <xdr:pic>
      <xdr:nvPicPr>
        <xdr:cNvPr id="7" name="Grafik 6" descr="C:\Users\blömeke\Desktop\Paper\OneDrive_1_10.2.2022\System boundaries.emf">
          <a:extLst>
            <a:ext uri="{FF2B5EF4-FFF2-40B4-BE49-F238E27FC236}">
              <a16:creationId xmlns:a16="http://schemas.microsoft.com/office/drawing/2014/main" id="{00000000-0008-0000-0000-000007000000}"/>
            </a:ext>
          </a:extLst>
        </xdr:cNvPr>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l="7674" t="21613" r="10307" b="15877"/>
        <a:stretch/>
      </xdr:blipFill>
      <xdr:spPr bwMode="auto">
        <a:xfrm>
          <a:off x="5612130" y="5164455"/>
          <a:ext cx="8730615" cy="4008024"/>
        </a:xfrm>
        <a:prstGeom prst="rect">
          <a:avLst/>
        </a:prstGeom>
        <a:noFill/>
        <a:ln>
          <a:noFill/>
        </a:ln>
        <a:extLst>
          <a:ext uri="{53640926-AAD7-44D8-BBD7-CCE9431645EC}">
            <a14:shadowObscured xmlns:a14="http://schemas.microsoft.com/office/drawing/2010/main"/>
          </a:ext>
        </a:extLst>
      </xdr:spPr>
    </xdr:pic>
    <xdr:clientData/>
  </xdr:twoCellAnchor>
  <xdr:twoCellAnchor>
    <xdr:from>
      <xdr:col>2</xdr:col>
      <xdr:colOff>60960</xdr:colOff>
      <xdr:row>33</xdr:row>
      <xdr:rowOff>53340</xdr:rowOff>
    </xdr:from>
    <xdr:to>
      <xdr:col>7</xdr:col>
      <xdr:colOff>624840</xdr:colOff>
      <xdr:row>40</xdr:row>
      <xdr:rowOff>60960</xdr:rowOff>
    </xdr:to>
    <xdr:sp macro="" textlink="">
      <xdr:nvSpPr>
        <xdr:cNvPr id="2" name="Rechteck 1">
          <a:extLst>
            <a:ext uri="{FF2B5EF4-FFF2-40B4-BE49-F238E27FC236}">
              <a16:creationId xmlns:a16="http://schemas.microsoft.com/office/drawing/2014/main" id="{00000000-0008-0000-0000-000002000000}"/>
            </a:ext>
          </a:extLst>
        </xdr:cNvPr>
        <xdr:cNvSpPr/>
      </xdr:nvSpPr>
      <xdr:spPr>
        <a:xfrm>
          <a:off x="723900" y="6339840"/>
          <a:ext cx="4526280" cy="12877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Korrigiert:</a:t>
          </a:r>
        </a:p>
        <a:p>
          <a:pPr algn="l"/>
          <a:r>
            <a:rPr lang="en-US" sz="1100"/>
            <a:t>1. Mechanische Aufbereitung - Filtration</a:t>
          </a:r>
          <a:r>
            <a:rPr lang="en-US" sz="1100" baseline="0"/>
            <a:t> zu Sieving</a:t>
          </a:r>
        </a:p>
        <a:p>
          <a:pPr algn="l"/>
          <a:r>
            <a:rPr lang="en-US" sz="1100" baseline="0"/>
            <a:t>2. Auswertung R2 Schredder 1 /1000 ergänzt</a:t>
          </a:r>
        </a:p>
        <a:p>
          <a:pPr algn="l"/>
          <a:r>
            <a:rPr lang="en-US" sz="1100" baseline="0"/>
            <a:t>3. jährliche Verluste Extraktionsmittel von 10% auf 5% geändert</a:t>
          </a:r>
        </a:p>
        <a:p>
          <a:pPr algn="l"/>
          <a:r>
            <a:rPr lang="en-US" sz="1100" baseline="0"/>
            <a:t>4. Energie Batchzeiten von Fällung von 15 auf 30 min geändert</a:t>
          </a:r>
        </a:p>
        <a:p>
          <a:pPr algn="l"/>
          <a:r>
            <a:rPr lang="en-US" sz="1100" baseline="0"/>
            <a:t>5. Energie Batchzeiten von Extraktion (x3) von 30 auf 10 min geändert</a:t>
          </a:r>
        </a:p>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42332</xdr:colOff>
      <xdr:row>27</xdr:row>
      <xdr:rowOff>44602</xdr:rowOff>
    </xdr:from>
    <xdr:to>
      <xdr:col>2</xdr:col>
      <xdr:colOff>1386417</xdr:colOff>
      <xdr:row>43</xdr:row>
      <xdr:rowOff>168579</xdr:rowOff>
    </xdr:to>
    <xdr:graphicFrame macro="">
      <xdr:nvGraphicFramePr>
        <xdr:cNvPr id="12" name="Diagramm 11">
          <a:extLst>
            <a:ext uri="{FF2B5EF4-FFF2-40B4-BE49-F238E27FC236}">
              <a16:creationId xmlns:a16="http://schemas.microsoft.com/office/drawing/2014/main" id="{00000000-0008-0000-01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460112</xdr:colOff>
      <xdr:row>27</xdr:row>
      <xdr:rowOff>43776</xdr:rowOff>
    </xdr:from>
    <xdr:to>
      <xdr:col>5</xdr:col>
      <xdr:colOff>361840</xdr:colOff>
      <xdr:row>43</xdr:row>
      <xdr:rowOff>169406</xdr:rowOff>
    </xdr:to>
    <xdr:graphicFrame macro="">
      <xdr:nvGraphicFramePr>
        <xdr:cNvPr id="13" name="Diagramm 12">
          <a:extLst>
            <a:ext uri="{FF2B5EF4-FFF2-40B4-BE49-F238E27FC236}">
              <a16:creationId xmlns:a16="http://schemas.microsoft.com/office/drawing/2014/main" id="{00000000-0008-0000-01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877892</xdr:colOff>
      <xdr:row>27</xdr:row>
      <xdr:rowOff>44602</xdr:rowOff>
    </xdr:from>
    <xdr:to>
      <xdr:col>7</xdr:col>
      <xdr:colOff>779620</xdr:colOff>
      <xdr:row>45</xdr:row>
      <xdr:rowOff>129490</xdr:rowOff>
    </xdr:to>
    <xdr:graphicFrame macro="">
      <xdr:nvGraphicFramePr>
        <xdr:cNvPr id="14" name="Diagramm 13">
          <a:extLst>
            <a:ext uri="{FF2B5EF4-FFF2-40B4-BE49-F238E27FC236}">
              <a16:creationId xmlns:a16="http://schemas.microsoft.com/office/drawing/2014/main" id="{00000000-0008-0000-01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1295672</xdr:colOff>
      <xdr:row>27</xdr:row>
      <xdr:rowOff>44602</xdr:rowOff>
    </xdr:from>
    <xdr:to>
      <xdr:col>9</xdr:col>
      <xdr:colOff>1197400</xdr:colOff>
      <xdr:row>45</xdr:row>
      <xdr:rowOff>130899</xdr:rowOff>
    </xdr:to>
    <xdr:graphicFrame macro="">
      <xdr:nvGraphicFramePr>
        <xdr:cNvPr id="19" name="Diagramm 18">
          <a:extLst>
            <a:ext uri="{FF2B5EF4-FFF2-40B4-BE49-F238E27FC236}">
              <a16:creationId xmlns:a16="http://schemas.microsoft.com/office/drawing/2014/main" id="{00000000-0008-0000-01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1393372</xdr:colOff>
      <xdr:row>27</xdr:row>
      <xdr:rowOff>52162</xdr:rowOff>
    </xdr:from>
    <xdr:to>
      <xdr:col>13</xdr:col>
      <xdr:colOff>1915885</xdr:colOff>
      <xdr:row>45</xdr:row>
      <xdr:rowOff>136462</xdr:rowOff>
    </xdr:to>
    <xdr:graphicFrame macro="">
      <xdr:nvGraphicFramePr>
        <xdr:cNvPr id="21" name="Diagramm 20">
          <a:extLst>
            <a:ext uri="{FF2B5EF4-FFF2-40B4-BE49-F238E27FC236}">
              <a16:creationId xmlns:a16="http://schemas.microsoft.com/office/drawing/2014/main" id="{00000000-0008-0000-01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mc:AlternateContent xmlns:mc="http://schemas.openxmlformats.org/markup-compatibility/2006">
    <mc:Choice xmlns:a14="http://schemas.microsoft.com/office/drawing/2010/main" Requires="a14">
      <xdr:twoCellAnchor editAs="oneCell">
        <xdr:from>
          <xdr:col>3</xdr:col>
          <xdr:colOff>1206500</xdr:colOff>
          <xdr:row>8</xdr:row>
          <xdr:rowOff>177800</xdr:rowOff>
        </xdr:from>
        <xdr:to>
          <xdr:col>3</xdr:col>
          <xdr:colOff>1435100</xdr:colOff>
          <xdr:row>10</xdr:row>
          <xdr:rowOff>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100-00000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1206500</xdr:colOff>
          <xdr:row>10</xdr:row>
          <xdr:rowOff>177800</xdr:rowOff>
        </xdr:from>
        <xdr:to>
          <xdr:col>3</xdr:col>
          <xdr:colOff>1435100</xdr:colOff>
          <xdr:row>12</xdr:row>
          <xdr:rowOff>0</xdr:rowOff>
        </xdr:to>
        <xdr:sp macro="" textlink="">
          <xdr:nvSpPr>
            <xdr:cNvPr id="1039" name="Check Box 15" hidden="1">
              <a:extLst>
                <a:ext uri="{63B3BB69-23CF-44E3-9099-C40C66FF867C}">
                  <a14:compatExt spid="_x0000_s1039"/>
                </a:ext>
                <a:ext uri="{FF2B5EF4-FFF2-40B4-BE49-F238E27FC236}">
                  <a16:creationId xmlns:a16="http://schemas.microsoft.com/office/drawing/2014/main" id="{00000000-0008-0000-0100-00000F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1206500</xdr:colOff>
          <xdr:row>12</xdr:row>
          <xdr:rowOff>177800</xdr:rowOff>
        </xdr:from>
        <xdr:to>
          <xdr:col>3</xdr:col>
          <xdr:colOff>1435100</xdr:colOff>
          <xdr:row>14</xdr:row>
          <xdr:rowOff>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100-00001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12700</xdr:colOff>
          <xdr:row>7</xdr:row>
          <xdr:rowOff>0</xdr:rowOff>
        </xdr:from>
        <xdr:to>
          <xdr:col>4</xdr:col>
          <xdr:colOff>0</xdr:colOff>
          <xdr:row>8</xdr:row>
          <xdr:rowOff>0</xdr:rowOff>
        </xdr:to>
        <xdr:sp macro="" textlink="">
          <xdr:nvSpPr>
            <xdr:cNvPr id="1052" name="Drop Down 28" hidden="1">
              <a:extLst>
                <a:ext uri="{63B3BB69-23CF-44E3-9099-C40C66FF867C}">
                  <a14:compatExt spid="_x0000_s1052"/>
                </a:ext>
                <a:ext uri="{FF2B5EF4-FFF2-40B4-BE49-F238E27FC236}">
                  <a16:creationId xmlns:a16="http://schemas.microsoft.com/office/drawing/2014/main" id="{00000000-0008-0000-0100-00001C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12700</xdr:colOff>
          <xdr:row>7</xdr:row>
          <xdr:rowOff>0</xdr:rowOff>
        </xdr:from>
        <xdr:to>
          <xdr:col>8</xdr:col>
          <xdr:colOff>0</xdr:colOff>
          <xdr:row>8</xdr:row>
          <xdr:rowOff>0</xdr:rowOff>
        </xdr:to>
        <xdr:sp macro="" textlink="">
          <xdr:nvSpPr>
            <xdr:cNvPr id="1055" name="Drop Down 31" hidden="1">
              <a:extLst>
                <a:ext uri="{63B3BB69-23CF-44E3-9099-C40C66FF867C}">
                  <a14:compatExt spid="_x0000_s1055"/>
                </a:ext>
                <a:ext uri="{FF2B5EF4-FFF2-40B4-BE49-F238E27FC236}">
                  <a16:creationId xmlns:a16="http://schemas.microsoft.com/office/drawing/2014/main" id="{00000000-0008-0000-0100-00001F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7</xdr:col>
      <xdr:colOff>12700</xdr:colOff>
      <xdr:row>11</xdr:row>
      <xdr:rowOff>0</xdr:rowOff>
    </xdr:from>
    <xdr:to>
      <xdr:col>8</xdr:col>
      <xdr:colOff>0</xdr:colOff>
      <xdr:row>12</xdr:row>
      <xdr:rowOff>0</xdr:rowOff>
    </xdr:to>
    <xdr:sp macro="" textlink="">
      <xdr:nvSpPr>
        <xdr:cNvPr id="1063" name="TextBox2" hidden="1">
          <a:extLst>
            <a:ext uri="{63B3BB69-23CF-44E3-9099-C40C66FF867C}">
              <a14:compatExt xmlns:a14="http://schemas.microsoft.com/office/drawing/2010/main" spid="_x0000_s1063"/>
            </a:ext>
            <a:ext uri="{FF2B5EF4-FFF2-40B4-BE49-F238E27FC236}">
              <a16:creationId xmlns:a16="http://schemas.microsoft.com/office/drawing/2014/main" id="{00000000-0008-0000-0100-0000270400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7</xdr:col>
      <xdr:colOff>12700</xdr:colOff>
      <xdr:row>9</xdr:row>
      <xdr:rowOff>0</xdr:rowOff>
    </xdr:from>
    <xdr:to>
      <xdr:col>8</xdr:col>
      <xdr:colOff>0</xdr:colOff>
      <xdr:row>10</xdr:row>
      <xdr:rowOff>0</xdr:rowOff>
    </xdr:to>
    <xdr:sp macro="" textlink="">
      <xdr:nvSpPr>
        <xdr:cNvPr id="1064" name="TextBox3" hidden="1">
          <a:extLst>
            <a:ext uri="{63B3BB69-23CF-44E3-9099-C40C66FF867C}">
              <a14:compatExt xmlns:a14="http://schemas.microsoft.com/office/drawing/2010/main" spid="_x0000_s1064"/>
            </a:ext>
            <a:ext uri="{FF2B5EF4-FFF2-40B4-BE49-F238E27FC236}">
              <a16:creationId xmlns:a16="http://schemas.microsoft.com/office/drawing/2014/main" id="{00000000-0008-0000-0100-0000280400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3</xdr:col>
      <xdr:colOff>12700</xdr:colOff>
      <xdr:row>15</xdr:row>
      <xdr:rowOff>0</xdr:rowOff>
    </xdr:from>
    <xdr:to>
      <xdr:col>4</xdr:col>
      <xdr:colOff>0</xdr:colOff>
      <xdr:row>16</xdr:row>
      <xdr:rowOff>0</xdr:rowOff>
    </xdr:to>
    <xdr:sp macro="" textlink="">
      <xdr:nvSpPr>
        <xdr:cNvPr id="1066" name="TextBox5" hidden="1">
          <a:extLst>
            <a:ext uri="{63B3BB69-23CF-44E3-9099-C40C66FF867C}">
              <a14:compatExt xmlns:a14="http://schemas.microsoft.com/office/drawing/2010/main" spid="_x0000_s1066"/>
            </a:ext>
            <a:ext uri="{FF2B5EF4-FFF2-40B4-BE49-F238E27FC236}">
              <a16:creationId xmlns:a16="http://schemas.microsoft.com/office/drawing/2014/main" id="{00000000-0008-0000-0100-00002A0400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3</xdr:col>
          <xdr:colOff>0</xdr:colOff>
          <xdr:row>18</xdr:row>
          <xdr:rowOff>165100</xdr:rowOff>
        </xdr:from>
        <xdr:to>
          <xdr:col>3</xdr:col>
          <xdr:colOff>1435100</xdr:colOff>
          <xdr:row>19</xdr:row>
          <xdr:rowOff>165100</xdr:rowOff>
        </xdr:to>
        <xdr:sp macro="" textlink="">
          <xdr:nvSpPr>
            <xdr:cNvPr id="1068" name="Drop Down 44" hidden="1">
              <a:extLst>
                <a:ext uri="{63B3BB69-23CF-44E3-9099-C40C66FF867C}">
                  <a14:compatExt spid="_x0000_s1068"/>
                </a:ext>
                <a:ext uri="{FF2B5EF4-FFF2-40B4-BE49-F238E27FC236}">
                  <a16:creationId xmlns:a16="http://schemas.microsoft.com/office/drawing/2014/main" id="{00000000-0008-0000-0100-00002C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12700</xdr:colOff>
          <xdr:row>17</xdr:row>
          <xdr:rowOff>12700</xdr:rowOff>
        </xdr:from>
        <xdr:to>
          <xdr:col>4</xdr:col>
          <xdr:colOff>0</xdr:colOff>
          <xdr:row>18</xdr:row>
          <xdr:rowOff>12700</xdr:rowOff>
        </xdr:to>
        <xdr:sp macro="" textlink="">
          <xdr:nvSpPr>
            <xdr:cNvPr id="1072" name="Drop Down 48" hidden="1">
              <a:extLst>
                <a:ext uri="{63B3BB69-23CF-44E3-9099-C40C66FF867C}">
                  <a14:compatExt spid="_x0000_s1072"/>
                </a:ext>
                <a:ext uri="{FF2B5EF4-FFF2-40B4-BE49-F238E27FC236}">
                  <a16:creationId xmlns:a16="http://schemas.microsoft.com/office/drawing/2014/main" id="{00000000-0008-0000-0100-000030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1435100</xdr:colOff>
          <xdr:row>13</xdr:row>
          <xdr:rowOff>0</xdr:rowOff>
        </xdr:from>
        <xdr:to>
          <xdr:col>7</xdr:col>
          <xdr:colOff>1435100</xdr:colOff>
          <xdr:row>14</xdr:row>
          <xdr:rowOff>0</xdr:rowOff>
        </xdr:to>
        <xdr:sp macro="" textlink="">
          <xdr:nvSpPr>
            <xdr:cNvPr id="1073" name="Drop Down 49" hidden="1">
              <a:extLst>
                <a:ext uri="{63B3BB69-23CF-44E3-9099-C40C66FF867C}">
                  <a14:compatExt spid="_x0000_s1073"/>
                </a:ext>
                <a:ext uri="{FF2B5EF4-FFF2-40B4-BE49-F238E27FC236}">
                  <a16:creationId xmlns:a16="http://schemas.microsoft.com/office/drawing/2014/main" id="{00000000-0008-0000-0100-00003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1244600</xdr:colOff>
          <xdr:row>20</xdr:row>
          <xdr:rowOff>152400</xdr:rowOff>
        </xdr:from>
        <xdr:to>
          <xdr:col>4</xdr:col>
          <xdr:colOff>12700</xdr:colOff>
          <xdr:row>21</xdr:row>
          <xdr:rowOff>165100</xdr:rowOff>
        </xdr:to>
        <xdr:sp macro="" textlink="">
          <xdr:nvSpPr>
            <xdr:cNvPr id="1074" name="Check Box 50" hidden="1">
              <a:extLst>
                <a:ext uri="{63B3BB69-23CF-44E3-9099-C40C66FF867C}">
                  <a14:compatExt spid="_x0000_s1074"/>
                </a:ext>
                <a:ext uri="{FF2B5EF4-FFF2-40B4-BE49-F238E27FC236}">
                  <a16:creationId xmlns:a16="http://schemas.microsoft.com/office/drawing/2014/main" id="{00000000-0008-0000-0100-00003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editAs="oneCell">
    <xdr:from>
      <xdr:col>7</xdr:col>
      <xdr:colOff>7620</xdr:colOff>
      <xdr:row>11</xdr:row>
      <xdr:rowOff>0</xdr:rowOff>
    </xdr:from>
    <xdr:to>
      <xdr:col>8</xdr:col>
      <xdr:colOff>0</xdr:colOff>
      <xdr:row>12</xdr:row>
      <xdr:rowOff>0</xdr:rowOff>
    </xdr:to>
    <xdr:pic>
      <xdr:nvPicPr>
        <xdr:cNvPr id="2" name="TextBox2">
          <a:extLst>
            <a:ext uri="{FF2B5EF4-FFF2-40B4-BE49-F238E27FC236}">
              <a16:creationId xmlns:a16="http://schemas.microsoft.com/office/drawing/2014/main" id="{00000000-0008-0000-0100-000002000000}"/>
            </a:ext>
          </a:extLst>
        </xdr:cNvPr>
        <xdr:cNvPicPr preferRelativeResize="0">
          <a:picLocks noChangeArrowheads="1" noChangeShapeType="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9136380" y="2369820"/>
          <a:ext cx="1478280" cy="17526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7</xdr:col>
      <xdr:colOff>7620</xdr:colOff>
      <xdr:row>9</xdr:row>
      <xdr:rowOff>0</xdr:rowOff>
    </xdr:from>
    <xdr:to>
      <xdr:col>8</xdr:col>
      <xdr:colOff>0</xdr:colOff>
      <xdr:row>10</xdr:row>
      <xdr:rowOff>0</xdr:rowOff>
    </xdr:to>
    <xdr:pic>
      <xdr:nvPicPr>
        <xdr:cNvPr id="3" name="TextBox3">
          <a:extLst>
            <a:ext uri="{FF2B5EF4-FFF2-40B4-BE49-F238E27FC236}">
              <a16:creationId xmlns:a16="http://schemas.microsoft.com/office/drawing/2014/main" id="{00000000-0008-0000-0100-000003000000}"/>
            </a:ext>
          </a:extLst>
        </xdr:cNvPr>
        <xdr:cNvPicPr preferRelativeResize="0">
          <a:picLocks noChangeArrowheads="1" noChangeShapeType="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9136380" y="2019300"/>
          <a:ext cx="1478280" cy="17526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3</xdr:col>
      <xdr:colOff>7620</xdr:colOff>
      <xdr:row>15</xdr:row>
      <xdr:rowOff>0</xdr:rowOff>
    </xdr:from>
    <xdr:to>
      <xdr:col>4</xdr:col>
      <xdr:colOff>0</xdr:colOff>
      <xdr:row>16</xdr:row>
      <xdr:rowOff>0</xdr:rowOff>
    </xdr:to>
    <xdr:pic>
      <xdr:nvPicPr>
        <xdr:cNvPr id="4" name="TextBox5">
          <a:extLst>
            <a:ext uri="{FF2B5EF4-FFF2-40B4-BE49-F238E27FC236}">
              <a16:creationId xmlns:a16="http://schemas.microsoft.com/office/drawing/2014/main" id="{00000000-0008-0000-0100-000004000000}"/>
            </a:ext>
          </a:extLst>
        </xdr:cNvPr>
        <xdr:cNvPicPr preferRelativeResize="0">
          <a:picLocks noChangeArrowheads="1" noChangeShapeType="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192780" y="3070860"/>
          <a:ext cx="1478280" cy="17526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1206500</xdr:colOff>
          <xdr:row>9</xdr:row>
          <xdr:rowOff>177800</xdr:rowOff>
        </xdr:from>
        <xdr:to>
          <xdr:col>3</xdr:col>
          <xdr:colOff>1435100</xdr:colOff>
          <xdr:row>11</xdr:row>
          <xdr:rowOff>0</xdr:rowOff>
        </xdr:to>
        <xdr:sp macro="" textlink="">
          <xdr:nvSpPr>
            <xdr:cNvPr id="8193" name="Check Box 1" hidden="1">
              <a:extLst>
                <a:ext uri="{63B3BB69-23CF-44E3-9099-C40C66FF867C}">
                  <a14:compatExt spid="_x0000_s8193"/>
                </a:ext>
                <a:ext uri="{FF2B5EF4-FFF2-40B4-BE49-F238E27FC236}">
                  <a16:creationId xmlns:a16="http://schemas.microsoft.com/office/drawing/2014/main" id="{00000000-0008-0000-0200-000001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1206500</xdr:colOff>
          <xdr:row>9</xdr:row>
          <xdr:rowOff>177800</xdr:rowOff>
        </xdr:from>
        <xdr:to>
          <xdr:col>3</xdr:col>
          <xdr:colOff>1435100</xdr:colOff>
          <xdr:row>11</xdr:row>
          <xdr:rowOff>0</xdr:rowOff>
        </xdr:to>
        <xdr:sp macro="" textlink="">
          <xdr:nvSpPr>
            <xdr:cNvPr id="8195" name="Check Box 3" hidden="1">
              <a:extLst>
                <a:ext uri="{63B3BB69-23CF-44E3-9099-C40C66FF867C}">
                  <a14:compatExt spid="_x0000_s8195"/>
                </a:ext>
                <a:ext uri="{FF2B5EF4-FFF2-40B4-BE49-F238E27FC236}">
                  <a16:creationId xmlns:a16="http://schemas.microsoft.com/office/drawing/2014/main" id="{00000000-0008-0000-0200-000003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6</xdr:col>
      <xdr:colOff>1166924</xdr:colOff>
      <xdr:row>27</xdr:row>
      <xdr:rowOff>1806</xdr:rowOff>
    </xdr:from>
    <xdr:to>
      <xdr:col>10</xdr:col>
      <xdr:colOff>444696</xdr:colOff>
      <xdr:row>67</xdr:row>
      <xdr:rowOff>65314</xdr:rowOff>
    </xdr:to>
    <xdr:graphicFrame macro="">
      <xdr:nvGraphicFramePr>
        <xdr:cNvPr id="22" name="Diagramm 21">
          <a:extLst>
            <a:ext uri="{FF2B5EF4-FFF2-40B4-BE49-F238E27FC236}">
              <a16:creationId xmlns:a16="http://schemas.microsoft.com/office/drawing/2014/main" id="{00000000-0008-0000-02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475765</xdr:colOff>
      <xdr:row>27</xdr:row>
      <xdr:rowOff>1231</xdr:rowOff>
    </xdr:from>
    <xdr:to>
      <xdr:col>13</xdr:col>
      <xdr:colOff>1186288</xdr:colOff>
      <xdr:row>67</xdr:row>
      <xdr:rowOff>54429</xdr:rowOff>
    </xdr:to>
    <xdr:graphicFrame macro="">
      <xdr:nvGraphicFramePr>
        <xdr:cNvPr id="23" name="Diagramm 22">
          <a:extLst>
            <a:ext uri="{FF2B5EF4-FFF2-40B4-BE49-F238E27FC236}">
              <a16:creationId xmlns:a16="http://schemas.microsoft.com/office/drawing/2014/main" id="{00000000-0008-0000-02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437026</xdr:colOff>
      <xdr:row>27</xdr:row>
      <xdr:rowOff>1505</xdr:rowOff>
    </xdr:from>
    <xdr:to>
      <xdr:col>6</xdr:col>
      <xdr:colOff>1135856</xdr:colOff>
      <xdr:row>67</xdr:row>
      <xdr:rowOff>169594</xdr:rowOff>
    </xdr:to>
    <xdr:graphicFrame macro="">
      <xdr:nvGraphicFramePr>
        <xdr:cNvPr id="24" name="Diagramm 23">
          <a:extLst>
            <a:ext uri="{FF2B5EF4-FFF2-40B4-BE49-F238E27FC236}">
              <a16:creationId xmlns:a16="http://schemas.microsoft.com/office/drawing/2014/main" id="{00000000-0008-0000-02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twoCellAnchor editAs="oneCell">
        <xdr:from>
          <xdr:col>3</xdr:col>
          <xdr:colOff>12700</xdr:colOff>
          <xdr:row>8</xdr:row>
          <xdr:rowOff>12700</xdr:rowOff>
        </xdr:from>
        <xdr:to>
          <xdr:col>4</xdr:col>
          <xdr:colOff>0</xdr:colOff>
          <xdr:row>9</xdr:row>
          <xdr:rowOff>12700</xdr:rowOff>
        </xdr:to>
        <xdr:sp macro="" textlink="">
          <xdr:nvSpPr>
            <xdr:cNvPr id="8197" name="Drop Down 5" hidden="1">
              <a:extLst>
                <a:ext uri="{63B3BB69-23CF-44E3-9099-C40C66FF867C}">
                  <a14:compatExt spid="_x0000_s8197"/>
                </a:ext>
                <a:ext uri="{FF2B5EF4-FFF2-40B4-BE49-F238E27FC236}">
                  <a16:creationId xmlns:a16="http://schemas.microsoft.com/office/drawing/2014/main" id="{00000000-0008-0000-0200-000005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12700</xdr:colOff>
          <xdr:row>8</xdr:row>
          <xdr:rowOff>0</xdr:rowOff>
        </xdr:from>
        <xdr:to>
          <xdr:col>8</xdr:col>
          <xdr:colOff>0</xdr:colOff>
          <xdr:row>9</xdr:row>
          <xdr:rowOff>0</xdr:rowOff>
        </xdr:to>
        <xdr:sp macro="" textlink="">
          <xdr:nvSpPr>
            <xdr:cNvPr id="8204" name="Drop Down 12" hidden="1">
              <a:extLst>
                <a:ext uri="{63B3BB69-23CF-44E3-9099-C40C66FF867C}">
                  <a14:compatExt spid="_x0000_s8204"/>
                </a:ext>
                <a:ext uri="{FF2B5EF4-FFF2-40B4-BE49-F238E27FC236}">
                  <a16:creationId xmlns:a16="http://schemas.microsoft.com/office/drawing/2014/main" id="{00000000-0008-0000-0200-00000C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3</xdr:col>
      <xdr:colOff>25400</xdr:colOff>
      <xdr:row>12</xdr:row>
      <xdr:rowOff>0</xdr:rowOff>
    </xdr:from>
    <xdr:to>
      <xdr:col>4</xdr:col>
      <xdr:colOff>12700</xdr:colOff>
      <xdr:row>13</xdr:row>
      <xdr:rowOff>0</xdr:rowOff>
    </xdr:to>
    <xdr:sp macro="" textlink="">
      <xdr:nvSpPr>
        <xdr:cNvPr id="8205" name="TextBox3" hidden="1">
          <a:extLst>
            <a:ext uri="{63B3BB69-23CF-44E3-9099-C40C66FF867C}">
              <a14:compatExt xmlns:a14="http://schemas.microsoft.com/office/drawing/2010/main" spid="_x0000_s8205"/>
            </a:ext>
            <a:ext uri="{FF2B5EF4-FFF2-40B4-BE49-F238E27FC236}">
              <a16:creationId xmlns:a16="http://schemas.microsoft.com/office/drawing/2014/main" id="{00000000-0008-0000-0200-00000D2000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7</xdr:col>
      <xdr:colOff>12700</xdr:colOff>
      <xdr:row>10</xdr:row>
      <xdr:rowOff>0</xdr:rowOff>
    </xdr:from>
    <xdr:to>
      <xdr:col>8</xdr:col>
      <xdr:colOff>0</xdr:colOff>
      <xdr:row>11</xdr:row>
      <xdr:rowOff>0</xdr:rowOff>
    </xdr:to>
    <xdr:sp macro="" textlink="">
      <xdr:nvSpPr>
        <xdr:cNvPr id="8207" name="TextBox5" hidden="1">
          <a:extLst>
            <a:ext uri="{63B3BB69-23CF-44E3-9099-C40C66FF867C}">
              <a14:compatExt xmlns:a14="http://schemas.microsoft.com/office/drawing/2010/main" spid="_x0000_s8207"/>
            </a:ext>
            <a:ext uri="{FF2B5EF4-FFF2-40B4-BE49-F238E27FC236}">
              <a16:creationId xmlns:a16="http://schemas.microsoft.com/office/drawing/2014/main" id="{00000000-0008-0000-0200-00000F2000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7</xdr:col>
      <xdr:colOff>12700</xdr:colOff>
      <xdr:row>12</xdr:row>
      <xdr:rowOff>0</xdr:rowOff>
    </xdr:from>
    <xdr:to>
      <xdr:col>8</xdr:col>
      <xdr:colOff>0</xdr:colOff>
      <xdr:row>13</xdr:row>
      <xdr:rowOff>0</xdr:rowOff>
    </xdr:to>
    <xdr:sp macro="" textlink="">
      <xdr:nvSpPr>
        <xdr:cNvPr id="8208" name="TextBox6" hidden="1">
          <a:extLst>
            <a:ext uri="{63B3BB69-23CF-44E3-9099-C40C66FF867C}">
              <a14:compatExt xmlns:a14="http://schemas.microsoft.com/office/drawing/2010/main" spid="_x0000_s8208"/>
            </a:ext>
            <a:ext uri="{FF2B5EF4-FFF2-40B4-BE49-F238E27FC236}">
              <a16:creationId xmlns:a16="http://schemas.microsoft.com/office/drawing/2014/main" id="{00000000-0008-0000-0200-0000102000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3</xdr:col>
          <xdr:colOff>0</xdr:colOff>
          <xdr:row>15</xdr:row>
          <xdr:rowOff>165100</xdr:rowOff>
        </xdr:from>
        <xdr:to>
          <xdr:col>3</xdr:col>
          <xdr:colOff>1435100</xdr:colOff>
          <xdr:row>16</xdr:row>
          <xdr:rowOff>165100</xdr:rowOff>
        </xdr:to>
        <xdr:sp macro="" textlink="">
          <xdr:nvSpPr>
            <xdr:cNvPr id="8211" name="Drop Down 19" hidden="1">
              <a:extLst>
                <a:ext uri="{63B3BB69-23CF-44E3-9099-C40C66FF867C}">
                  <a14:compatExt spid="_x0000_s8211"/>
                </a:ext>
                <a:ext uri="{FF2B5EF4-FFF2-40B4-BE49-F238E27FC236}">
                  <a16:creationId xmlns:a16="http://schemas.microsoft.com/office/drawing/2014/main" id="{00000000-0008-0000-0200-000013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12700</xdr:colOff>
          <xdr:row>14</xdr:row>
          <xdr:rowOff>12700</xdr:rowOff>
        </xdr:from>
        <xdr:to>
          <xdr:col>4</xdr:col>
          <xdr:colOff>12700</xdr:colOff>
          <xdr:row>15</xdr:row>
          <xdr:rowOff>12700</xdr:rowOff>
        </xdr:to>
        <xdr:sp macro="" textlink="">
          <xdr:nvSpPr>
            <xdr:cNvPr id="8212" name="Drop Down 20" hidden="1">
              <a:extLst>
                <a:ext uri="{63B3BB69-23CF-44E3-9099-C40C66FF867C}">
                  <a14:compatExt spid="_x0000_s8212"/>
                </a:ext>
                <a:ext uri="{FF2B5EF4-FFF2-40B4-BE49-F238E27FC236}">
                  <a16:creationId xmlns:a16="http://schemas.microsoft.com/office/drawing/2014/main" id="{00000000-0008-0000-0200-000014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1244600</xdr:colOff>
          <xdr:row>17</xdr:row>
          <xdr:rowOff>152400</xdr:rowOff>
        </xdr:from>
        <xdr:to>
          <xdr:col>4</xdr:col>
          <xdr:colOff>12700</xdr:colOff>
          <xdr:row>18</xdr:row>
          <xdr:rowOff>165100</xdr:rowOff>
        </xdr:to>
        <xdr:sp macro="" textlink="">
          <xdr:nvSpPr>
            <xdr:cNvPr id="8213" name="Check Box 21" hidden="1">
              <a:extLst>
                <a:ext uri="{63B3BB69-23CF-44E3-9099-C40C66FF867C}">
                  <a14:compatExt spid="_x0000_s8213"/>
                </a:ext>
                <a:ext uri="{FF2B5EF4-FFF2-40B4-BE49-F238E27FC236}">
                  <a16:creationId xmlns:a16="http://schemas.microsoft.com/office/drawing/2014/main" id="{00000000-0008-0000-0200-000015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editAs="oneCell">
    <xdr:from>
      <xdr:col>3</xdr:col>
      <xdr:colOff>15240</xdr:colOff>
      <xdr:row>12</xdr:row>
      <xdr:rowOff>0</xdr:rowOff>
    </xdr:from>
    <xdr:to>
      <xdr:col>4</xdr:col>
      <xdr:colOff>7620</xdr:colOff>
      <xdr:row>13</xdr:row>
      <xdr:rowOff>0</xdr:rowOff>
    </xdr:to>
    <xdr:pic>
      <xdr:nvPicPr>
        <xdr:cNvPr id="2" name="TextBox3">
          <a:extLst>
            <a:ext uri="{FF2B5EF4-FFF2-40B4-BE49-F238E27FC236}">
              <a16:creationId xmlns:a16="http://schemas.microsoft.com/office/drawing/2014/main" id="{00000000-0008-0000-0200-000002000000}"/>
            </a:ext>
          </a:extLst>
        </xdr:cNvPr>
        <xdr:cNvPicPr preferRelativeResize="0">
          <a:picLocks noChangeArrowheads="1" noChangeShapeType="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00400" y="2552700"/>
          <a:ext cx="1478280" cy="17526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7</xdr:col>
      <xdr:colOff>7620</xdr:colOff>
      <xdr:row>10</xdr:row>
      <xdr:rowOff>0</xdr:rowOff>
    </xdr:from>
    <xdr:to>
      <xdr:col>8</xdr:col>
      <xdr:colOff>0</xdr:colOff>
      <xdr:row>11</xdr:row>
      <xdr:rowOff>0</xdr:rowOff>
    </xdr:to>
    <xdr:pic>
      <xdr:nvPicPr>
        <xdr:cNvPr id="3" name="TextBox5">
          <a:extLst>
            <a:ext uri="{FF2B5EF4-FFF2-40B4-BE49-F238E27FC236}">
              <a16:creationId xmlns:a16="http://schemas.microsoft.com/office/drawing/2014/main" id="{00000000-0008-0000-0200-000003000000}"/>
            </a:ext>
          </a:extLst>
        </xdr:cNvPr>
        <xdr:cNvPicPr preferRelativeResize="0">
          <a:picLocks noChangeArrowheads="1" noChangeShapeType="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9136380" y="2194560"/>
          <a:ext cx="1478280" cy="18288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7</xdr:col>
      <xdr:colOff>7620</xdr:colOff>
      <xdr:row>12</xdr:row>
      <xdr:rowOff>0</xdr:rowOff>
    </xdr:from>
    <xdr:to>
      <xdr:col>8</xdr:col>
      <xdr:colOff>0</xdr:colOff>
      <xdr:row>13</xdr:row>
      <xdr:rowOff>0</xdr:rowOff>
    </xdr:to>
    <xdr:pic>
      <xdr:nvPicPr>
        <xdr:cNvPr id="4" name="TextBox6">
          <a:extLst>
            <a:ext uri="{FF2B5EF4-FFF2-40B4-BE49-F238E27FC236}">
              <a16:creationId xmlns:a16="http://schemas.microsoft.com/office/drawing/2014/main" id="{00000000-0008-0000-0200-000004000000}"/>
            </a:ext>
          </a:extLst>
        </xdr:cNvPr>
        <xdr:cNvPicPr preferRelativeResize="0">
          <a:picLocks noChangeArrowheads="1" noChangeShapeType="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9136380" y="2552700"/>
          <a:ext cx="1478280" cy="17526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1206500</xdr:colOff>
          <xdr:row>9</xdr:row>
          <xdr:rowOff>177800</xdr:rowOff>
        </xdr:from>
        <xdr:to>
          <xdr:col>3</xdr:col>
          <xdr:colOff>1435100</xdr:colOff>
          <xdr:row>11</xdr:row>
          <xdr:rowOff>0</xdr:rowOff>
        </xdr:to>
        <xdr:sp macro="" textlink="">
          <xdr:nvSpPr>
            <xdr:cNvPr id="16385" name="Check Box 1" hidden="1">
              <a:extLst>
                <a:ext uri="{63B3BB69-23CF-44E3-9099-C40C66FF867C}">
                  <a14:compatExt spid="_x0000_s16385"/>
                </a:ext>
                <a:ext uri="{FF2B5EF4-FFF2-40B4-BE49-F238E27FC236}">
                  <a16:creationId xmlns:a16="http://schemas.microsoft.com/office/drawing/2014/main" id="{00000000-0008-0000-0300-0000014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1206500</xdr:colOff>
          <xdr:row>9</xdr:row>
          <xdr:rowOff>177800</xdr:rowOff>
        </xdr:from>
        <xdr:to>
          <xdr:col>3</xdr:col>
          <xdr:colOff>1435100</xdr:colOff>
          <xdr:row>11</xdr:row>
          <xdr:rowOff>0</xdr:rowOff>
        </xdr:to>
        <xdr:sp macro="" textlink="">
          <xdr:nvSpPr>
            <xdr:cNvPr id="16386" name="Check Box 2" hidden="1">
              <a:extLst>
                <a:ext uri="{63B3BB69-23CF-44E3-9099-C40C66FF867C}">
                  <a14:compatExt spid="_x0000_s16386"/>
                </a:ext>
                <a:ext uri="{FF2B5EF4-FFF2-40B4-BE49-F238E27FC236}">
                  <a16:creationId xmlns:a16="http://schemas.microsoft.com/office/drawing/2014/main" id="{00000000-0008-0000-0300-0000024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1206500</xdr:colOff>
          <xdr:row>9</xdr:row>
          <xdr:rowOff>177800</xdr:rowOff>
        </xdr:from>
        <xdr:to>
          <xdr:col>3</xdr:col>
          <xdr:colOff>1435100</xdr:colOff>
          <xdr:row>11</xdr:row>
          <xdr:rowOff>0</xdr:rowOff>
        </xdr:to>
        <xdr:sp macro="" textlink="">
          <xdr:nvSpPr>
            <xdr:cNvPr id="16388" name="Check Box 4" hidden="1">
              <a:extLst>
                <a:ext uri="{63B3BB69-23CF-44E3-9099-C40C66FF867C}">
                  <a14:compatExt spid="_x0000_s16388"/>
                </a:ext>
                <a:ext uri="{FF2B5EF4-FFF2-40B4-BE49-F238E27FC236}">
                  <a16:creationId xmlns:a16="http://schemas.microsoft.com/office/drawing/2014/main" id="{00000000-0008-0000-0300-0000044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1206500</xdr:colOff>
          <xdr:row>11</xdr:row>
          <xdr:rowOff>177800</xdr:rowOff>
        </xdr:from>
        <xdr:to>
          <xdr:col>3</xdr:col>
          <xdr:colOff>1435100</xdr:colOff>
          <xdr:row>13</xdr:row>
          <xdr:rowOff>0</xdr:rowOff>
        </xdr:to>
        <xdr:sp macro="" textlink="">
          <xdr:nvSpPr>
            <xdr:cNvPr id="16389" name="Check Box 5" hidden="1">
              <a:extLst>
                <a:ext uri="{63B3BB69-23CF-44E3-9099-C40C66FF867C}">
                  <a14:compatExt spid="_x0000_s16389"/>
                </a:ext>
                <a:ext uri="{FF2B5EF4-FFF2-40B4-BE49-F238E27FC236}">
                  <a16:creationId xmlns:a16="http://schemas.microsoft.com/office/drawing/2014/main" id="{00000000-0008-0000-0300-0000054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1206500</xdr:colOff>
          <xdr:row>9</xdr:row>
          <xdr:rowOff>177800</xdr:rowOff>
        </xdr:from>
        <xdr:to>
          <xdr:col>3</xdr:col>
          <xdr:colOff>1435100</xdr:colOff>
          <xdr:row>11</xdr:row>
          <xdr:rowOff>0</xdr:rowOff>
        </xdr:to>
        <xdr:sp macro="" textlink="">
          <xdr:nvSpPr>
            <xdr:cNvPr id="16390" name="Check Box 6" hidden="1">
              <a:extLst>
                <a:ext uri="{63B3BB69-23CF-44E3-9099-C40C66FF867C}">
                  <a14:compatExt spid="_x0000_s16390"/>
                </a:ext>
                <a:ext uri="{FF2B5EF4-FFF2-40B4-BE49-F238E27FC236}">
                  <a16:creationId xmlns:a16="http://schemas.microsoft.com/office/drawing/2014/main" id="{00000000-0008-0000-0300-0000064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12700</xdr:colOff>
          <xdr:row>7</xdr:row>
          <xdr:rowOff>177800</xdr:rowOff>
        </xdr:from>
        <xdr:to>
          <xdr:col>4</xdr:col>
          <xdr:colOff>0</xdr:colOff>
          <xdr:row>9</xdr:row>
          <xdr:rowOff>0</xdr:rowOff>
        </xdr:to>
        <xdr:sp macro="" textlink="">
          <xdr:nvSpPr>
            <xdr:cNvPr id="16392" name="Drop Down 8" hidden="1">
              <a:extLst>
                <a:ext uri="{63B3BB69-23CF-44E3-9099-C40C66FF867C}">
                  <a14:compatExt spid="_x0000_s16392"/>
                </a:ext>
                <a:ext uri="{FF2B5EF4-FFF2-40B4-BE49-F238E27FC236}">
                  <a16:creationId xmlns:a16="http://schemas.microsoft.com/office/drawing/2014/main" id="{00000000-0008-0000-0300-0000084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12700</xdr:colOff>
          <xdr:row>7</xdr:row>
          <xdr:rowOff>177800</xdr:rowOff>
        </xdr:from>
        <xdr:to>
          <xdr:col>8</xdr:col>
          <xdr:colOff>0</xdr:colOff>
          <xdr:row>8</xdr:row>
          <xdr:rowOff>177800</xdr:rowOff>
        </xdr:to>
        <xdr:sp macro="" textlink="">
          <xdr:nvSpPr>
            <xdr:cNvPr id="16395" name="Drop Down 11" hidden="1">
              <a:extLst>
                <a:ext uri="{63B3BB69-23CF-44E3-9099-C40C66FF867C}">
                  <a14:compatExt spid="_x0000_s16395"/>
                </a:ext>
                <a:ext uri="{FF2B5EF4-FFF2-40B4-BE49-F238E27FC236}">
                  <a16:creationId xmlns:a16="http://schemas.microsoft.com/office/drawing/2014/main" id="{00000000-0008-0000-0300-00000B4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3</xdr:col>
      <xdr:colOff>12700</xdr:colOff>
      <xdr:row>14</xdr:row>
      <xdr:rowOff>0</xdr:rowOff>
    </xdr:from>
    <xdr:to>
      <xdr:col>4</xdr:col>
      <xdr:colOff>0</xdr:colOff>
      <xdr:row>15</xdr:row>
      <xdr:rowOff>0</xdr:rowOff>
    </xdr:to>
    <xdr:sp macro="" textlink="">
      <xdr:nvSpPr>
        <xdr:cNvPr id="16396" name="TextBox1" hidden="1">
          <a:extLst>
            <a:ext uri="{63B3BB69-23CF-44E3-9099-C40C66FF867C}">
              <a14:compatExt xmlns:a14="http://schemas.microsoft.com/office/drawing/2010/main" spid="_x0000_s16396"/>
            </a:ext>
            <a:ext uri="{FF2B5EF4-FFF2-40B4-BE49-F238E27FC236}">
              <a16:creationId xmlns:a16="http://schemas.microsoft.com/office/drawing/2014/main" id="{00000000-0008-0000-0300-00000C4000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7</xdr:col>
      <xdr:colOff>12700</xdr:colOff>
      <xdr:row>10</xdr:row>
      <xdr:rowOff>12700</xdr:rowOff>
    </xdr:from>
    <xdr:to>
      <xdr:col>8</xdr:col>
      <xdr:colOff>0</xdr:colOff>
      <xdr:row>11</xdr:row>
      <xdr:rowOff>12700</xdr:rowOff>
    </xdr:to>
    <xdr:sp macro="" textlink="">
      <xdr:nvSpPr>
        <xdr:cNvPr id="16399" name="TextBox3" hidden="1">
          <a:extLst>
            <a:ext uri="{63B3BB69-23CF-44E3-9099-C40C66FF867C}">
              <a14:compatExt xmlns:a14="http://schemas.microsoft.com/office/drawing/2010/main" spid="_x0000_s16399"/>
            </a:ext>
            <a:ext uri="{FF2B5EF4-FFF2-40B4-BE49-F238E27FC236}">
              <a16:creationId xmlns:a16="http://schemas.microsoft.com/office/drawing/2014/main" id="{00000000-0008-0000-0300-00000F4000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7</xdr:col>
      <xdr:colOff>12700</xdr:colOff>
      <xdr:row>12</xdr:row>
      <xdr:rowOff>12700</xdr:rowOff>
    </xdr:from>
    <xdr:to>
      <xdr:col>8</xdr:col>
      <xdr:colOff>0</xdr:colOff>
      <xdr:row>13</xdr:row>
      <xdr:rowOff>12700</xdr:rowOff>
    </xdr:to>
    <xdr:sp macro="" textlink="">
      <xdr:nvSpPr>
        <xdr:cNvPr id="16400" name="TextBox4" hidden="1">
          <a:extLst>
            <a:ext uri="{63B3BB69-23CF-44E3-9099-C40C66FF867C}">
              <a14:compatExt xmlns:a14="http://schemas.microsoft.com/office/drawing/2010/main" spid="_x0000_s16400"/>
            </a:ext>
            <a:ext uri="{FF2B5EF4-FFF2-40B4-BE49-F238E27FC236}">
              <a16:creationId xmlns:a16="http://schemas.microsoft.com/office/drawing/2014/main" id="{00000000-0008-0000-0300-0000104000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xdr:from>
      <xdr:col>6</xdr:col>
      <xdr:colOff>1315007</xdr:colOff>
      <xdr:row>27</xdr:row>
      <xdr:rowOff>152975</xdr:rowOff>
    </xdr:from>
    <xdr:to>
      <xdr:col>10</xdr:col>
      <xdr:colOff>592779</xdr:colOff>
      <xdr:row>68</xdr:row>
      <xdr:rowOff>149011</xdr:rowOff>
    </xdr:to>
    <xdr:graphicFrame macro="">
      <xdr:nvGraphicFramePr>
        <xdr:cNvPr id="24" name="Diagramm 23">
          <a:extLst>
            <a:ext uri="{FF2B5EF4-FFF2-40B4-BE49-F238E27FC236}">
              <a16:creationId xmlns:a16="http://schemas.microsoft.com/office/drawing/2014/main" id="{00000000-0008-0000-03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623848</xdr:colOff>
      <xdr:row>27</xdr:row>
      <xdr:rowOff>152400</xdr:rowOff>
    </xdr:from>
    <xdr:to>
      <xdr:col>13</xdr:col>
      <xdr:colOff>1334371</xdr:colOff>
      <xdr:row>68</xdr:row>
      <xdr:rowOff>149586</xdr:rowOff>
    </xdr:to>
    <xdr:graphicFrame macro="">
      <xdr:nvGraphicFramePr>
        <xdr:cNvPr id="25" name="Diagramm 24">
          <a:extLst>
            <a:ext uri="{FF2B5EF4-FFF2-40B4-BE49-F238E27FC236}">
              <a16:creationId xmlns:a16="http://schemas.microsoft.com/office/drawing/2014/main" id="{00000000-0008-0000-03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585109</xdr:colOff>
      <xdr:row>27</xdr:row>
      <xdr:rowOff>152674</xdr:rowOff>
    </xdr:from>
    <xdr:to>
      <xdr:col>6</xdr:col>
      <xdr:colOff>1305237</xdr:colOff>
      <xdr:row>68</xdr:row>
      <xdr:rowOff>149313</xdr:rowOff>
    </xdr:to>
    <xdr:graphicFrame macro="">
      <xdr:nvGraphicFramePr>
        <xdr:cNvPr id="26" name="Diagramm 25">
          <a:extLst>
            <a:ext uri="{FF2B5EF4-FFF2-40B4-BE49-F238E27FC236}">
              <a16:creationId xmlns:a16="http://schemas.microsoft.com/office/drawing/2014/main" id="{00000000-0008-0000-03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twoCellAnchor editAs="oneCell">
        <xdr:from>
          <xdr:col>3</xdr:col>
          <xdr:colOff>0</xdr:colOff>
          <xdr:row>17</xdr:row>
          <xdr:rowOff>165100</xdr:rowOff>
        </xdr:from>
        <xdr:to>
          <xdr:col>3</xdr:col>
          <xdr:colOff>1435100</xdr:colOff>
          <xdr:row>18</xdr:row>
          <xdr:rowOff>165100</xdr:rowOff>
        </xdr:to>
        <xdr:sp macro="" textlink="">
          <xdr:nvSpPr>
            <xdr:cNvPr id="16402" name="Drop Down 18" hidden="1">
              <a:extLst>
                <a:ext uri="{63B3BB69-23CF-44E3-9099-C40C66FF867C}">
                  <a14:compatExt spid="_x0000_s16402"/>
                </a:ext>
                <a:ext uri="{FF2B5EF4-FFF2-40B4-BE49-F238E27FC236}">
                  <a16:creationId xmlns:a16="http://schemas.microsoft.com/office/drawing/2014/main" id="{00000000-0008-0000-0300-0000124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12700</xdr:colOff>
          <xdr:row>16</xdr:row>
          <xdr:rowOff>12700</xdr:rowOff>
        </xdr:from>
        <xdr:to>
          <xdr:col>4</xdr:col>
          <xdr:colOff>12700</xdr:colOff>
          <xdr:row>17</xdr:row>
          <xdr:rowOff>12700</xdr:rowOff>
        </xdr:to>
        <xdr:sp macro="" textlink="">
          <xdr:nvSpPr>
            <xdr:cNvPr id="16403" name="Drop Down 19" hidden="1">
              <a:extLst>
                <a:ext uri="{63B3BB69-23CF-44E3-9099-C40C66FF867C}">
                  <a14:compatExt spid="_x0000_s16403"/>
                </a:ext>
                <a:ext uri="{FF2B5EF4-FFF2-40B4-BE49-F238E27FC236}">
                  <a16:creationId xmlns:a16="http://schemas.microsoft.com/office/drawing/2014/main" id="{00000000-0008-0000-0300-0000134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1244600</xdr:colOff>
          <xdr:row>19</xdr:row>
          <xdr:rowOff>152400</xdr:rowOff>
        </xdr:from>
        <xdr:to>
          <xdr:col>4</xdr:col>
          <xdr:colOff>12700</xdr:colOff>
          <xdr:row>20</xdr:row>
          <xdr:rowOff>165100</xdr:rowOff>
        </xdr:to>
        <xdr:sp macro="" textlink="">
          <xdr:nvSpPr>
            <xdr:cNvPr id="16404" name="Check Box 20" hidden="1">
              <a:extLst>
                <a:ext uri="{63B3BB69-23CF-44E3-9099-C40C66FF867C}">
                  <a14:compatExt spid="_x0000_s16404"/>
                </a:ext>
                <a:ext uri="{FF2B5EF4-FFF2-40B4-BE49-F238E27FC236}">
                  <a16:creationId xmlns:a16="http://schemas.microsoft.com/office/drawing/2014/main" id="{00000000-0008-0000-0300-0000144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editAs="oneCell">
    <xdr:from>
      <xdr:col>3</xdr:col>
      <xdr:colOff>7620</xdr:colOff>
      <xdr:row>14</xdr:row>
      <xdr:rowOff>0</xdr:rowOff>
    </xdr:from>
    <xdr:to>
      <xdr:col>4</xdr:col>
      <xdr:colOff>0</xdr:colOff>
      <xdr:row>15</xdr:row>
      <xdr:rowOff>0</xdr:rowOff>
    </xdr:to>
    <xdr:pic>
      <xdr:nvPicPr>
        <xdr:cNvPr id="2" name="TextBox1">
          <a:extLst>
            <a:ext uri="{FF2B5EF4-FFF2-40B4-BE49-F238E27FC236}">
              <a16:creationId xmlns:a16="http://schemas.microsoft.com/office/drawing/2014/main" id="{00000000-0008-0000-0300-000002000000}"/>
            </a:ext>
          </a:extLst>
        </xdr:cNvPr>
        <xdr:cNvPicPr preferRelativeResize="0">
          <a:picLocks noChangeArrowheads="1" noChangeShapeType="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192780" y="2895600"/>
          <a:ext cx="1478280" cy="17526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7</xdr:col>
      <xdr:colOff>7620</xdr:colOff>
      <xdr:row>10</xdr:row>
      <xdr:rowOff>7620</xdr:rowOff>
    </xdr:from>
    <xdr:to>
      <xdr:col>8</xdr:col>
      <xdr:colOff>0</xdr:colOff>
      <xdr:row>11</xdr:row>
      <xdr:rowOff>7620</xdr:rowOff>
    </xdr:to>
    <xdr:pic>
      <xdr:nvPicPr>
        <xdr:cNvPr id="3" name="TextBox3">
          <a:extLst>
            <a:ext uri="{FF2B5EF4-FFF2-40B4-BE49-F238E27FC236}">
              <a16:creationId xmlns:a16="http://schemas.microsoft.com/office/drawing/2014/main" id="{00000000-0008-0000-0300-000003000000}"/>
            </a:ext>
          </a:extLst>
        </xdr:cNvPr>
        <xdr:cNvPicPr preferRelativeResize="0">
          <a:picLocks noChangeArrowheads="1" noChangeShapeType="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9136380" y="2202180"/>
          <a:ext cx="1478280" cy="17526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7</xdr:col>
      <xdr:colOff>7620</xdr:colOff>
      <xdr:row>12</xdr:row>
      <xdr:rowOff>7620</xdr:rowOff>
    </xdr:from>
    <xdr:to>
      <xdr:col>8</xdr:col>
      <xdr:colOff>0</xdr:colOff>
      <xdr:row>13</xdr:row>
      <xdr:rowOff>7620</xdr:rowOff>
    </xdr:to>
    <xdr:pic>
      <xdr:nvPicPr>
        <xdr:cNvPr id="4" name="TextBox4">
          <a:extLst>
            <a:ext uri="{FF2B5EF4-FFF2-40B4-BE49-F238E27FC236}">
              <a16:creationId xmlns:a16="http://schemas.microsoft.com/office/drawing/2014/main" id="{00000000-0008-0000-0300-000004000000}"/>
            </a:ext>
          </a:extLst>
        </xdr:cNvPr>
        <xdr:cNvPicPr preferRelativeResize="0">
          <a:picLocks noChangeArrowheads="1" noChangeShapeType="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9136380" y="2552700"/>
          <a:ext cx="1478280" cy="17526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1206500</xdr:colOff>
          <xdr:row>9</xdr:row>
          <xdr:rowOff>177800</xdr:rowOff>
        </xdr:from>
        <xdr:to>
          <xdr:col>3</xdr:col>
          <xdr:colOff>1435100</xdr:colOff>
          <xdr:row>10</xdr:row>
          <xdr:rowOff>177800</xdr:rowOff>
        </xdr:to>
        <xdr:sp macro="" textlink="">
          <xdr:nvSpPr>
            <xdr:cNvPr id="17425" name="Check Box 17" hidden="1">
              <a:extLst>
                <a:ext uri="{63B3BB69-23CF-44E3-9099-C40C66FF867C}">
                  <a14:compatExt spid="_x0000_s17425"/>
                </a:ext>
                <a:ext uri="{FF2B5EF4-FFF2-40B4-BE49-F238E27FC236}">
                  <a16:creationId xmlns:a16="http://schemas.microsoft.com/office/drawing/2014/main" id="{00000000-0008-0000-0400-0000114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1206500</xdr:colOff>
          <xdr:row>9</xdr:row>
          <xdr:rowOff>177800</xdr:rowOff>
        </xdr:from>
        <xdr:to>
          <xdr:col>3</xdr:col>
          <xdr:colOff>1435100</xdr:colOff>
          <xdr:row>10</xdr:row>
          <xdr:rowOff>177800</xdr:rowOff>
        </xdr:to>
        <xdr:sp macro="" textlink="">
          <xdr:nvSpPr>
            <xdr:cNvPr id="17426" name="Check Box 18" hidden="1">
              <a:extLst>
                <a:ext uri="{63B3BB69-23CF-44E3-9099-C40C66FF867C}">
                  <a14:compatExt spid="_x0000_s17426"/>
                </a:ext>
                <a:ext uri="{FF2B5EF4-FFF2-40B4-BE49-F238E27FC236}">
                  <a16:creationId xmlns:a16="http://schemas.microsoft.com/office/drawing/2014/main" id="{00000000-0008-0000-0400-0000124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1206500</xdr:colOff>
          <xdr:row>9</xdr:row>
          <xdr:rowOff>177800</xdr:rowOff>
        </xdr:from>
        <xdr:to>
          <xdr:col>3</xdr:col>
          <xdr:colOff>1435100</xdr:colOff>
          <xdr:row>10</xdr:row>
          <xdr:rowOff>177800</xdr:rowOff>
        </xdr:to>
        <xdr:sp macro="" textlink="">
          <xdr:nvSpPr>
            <xdr:cNvPr id="17427" name="Check Box 19" hidden="1">
              <a:extLst>
                <a:ext uri="{63B3BB69-23CF-44E3-9099-C40C66FF867C}">
                  <a14:compatExt spid="_x0000_s17427"/>
                </a:ext>
                <a:ext uri="{FF2B5EF4-FFF2-40B4-BE49-F238E27FC236}">
                  <a16:creationId xmlns:a16="http://schemas.microsoft.com/office/drawing/2014/main" id="{00000000-0008-0000-0400-0000134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1206500</xdr:colOff>
          <xdr:row>11</xdr:row>
          <xdr:rowOff>177800</xdr:rowOff>
        </xdr:from>
        <xdr:to>
          <xdr:col>3</xdr:col>
          <xdr:colOff>1435100</xdr:colOff>
          <xdr:row>13</xdr:row>
          <xdr:rowOff>0</xdr:rowOff>
        </xdr:to>
        <xdr:sp macro="" textlink="">
          <xdr:nvSpPr>
            <xdr:cNvPr id="17428" name="Check Box 20" hidden="1">
              <a:extLst>
                <a:ext uri="{63B3BB69-23CF-44E3-9099-C40C66FF867C}">
                  <a14:compatExt spid="_x0000_s17428"/>
                </a:ext>
                <a:ext uri="{FF2B5EF4-FFF2-40B4-BE49-F238E27FC236}">
                  <a16:creationId xmlns:a16="http://schemas.microsoft.com/office/drawing/2014/main" id="{00000000-0008-0000-0400-0000144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1206500</xdr:colOff>
          <xdr:row>9</xdr:row>
          <xdr:rowOff>177800</xdr:rowOff>
        </xdr:from>
        <xdr:to>
          <xdr:col>3</xdr:col>
          <xdr:colOff>1435100</xdr:colOff>
          <xdr:row>10</xdr:row>
          <xdr:rowOff>177800</xdr:rowOff>
        </xdr:to>
        <xdr:sp macro="" textlink="">
          <xdr:nvSpPr>
            <xdr:cNvPr id="17429" name="Check Box 21" hidden="1">
              <a:extLst>
                <a:ext uri="{63B3BB69-23CF-44E3-9099-C40C66FF867C}">
                  <a14:compatExt spid="_x0000_s17429"/>
                </a:ext>
                <a:ext uri="{FF2B5EF4-FFF2-40B4-BE49-F238E27FC236}">
                  <a16:creationId xmlns:a16="http://schemas.microsoft.com/office/drawing/2014/main" id="{00000000-0008-0000-0400-0000154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12700</xdr:colOff>
          <xdr:row>8</xdr:row>
          <xdr:rowOff>0</xdr:rowOff>
        </xdr:from>
        <xdr:to>
          <xdr:col>4</xdr:col>
          <xdr:colOff>0</xdr:colOff>
          <xdr:row>9</xdr:row>
          <xdr:rowOff>25400</xdr:rowOff>
        </xdr:to>
        <xdr:sp macro="" textlink="">
          <xdr:nvSpPr>
            <xdr:cNvPr id="17430" name="Drop Down 22" hidden="1">
              <a:extLst>
                <a:ext uri="{63B3BB69-23CF-44E3-9099-C40C66FF867C}">
                  <a14:compatExt spid="_x0000_s17430"/>
                </a:ext>
                <a:ext uri="{FF2B5EF4-FFF2-40B4-BE49-F238E27FC236}">
                  <a16:creationId xmlns:a16="http://schemas.microsoft.com/office/drawing/2014/main" id="{00000000-0008-0000-0400-0000164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12700</xdr:colOff>
          <xdr:row>7</xdr:row>
          <xdr:rowOff>177800</xdr:rowOff>
        </xdr:from>
        <xdr:to>
          <xdr:col>8</xdr:col>
          <xdr:colOff>0</xdr:colOff>
          <xdr:row>9</xdr:row>
          <xdr:rowOff>12700</xdr:rowOff>
        </xdr:to>
        <xdr:sp macro="" textlink="">
          <xdr:nvSpPr>
            <xdr:cNvPr id="17431" name="Drop Down 23" hidden="1">
              <a:extLst>
                <a:ext uri="{63B3BB69-23CF-44E3-9099-C40C66FF867C}">
                  <a14:compatExt spid="_x0000_s17431"/>
                </a:ext>
                <a:ext uri="{FF2B5EF4-FFF2-40B4-BE49-F238E27FC236}">
                  <a16:creationId xmlns:a16="http://schemas.microsoft.com/office/drawing/2014/main" id="{00000000-0008-0000-0400-0000174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6</xdr:col>
      <xdr:colOff>1315007</xdr:colOff>
      <xdr:row>27</xdr:row>
      <xdr:rowOff>162500</xdr:rowOff>
    </xdr:from>
    <xdr:to>
      <xdr:col>10</xdr:col>
      <xdr:colOff>592779</xdr:colOff>
      <xdr:row>68</xdr:row>
      <xdr:rowOff>158536</xdr:rowOff>
    </xdr:to>
    <xdr:graphicFrame macro="">
      <xdr:nvGraphicFramePr>
        <xdr:cNvPr id="51" name="Diagramm 50">
          <a:extLst>
            <a:ext uri="{FF2B5EF4-FFF2-40B4-BE49-F238E27FC236}">
              <a16:creationId xmlns:a16="http://schemas.microsoft.com/office/drawing/2014/main" id="{00000000-0008-0000-0400-00003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623848</xdr:colOff>
      <xdr:row>27</xdr:row>
      <xdr:rowOff>161925</xdr:rowOff>
    </xdr:from>
    <xdr:to>
      <xdr:col>13</xdr:col>
      <xdr:colOff>1334371</xdr:colOff>
      <xdr:row>68</xdr:row>
      <xdr:rowOff>159111</xdr:rowOff>
    </xdr:to>
    <xdr:graphicFrame macro="">
      <xdr:nvGraphicFramePr>
        <xdr:cNvPr id="52" name="Diagramm 51">
          <a:extLst>
            <a:ext uri="{FF2B5EF4-FFF2-40B4-BE49-F238E27FC236}">
              <a16:creationId xmlns:a16="http://schemas.microsoft.com/office/drawing/2014/main" id="{00000000-0008-0000-0400-00003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3</xdr:col>
          <xdr:colOff>0</xdr:colOff>
          <xdr:row>17</xdr:row>
          <xdr:rowOff>165100</xdr:rowOff>
        </xdr:from>
        <xdr:to>
          <xdr:col>3</xdr:col>
          <xdr:colOff>1435100</xdr:colOff>
          <xdr:row>18</xdr:row>
          <xdr:rowOff>165100</xdr:rowOff>
        </xdr:to>
        <xdr:sp macro="" textlink="">
          <xdr:nvSpPr>
            <xdr:cNvPr id="17433" name="Drop Down 25" hidden="1">
              <a:extLst>
                <a:ext uri="{63B3BB69-23CF-44E3-9099-C40C66FF867C}">
                  <a14:compatExt spid="_x0000_s17433"/>
                </a:ext>
                <a:ext uri="{FF2B5EF4-FFF2-40B4-BE49-F238E27FC236}">
                  <a16:creationId xmlns:a16="http://schemas.microsoft.com/office/drawing/2014/main" id="{00000000-0008-0000-0400-0000194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12700</xdr:colOff>
          <xdr:row>16</xdr:row>
          <xdr:rowOff>12700</xdr:rowOff>
        </xdr:from>
        <xdr:to>
          <xdr:col>4</xdr:col>
          <xdr:colOff>12700</xdr:colOff>
          <xdr:row>17</xdr:row>
          <xdr:rowOff>12700</xdr:rowOff>
        </xdr:to>
        <xdr:sp macro="" textlink="">
          <xdr:nvSpPr>
            <xdr:cNvPr id="17434" name="Drop Down 26" hidden="1">
              <a:extLst>
                <a:ext uri="{63B3BB69-23CF-44E3-9099-C40C66FF867C}">
                  <a14:compatExt spid="_x0000_s17434"/>
                </a:ext>
                <a:ext uri="{FF2B5EF4-FFF2-40B4-BE49-F238E27FC236}">
                  <a16:creationId xmlns:a16="http://schemas.microsoft.com/office/drawing/2014/main" id="{00000000-0008-0000-0400-00001A4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3</xdr:col>
      <xdr:colOff>0</xdr:colOff>
      <xdr:row>13</xdr:row>
      <xdr:rowOff>152400</xdr:rowOff>
    </xdr:from>
    <xdr:to>
      <xdr:col>3</xdr:col>
      <xdr:colOff>1435100</xdr:colOff>
      <xdr:row>14</xdr:row>
      <xdr:rowOff>165100</xdr:rowOff>
    </xdr:to>
    <xdr:sp macro="" textlink="">
      <xdr:nvSpPr>
        <xdr:cNvPr id="17435" name="TextBox1" hidden="1">
          <a:extLst>
            <a:ext uri="{63B3BB69-23CF-44E3-9099-C40C66FF867C}">
              <a14:compatExt xmlns:a14="http://schemas.microsoft.com/office/drawing/2010/main" spid="_x0000_s17435"/>
            </a:ext>
            <a:ext uri="{FF2B5EF4-FFF2-40B4-BE49-F238E27FC236}">
              <a16:creationId xmlns:a16="http://schemas.microsoft.com/office/drawing/2014/main" id="{00000000-0008-0000-0400-00001B4400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7</xdr:col>
      <xdr:colOff>12700</xdr:colOff>
      <xdr:row>10</xdr:row>
      <xdr:rowOff>12700</xdr:rowOff>
    </xdr:from>
    <xdr:to>
      <xdr:col>8</xdr:col>
      <xdr:colOff>0</xdr:colOff>
      <xdr:row>11</xdr:row>
      <xdr:rowOff>12700</xdr:rowOff>
    </xdr:to>
    <xdr:sp macro="" textlink="">
      <xdr:nvSpPr>
        <xdr:cNvPr id="17436" name="TextBox2" hidden="1">
          <a:extLst>
            <a:ext uri="{63B3BB69-23CF-44E3-9099-C40C66FF867C}">
              <a14:compatExt xmlns:a14="http://schemas.microsoft.com/office/drawing/2010/main" spid="_x0000_s17436"/>
            </a:ext>
            <a:ext uri="{FF2B5EF4-FFF2-40B4-BE49-F238E27FC236}">
              <a16:creationId xmlns:a16="http://schemas.microsoft.com/office/drawing/2014/main" id="{00000000-0008-0000-0400-00001C4400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7</xdr:col>
      <xdr:colOff>12700</xdr:colOff>
      <xdr:row>12</xdr:row>
      <xdr:rowOff>12700</xdr:rowOff>
    </xdr:from>
    <xdr:to>
      <xdr:col>8</xdr:col>
      <xdr:colOff>0</xdr:colOff>
      <xdr:row>13</xdr:row>
      <xdr:rowOff>12700</xdr:rowOff>
    </xdr:to>
    <xdr:sp macro="" textlink="">
      <xdr:nvSpPr>
        <xdr:cNvPr id="17437" name="TextBox3" hidden="1">
          <a:extLst>
            <a:ext uri="{63B3BB69-23CF-44E3-9099-C40C66FF867C}">
              <a14:compatExt xmlns:a14="http://schemas.microsoft.com/office/drawing/2010/main" spid="_x0000_s17437"/>
            </a:ext>
            <a:ext uri="{FF2B5EF4-FFF2-40B4-BE49-F238E27FC236}">
              <a16:creationId xmlns:a16="http://schemas.microsoft.com/office/drawing/2014/main" id="{00000000-0008-0000-0400-00001D4400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3</xdr:col>
          <xdr:colOff>1244600</xdr:colOff>
          <xdr:row>19</xdr:row>
          <xdr:rowOff>152400</xdr:rowOff>
        </xdr:from>
        <xdr:to>
          <xdr:col>4</xdr:col>
          <xdr:colOff>12700</xdr:colOff>
          <xdr:row>20</xdr:row>
          <xdr:rowOff>165100</xdr:rowOff>
        </xdr:to>
        <xdr:sp macro="" textlink="">
          <xdr:nvSpPr>
            <xdr:cNvPr id="17438" name="Check Box 30" hidden="1">
              <a:extLst>
                <a:ext uri="{63B3BB69-23CF-44E3-9099-C40C66FF867C}">
                  <a14:compatExt spid="_x0000_s17438"/>
                </a:ext>
                <a:ext uri="{FF2B5EF4-FFF2-40B4-BE49-F238E27FC236}">
                  <a16:creationId xmlns:a16="http://schemas.microsoft.com/office/drawing/2014/main" id="{00000000-0008-0000-0400-00001E4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3</xdr:col>
      <xdr:colOff>428628</xdr:colOff>
      <xdr:row>28</xdr:row>
      <xdr:rowOff>0</xdr:rowOff>
    </xdr:from>
    <xdr:to>
      <xdr:col>6</xdr:col>
      <xdr:colOff>1134469</xdr:colOff>
      <xdr:row>69</xdr:row>
      <xdr:rowOff>89508</xdr:rowOff>
    </xdr:to>
    <xdr:graphicFrame macro="">
      <xdr:nvGraphicFramePr>
        <xdr:cNvPr id="25" name="Diagramm 24">
          <a:extLst>
            <a:ext uri="{FF2B5EF4-FFF2-40B4-BE49-F238E27FC236}">
              <a16:creationId xmlns:a16="http://schemas.microsoft.com/office/drawing/2014/main" id="{00000000-0008-0000-04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0</xdr:colOff>
      <xdr:row>13</xdr:row>
      <xdr:rowOff>91440</xdr:rowOff>
    </xdr:from>
    <xdr:to>
      <xdr:col>3</xdr:col>
      <xdr:colOff>861060</xdr:colOff>
      <xdr:row>14</xdr:row>
      <xdr:rowOff>99060</xdr:rowOff>
    </xdr:to>
    <xdr:pic>
      <xdr:nvPicPr>
        <xdr:cNvPr id="2" name="TextBox1">
          <a:extLst>
            <a:ext uri="{FF2B5EF4-FFF2-40B4-BE49-F238E27FC236}">
              <a16:creationId xmlns:a16="http://schemas.microsoft.com/office/drawing/2014/main" id="{00000000-0008-0000-0400-000002000000}"/>
            </a:ext>
          </a:extLst>
        </xdr:cNvPr>
        <xdr:cNvPicPr preferRelativeResize="0">
          <a:picLocks noChangeArrowheads="1" noChangeShapeType="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185160" y="2811780"/>
          <a:ext cx="861060" cy="18288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7</xdr:col>
      <xdr:colOff>7620</xdr:colOff>
      <xdr:row>10</xdr:row>
      <xdr:rowOff>7620</xdr:rowOff>
    </xdr:from>
    <xdr:to>
      <xdr:col>8</xdr:col>
      <xdr:colOff>0</xdr:colOff>
      <xdr:row>11</xdr:row>
      <xdr:rowOff>7620</xdr:rowOff>
    </xdr:to>
    <xdr:pic>
      <xdr:nvPicPr>
        <xdr:cNvPr id="3" name="TextBox2">
          <a:extLst>
            <a:ext uri="{FF2B5EF4-FFF2-40B4-BE49-F238E27FC236}">
              <a16:creationId xmlns:a16="http://schemas.microsoft.com/office/drawing/2014/main" id="{00000000-0008-0000-0400-000003000000}"/>
            </a:ext>
          </a:extLst>
        </xdr:cNvPr>
        <xdr:cNvPicPr preferRelativeResize="0">
          <a:picLocks noChangeArrowheads="1" noChangeShapeType="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9136380" y="2202180"/>
          <a:ext cx="1478280" cy="17526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7</xdr:col>
      <xdr:colOff>7620</xdr:colOff>
      <xdr:row>12</xdr:row>
      <xdr:rowOff>7620</xdr:rowOff>
    </xdr:from>
    <xdr:to>
      <xdr:col>8</xdr:col>
      <xdr:colOff>0</xdr:colOff>
      <xdr:row>13</xdr:row>
      <xdr:rowOff>7620</xdr:rowOff>
    </xdr:to>
    <xdr:pic>
      <xdr:nvPicPr>
        <xdr:cNvPr id="4" name="TextBox3">
          <a:extLst>
            <a:ext uri="{FF2B5EF4-FFF2-40B4-BE49-F238E27FC236}">
              <a16:creationId xmlns:a16="http://schemas.microsoft.com/office/drawing/2014/main" id="{00000000-0008-0000-0400-000004000000}"/>
            </a:ext>
          </a:extLst>
        </xdr:cNvPr>
        <xdr:cNvPicPr preferRelativeResize="0">
          <a:picLocks noChangeArrowheads="1" noChangeShapeType="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9136380" y="2552700"/>
          <a:ext cx="1478280" cy="17526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6.xml><?xml version="1.0" encoding="utf-8"?>
<c:userShapes xmlns:c="http://schemas.openxmlformats.org/drawingml/2006/chart">
  <cdr:relSizeAnchor xmlns:cdr="http://schemas.openxmlformats.org/drawingml/2006/chartDrawing">
    <cdr:from>
      <cdr:x>0.44895</cdr:x>
      <cdr:y>1</cdr:y>
    </cdr:from>
    <cdr:to>
      <cdr:x>1</cdr:x>
      <cdr:y>1</cdr:y>
    </cdr:to>
    <cdr:cxnSp macro="">
      <cdr:nvCxnSpPr>
        <cdr:cNvPr id="2" name="Gerader Verbinder 1">
          <a:extLst xmlns:a="http://schemas.openxmlformats.org/drawingml/2006/main">
            <a:ext uri="{FF2B5EF4-FFF2-40B4-BE49-F238E27FC236}">
              <a16:creationId xmlns:a16="http://schemas.microsoft.com/office/drawing/2014/main" id="{7F98E536-2E91-449C-BAA2-8C0CAC976098}"/>
            </a:ext>
          </a:extLst>
        </cdr:cNvPr>
        <cdr:cNvCxnSpPr/>
      </cdr:nvCxnSpPr>
      <cdr:spPr>
        <a:xfrm xmlns:a="http://schemas.openxmlformats.org/drawingml/2006/main">
          <a:off x="16090900" y="8023226"/>
          <a:ext cx="2847975" cy="0"/>
        </a:xfrm>
        <a:prstGeom xmlns:a="http://schemas.openxmlformats.org/drawingml/2006/main" prst="line">
          <a:avLst/>
        </a:prstGeom>
        <a:ln xmlns:a="http://schemas.openxmlformats.org/drawingml/2006/main">
          <a:prstDash val="dash"/>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userShapes>
</file>

<file path=xl/drawings/drawing7.xml><?xml version="1.0" encoding="utf-8"?>
<xdr:wsDr xmlns:xdr="http://schemas.openxmlformats.org/drawingml/2006/spreadsheetDrawing" xmlns:a="http://schemas.openxmlformats.org/drawingml/2006/main">
  <xdr:twoCellAnchor>
    <xdr:from>
      <xdr:col>8</xdr:col>
      <xdr:colOff>104775</xdr:colOff>
      <xdr:row>73</xdr:row>
      <xdr:rowOff>95251</xdr:rowOff>
    </xdr:from>
    <xdr:to>
      <xdr:col>12</xdr:col>
      <xdr:colOff>838200</xdr:colOff>
      <xdr:row>73</xdr:row>
      <xdr:rowOff>95252</xdr:rowOff>
    </xdr:to>
    <xdr:cxnSp macro="">
      <xdr:nvCxnSpPr>
        <xdr:cNvPr id="7" name="Gerade Verbindung mit Pfeil 6">
          <a:extLst>
            <a:ext uri="{FF2B5EF4-FFF2-40B4-BE49-F238E27FC236}">
              <a16:creationId xmlns:a16="http://schemas.microsoft.com/office/drawing/2014/main" id="{00000000-0008-0000-0500-000007000000}"/>
            </a:ext>
          </a:extLst>
        </xdr:cNvPr>
        <xdr:cNvCxnSpPr/>
      </xdr:nvCxnSpPr>
      <xdr:spPr>
        <a:xfrm flipV="1">
          <a:off x="8677275" y="12544426"/>
          <a:ext cx="3581400" cy="1"/>
        </a:xfrm>
        <a:prstGeom prst="straightConnector1">
          <a:avLst/>
        </a:prstGeom>
        <a:ln w="3810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reativecommons.org/licenses/by-nc-sa/4.0/"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2.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14.xml"/><Relationship Id="rId3" Type="http://schemas.openxmlformats.org/officeDocument/2006/relationships/vmlDrawing" Target="../drawings/vmlDrawing2.vml"/><Relationship Id="rId7" Type="http://schemas.openxmlformats.org/officeDocument/2006/relationships/ctrlProp" Target="../ctrlProps/ctrlProp13.xml"/><Relationship Id="rId2" Type="http://schemas.openxmlformats.org/officeDocument/2006/relationships/drawing" Target="../drawings/drawing3.xml"/><Relationship Id="rId1" Type="http://schemas.openxmlformats.org/officeDocument/2006/relationships/printerSettings" Target="../printerSettings/printerSettings2.bin"/><Relationship Id="rId6" Type="http://schemas.openxmlformats.org/officeDocument/2006/relationships/ctrlProp" Target="../ctrlProps/ctrlProp12.xml"/><Relationship Id="rId5" Type="http://schemas.openxmlformats.org/officeDocument/2006/relationships/ctrlProp" Target="../ctrlProps/ctrlProp11.xml"/><Relationship Id="rId10" Type="http://schemas.openxmlformats.org/officeDocument/2006/relationships/ctrlProp" Target="../ctrlProps/ctrlProp16.xml"/><Relationship Id="rId4" Type="http://schemas.openxmlformats.org/officeDocument/2006/relationships/ctrlProp" Target="../ctrlProps/ctrlProp10.xml"/><Relationship Id="rId9" Type="http://schemas.openxmlformats.org/officeDocument/2006/relationships/ctrlProp" Target="../ctrlProps/ctrlProp15.xml"/></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21.xml"/><Relationship Id="rId13" Type="http://schemas.openxmlformats.org/officeDocument/2006/relationships/ctrlProp" Target="../ctrlProps/ctrlProp26.xml"/><Relationship Id="rId3" Type="http://schemas.openxmlformats.org/officeDocument/2006/relationships/vmlDrawing" Target="../drawings/vmlDrawing3.vml"/><Relationship Id="rId7" Type="http://schemas.openxmlformats.org/officeDocument/2006/relationships/ctrlProp" Target="../ctrlProps/ctrlProp20.xml"/><Relationship Id="rId12" Type="http://schemas.openxmlformats.org/officeDocument/2006/relationships/ctrlProp" Target="../ctrlProps/ctrlProp25.xml"/><Relationship Id="rId2" Type="http://schemas.openxmlformats.org/officeDocument/2006/relationships/drawing" Target="../drawings/drawing4.xml"/><Relationship Id="rId1" Type="http://schemas.openxmlformats.org/officeDocument/2006/relationships/printerSettings" Target="../printerSettings/printerSettings3.bin"/><Relationship Id="rId6" Type="http://schemas.openxmlformats.org/officeDocument/2006/relationships/ctrlProp" Target="../ctrlProps/ctrlProp19.xml"/><Relationship Id="rId11" Type="http://schemas.openxmlformats.org/officeDocument/2006/relationships/ctrlProp" Target="../ctrlProps/ctrlProp24.xml"/><Relationship Id="rId5" Type="http://schemas.openxmlformats.org/officeDocument/2006/relationships/ctrlProp" Target="../ctrlProps/ctrlProp18.xml"/><Relationship Id="rId10" Type="http://schemas.openxmlformats.org/officeDocument/2006/relationships/ctrlProp" Target="../ctrlProps/ctrlProp23.xml"/><Relationship Id="rId4" Type="http://schemas.openxmlformats.org/officeDocument/2006/relationships/ctrlProp" Target="../ctrlProps/ctrlProp17.xml"/><Relationship Id="rId9" Type="http://schemas.openxmlformats.org/officeDocument/2006/relationships/ctrlProp" Target="../ctrlProps/ctrlProp22.xml"/></Relationships>
</file>

<file path=xl/worksheets/_rels/sheet5.xml.rels><?xml version="1.0" encoding="UTF-8" standalone="yes"?>
<Relationships xmlns="http://schemas.openxmlformats.org/package/2006/relationships"><Relationship Id="rId8" Type="http://schemas.openxmlformats.org/officeDocument/2006/relationships/ctrlProp" Target="../ctrlProps/ctrlProp31.xml"/><Relationship Id="rId13" Type="http://schemas.openxmlformats.org/officeDocument/2006/relationships/ctrlProp" Target="../ctrlProps/ctrlProp36.xml"/><Relationship Id="rId3" Type="http://schemas.openxmlformats.org/officeDocument/2006/relationships/vmlDrawing" Target="../drawings/vmlDrawing4.vml"/><Relationship Id="rId7" Type="http://schemas.openxmlformats.org/officeDocument/2006/relationships/ctrlProp" Target="../ctrlProps/ctrlProp30.xml"/><Relationship Id="rId12" Type="http://schemas.openxmlformats.org/officeDocument/2006/relationships/ctrlProp" Target="../ctrlProps/ctrlProp35.xml"/><Relationship Id="rId2" Type="http://schemas.openxmlformats.org/officeDocument/2006/relationships/drawing" Target="../drawings/drawing5.xml"/><Relationship Id="rId1" Type="http://schemas.openxmlformats.org/officeDocument/2006/relationships/printerSettings" Target="../printerSettings/printerSettings4.bin"/><Relationship Id="rId6" Type="http://schemas.openxmlformats.org/officeDocument/2006/relationships/ctrlProp" Target="../ctrlProps/ctrlProp29.xml"/><Relationship Id="rId11" Type="http://schemas.openxmlformats.org/officeDocument/2006/relationships/ctrlProp" Target="../ctrlProps/ctrlProp34.xml"/><Relationship Id="rId5" Type="http://schemas.openxmlformats.org/officeDocument/2006/relationships/ctrlProp" Target="../ctrlProps/ctrlProp28.xml"/><Relationship Id="rId10" Type="http://schemas.openxmlformats.org/officeDocument/2006/relationships/ctrlProp" Target="../ctrlProps/ctrlProp33.xml"/><Relationship Id="rId4" Type="http://schemas.openxmlformats.org/officeDocument/2006/relationships/ctrlProp" Target="../ctrlProps/ctrlProp27.xml"/><Relationship Id="rId9" Type="http://schemas.openxmlformats.org/officeDocument/2006/relationships/ctrlProp" Target="../ctrlProps/ctrlProp3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7.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4">
    <tabColor rgb="FFFA6E00"/>
  </sheetPr>
  <dimension ref="B2:W27"/>
  <sheetViews>
    <sheetView topLeftCell="A15" workbookViewId="0"/>
  </sheetViews>
  <sheetFormatPr baseColWidth="10" defaultColWidth="11.5" defaultRowHeight="15" x14ac:dyDescent="0.2"/>
  <cols>
    <col min="1" max="1" width="5.6640625" style="795" customWidth="1"/>
    <col min="2" max="2" width="4" style="795" customWidth="1"/>
    <col min="3" max="13" width="11.5" style="795"/>
    <col min="14" max="14" width="4" style="795" customWidth="1"/>
    <col min="15" max="20" width="11.5" style="795"/>
    <col min="21" max="21" width="14.33203125" style="795" customWidth="1"/>
    <col min="22" max="22" width="4" style="795" customWidth="1"/>
    <col min="23" max="16384" width="11.5" style="795"/>
  </cols>
  <sheetData>
    <row r="2" spans="2:22" ht="19" x14ac:dyDescent="0.25">
      <c r="B2" s="805" t="s">
        <v>1091</v>
      </c>
    </row>
    <row r="3" spans="2:22" x14ac:dyDescent="0.2">
      <c r="B3" s="795" t="s">
        <v>1084</v>
      </c>
    </row>
    <row r="4" spans="2:22" x14ac:dyDescent="0.2">
      <c r="B4" s="795" t="s">
        <v>1</v>
      </c>
    </row>
    <row r="5" spans="2:22" ht="16" thickBot="1" x14ac:dyDescent="0.25"/>
    <row r="6" spans="2:22" ht="15" customHeight="1" x14ac:dyDescent="0.2">
      <c r="B6" s="796"/>
      <c r="C6" s="797"/>
      <c r="D6" s="797"/>
      <c r="E6" s="797"/>
      <c r="F6" s="797"/>
      <c r="G6" s="797"/>
      <c r="H6" s="797"/>
      <c r="I6" s="797"/>
      <c r="J6" s="797"/>
      <c r="K6" s="797"/>
      <c r="L6" s="798"/>
      <c r="N6" s="928"/>
      <c r="O6" s="929"/>
      <c r="P6" s="929"/>
      <c r="Q6" s="929"/>
      <c r="R6" s="929"/>
      <c r="S6" s="929"/>
      <c r="T6" s="929"/>
      <c r="U6" s="929"/>
      <c r="V6" s="930"/>
    </row>
    <row r="7" spans="2:22" ht="15" customHeight="1" x14ac:dyDescent="0.2">
      <c r="B7" s="799"/>
      <c r="C7" s="800" t="s">
        <v>2</v>
      </c>
      <c r="D7" s="800"/>
      <c r="E7" s="800"/>
      <c r="L7" s="801"/>
      <c r="N7" s="931"/>
      <c r="O7" s="954" t="s">
        <v>3</v>
      </c>
      <c r="P7" s="954"/>
      <c r="Q7" s="954"/>
      <c r="R7" s="954"/>
      <c r="S7" s="954"/>
      <c r="T7" s="954"/>
      <c r="U7" s="954"/>
      <c r="V7" s="933"/>
    </row>
    <row r="8" spans="2:22" x14ac:dyDescent="0.2">
      <c r="B8" s="799"/>
      <c r="C8" s="800" t="s">
        <v>4</v>
      </c>
      <c r="D8" s="800"/>
      <c r="E8" s="800"/>
      <c r="L8" s="801"/>
      <c r="N8" s="931"/>
      <c r="O8" s="954"/>
      <c r="P8" s="954"/>
      <c r="Q8" s="954"/>
      <c r="R8" s="954"/>
      <c r="S8" s="954"/>
      <c r="T8" s="954"/>
      <c r="U8" s="954"/>
      <c r="V8" s="933"/>
    </row>
    <row r="9" spans="2:22" ht="15" customHeight="1" x14ac:dyDescent="0.2">
      <c r="B9" s="799"/>
      <c r="D9" s="800"/>
      <c r="E9" s="800"/>
      <c r="L9" s="801"/>
      <c r="N9" s="931"/>
      <c r="O9" s="932"/>
      <c r="P9" s="955" t="s">
        <v>5</v>
      </c>
      <c r="Q9" s="955"/>
      <c r="R9" s="955"/>
      <c r="S9" s="955"/>
      <c r="T9" s="955"/>
      <c r="U9" s="955"/>
      <c r="V9" s="933"/>
    </row>
    <row r="10" spans="2:22" x14ac:dyDescent="0.2">
      <c r="B10" s="799"/>
      <c r="C10" s="800"/>
      <c r="D10" s="800"/>
      <c r="E10" s="800"/>
      <c r="L10" s="801"/>
      <c r="N10" s="931"/>
      <c r="O10" s="932"/>
      <c r="P10" s="955"/>
      <c r="Q10" s="955"/>
      <c r="R10" s="955"/>
      <c r="S10" s="955"/>
      <c r="T10" s="955"/>
      <c r="U10" s="955"/>
      <c r="V10" s="933"/>
    </row>
    <row r="11" spans="2:22" x14ac:dyDescent="0.2">
      <c r="B11" s="799"/>
      <c r="C11" s="800"/>
      <c r="D11" s="800"/>
      <c r="E11" s="800"/>
      <c r="L11" s="801"/>
      <c r="N11" s="931"/>
      <c r="O11" s="954" t="s">
        <v>1096</v>
      </c>
      <c r="P11" s="954"/>
      <c r="Q11" s="954"/>
      <c r="R11" s="954"/>
      <c r="S11" s="954"/>
      <c r="T11" s="954"/>
      <c r="U11" s="954"/>
      <c r="V11" s="933"/>
    </row>
    <row r="12" spans="2:22" x14ac:dyDescent="0.2">
      <c r="B12" s="799"/>
      <c r="C12" s="800"/>
      <c r="D12" s="800"/>
      <c r="E12" s="800"/>
      <c r="L12" s="801"/>
      <c r="N12" s="931"/>
      <c r="O12" s="954"/>
      <c r="P12" s="954"/>
      <c r="Q12" s="954"/>
      <c r="R12" s="954"/>
      <c r="S12" s="954"/>
      <c r="T12" s="954"/>
      <c r="U12" s="954"/>
      <c r="V12" s="933"/>
    </row>
    <row r="13" spans="2:22" x14ac:dyDescent="0.2">
      <c r="B13" s="799"/>
      <c r="C13" s="800"/>
      <c r="D13" s="800"/>
      <c r="E13" s="800"/>
      <c r="L13" s="801"/>
      <c r="N13" s="931"/>
      <c r="O13" s="954"/>
      <c r="P13" s="954"/>
      <c r="Q13" s="954"/>
      <c r="R13" s="954"/>
      <c r="S13" s="954"/>
      <c r="T13" s="954"/>
      <c r="U13" s="954"/>
      <c r="V13" s="933"/>
    </row>
    <row r="14" spans="2:22" x14ac:dyDescent="0.2">
      <c r="B14" s="799"/>
      <c r="L14" s="801"/>
      <c r="N14" s="931"/>
      <c r="O14" s="954"/>
      <c r="P14" s="954"/>
      <c r="Q14" s="954"/>
      <c r="R14" s="954"/>
      <c r="S14" s="954"/>
      <c r="T14" s="954"/>
      <c r="U14" s="954"/>
      <c r="V14" s="933"/>
    </row>
    <row r="15" spans="2:22" x14ac:dyDescent="0.2">
      <c r="B15" s="799"/>
      <c r="L15" s="801"/>
      <c r="N15" s="931"/>
      <c r="O15" s="954"/>
      <c r="P15" s="954"/>
      <c r="Q15" s="954"/>
      <c r="R15" s="954"/>
      <c r="S15" s="954"/>
      <c r="T15" s="954"/>
      <c r="U15" s="954"/>
      <c r="V15" s="933"/>
    </row>
    <row r="16" spans="2:22" x14ac:dyDescent="0.2">
      <c r="B16" s="799"/>
      <c r="L16" s="801"/>
      <c r="N16" s="931"/>
      <c r="O16" s="954"/>
      <c r="P16" s="954"/>
      <c r="Q16" s="954"/>
      <c r="R16" s="954"/>
      <c r="S16" s="954"/>
      <c r="T16" s="954"/>
      <c r="U16" s="954"/>
      <c r="V16" s="933"/>
    </row>
    <row r="17" spans="2:23" ht="16" thickBot="1" x14ac:dyDescent="0.25">
      <c r="B17" s="802"/>
      <c r="C17" s="803"/>
      <c r="D17" s="803"/>
      <c r="E17" s="803"/>
      <c r="F17" s="803"/>
      <c r="G17" s="803"/>
      <c r="H17" s="803"/>
      <c r="I17" s="803"/>
      <c r="J17" s="803"/>
      <c r="K17" s="803"/>
      <c r="L17" s="804"/>
      <c r="N17" s="934"/>
      <c r="O17" s="935"/>
      <c r="P17" s="935"/>
      <c r="Q17" s="935"/>
      <c r="R17" s="935"/>
      <c r="S17" s="935"/>
      <c r="T17" s="935"/>
      <c r="U17" s="935"/>
      <c r="V17" s="936"/>
    </row>
    <row r="18" spans="2:23" x14ac:dyDescent="0.2">
      <c r="Q18"/>
    </row>
    <row r="19" spans="2:23" x14ac:dyDescent="0.2">
      <c r="C19" s="795" t="s">
        <v>6</v>
      </c>
    </row>
    <row r="20" spans="2:23" x14ac:dyDescent="0.2">
      <c r="W20"/>
    </row>
    <row r="21" spans="2:23" ht="21" x14ac:dyDescent="0.25">
      <c r="C21" s="910" t="s">
        <v>7</v>
      </c>
    </row>
    <row r="22" spans="2:23" x14ac:dyDescent="0.2">
      <c r="C22" s="795" t="s">
        <v>1093</v>
      </c>
    </row>
    <row r="23" spans="2:23" x14ac:dyDescent="0.2">
      <c r="C23" s="795" t="s">
        <v>8</v>
      </c>
    </row>
    <row r="24" spans="2:23" x14ac:dyDescent="0.2">
      <c r="C24" s="795" t="s">
        <v>1092</v>
      </c>
    </row>
    <row r="26" spans="2:23" ht="21" x14ac:dyDescent="0.25">
      <c r="C26" s="910" t="s">
        <v>9</v>
      </c>
      <c r="I26" s="910" t="s">
        <v>10</v>
      </c>
    </row>
    <row r="27" spans="2:23" x14ac:dyDescent="0.2">
      <c r="C27" s="816"/>
      <c r="D27" s="795" t="s">
        <v>11</v>
      </c>
      <c r="V27"/>
    </row>
  </sheetData>
  <mergeCells count="3">
    <mergeCell ref="O11:U16"/>
    <mergeCell ref="O7:U8"/>
    <mergeCell ref="P9:U10"/>
  </mergeCells>
  <hyperlinks>
    <hyperlink ref="P9" r:id="rId1" xr:uid="{00000000-0004-0000-0000-000000000000}"/>
  </hyperlinks>
  <pageMargins left="0.7" right="0.7" top="0.78740157499999996" bottom="0.78740157499999996"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17">
    <tabColor theme="0" tint="-0.499984740745262"/>
  </sheetPr>
  <dimension ref="A1:P71"/>
  <sheetViews>
    <sheetView workbookViewId="0"/>
  </sheetViews>
  <sheetFormatPr baseColWidth="10" defaultColWidth="11.5" defaultRowHeight="15" x14ac:dyDescent="0.2"/>
  <cols>
    <col min="1" max="1" width="21.83203125" customWidth="1"/>
    <col min="2" max="2" width="23.1640625" bestFit="1" customWidth="1"/>
    <col min="3" max="3" width="43" bestFit="1" customWidth="1"/>
    <col min="4" max="4" width="17.5" bestFit="1" customWidth="1"/>
    <col min="5" max="5" width="15.83203125" customWidth="1"/>
    <col min="6" max="6" width="19.5" bestFit="1" customWidth="1"/>
    <col min="7" max="8" width="17" bestFit="1" customWidth="1"/>
    <col min="9" max="9" width="17.5" bestFit="1" customWidth="1"/>
    <col min="10" max="10" width="23.33203125" bestFit="1" customWidth="1"/>
    <col min="11" max="11" width="13.83203125" bestFit="1" customWidth="1"/>
    <col min="12" max="12" width="12.83203125" bestFit="1" customWidth="1"/>
    <col min="13" max="14" width="12.83203125" customWidth="1"/>
    <col min="15" max="15" width="40.6640625" customWidth="1"/>
    <col min="16" max="16" width="45.1640625" bestFit="1" customWidth="1"/>
    <col min="17" max="25" width="20.6640625" customWidth="1"/>
  </cols>
  <sheetData>
    <row r="1" spans="1:16" ht="22" thickBot="1" x14ac:dyDescent="0.25">
      <c r="A1" s="64" t="s">
        <v>446</v>
      </c>
    </row>
    <row r="2" spans="1:16" ht="15" customHeight="1" x14ac:dyDescent="0.2">
      <c r="A2" s="64"/>
      <c r="C2" s="291" t="s">
        <v>258</v>
      </c>
      <c r="D2" s="68" t="s">
        <v>259</v>
      </c>
      <c r="E2" s="69"/>
      <c r="F2" s="70"/>
    </row>
    <row r="3" spans="1:16" ht="15" customHeight="1" x14ac:dyDescent="0.2">
      <c r="A3" s="64"/>
      <c r="C3" s="71"/>
      <c r="D3" s="73" t="s">
        <v>261</v>
      </c>
      <c r="E3" s="74" t="s">
        <v>262</v>
      </c>
      <c r="F3" s="75" t="s">
        <v>263</v>
      </c>
    </row>
    <row r="4" spans="1:16" ht="15" customHeight="1" x14ac:dyDescent="0.2">
      <c r="A4" s="64"/>
      <c r="C4" s="71"/>
      <c r="D4" s="86"/>
      <c r="E4" s="87"/>
      <c r="F4" s="88"/>
    </row>
    <row r="5" spans="1:16" ht="15" customHeight="1" x14ac:dyDescent="0.2">
      <c r="A5" s="64"/>
      <c r="C5" s="71"/>
      <c r="D5" s="86" t="s">
        <v>447</v>
      </c>
      <c r="E5" s="477">
        <f>IF(Macro!$D$8=1,2500,IF(Macro!$D$8=2,25000,75000))</f>
        <v>25000</v>
      </c>
      <c r="F5" s="88" t="s">
        <v>274</v>
      </c>
    </row>
    <row r="6" spans="1:16" ht="15" customHeight="1" x14ac:dyDescent="0.2">
      <c r="A6" s="64"/>
      <c r="D6" s="86" t="s">
        <v>268</v>
      </c>
      <c r="E6" s="477" t="e">
        <f>E5/Battery!C3*1000</f>
        <v>#DIV/0!</v>
      </c>
      <c r="F6" s="88" t="s">
        <v>448</v>
      </c>
      <c r="G6" s="71"/>
    </row>
    <row r="7" spans="1:16" ht="15" customHeight="1" x14ac:dyDescent="0.2">
      <c r="A7" s="64"/>
      <c r="D7" s="86" t="s">
        <v>259</v>
      </c>
      <c r="E7" s="824" t="e">
        <f>E6/Macro!D16/Macro!D18/8</f>
        <v>#DIV/0!</v>
      </c>
      <c r="F7" s="88" t="s">
        <v>449</v>
      </c>
      <c r="G7" s="350"/>
    </row>
    <row r="8" spans="1:16" ht="15" customHeight="1" x14ac:dyDescent="0.2">
      <c r="A8" s="64"/>
      <c r="D8" s="86" t="s">
        <v>450</v>
      </c>
      <c r="E8" s="824" t="e">
        <f>E6/Macro!D16/Macro!D20/8</f>
        <v>#DIV/0!</v>
      </c>
      <c r="F8" s="88" t="s">
        <v>451</v>
      </c>
      <c r="G8" s="350"/>
    </row>
    <row r="9" spans="1:16" ht="15" customHeight="1" thickBot="1" x14ac:dyDescent="0.25">
      <c r="A9" s="64"/>
      <c r="D9" s="79" t="s">
        <v>452</v>
      </c>
      <c r="E9" s="825">
        <f>Macro!D16-1+1</f>
        <v>330</v>
      </c>
      <c r="F9" s="80"/>
      <c r="G9" s="71"/>
    </row>
    <row r="10" spans="1:16" ht="15" customHeight="1" thickBot="1" x14ac:dyDescent="0.25">
      <c r="A10" s="64"/>
      <c r="F10" s="71"/>
      <c r="G10" s="71"/>
    </row>
    <row r="11" spans="1:16" ht="33" thickBot="1" x14ac:dyDescent="0.25">
      <c r="A11" s="780" t="s">
        <v>86</v>
      </c>
      <c r="B11" s="381" t="s">
        <v>292</v>
      </c>
      <c r="C11" s="287" t="s">
        <v>453</v>
      </c>
      <c r="D11" s="381" t="s">
        <v>454</v>
      </c>
      <c r="E11" s="287" t="s">
        <v>447</v>
      </c>
      <c r="F11" s="287" t="s">
        <v>455</v>
      </c>
      <c r="G11" s="381" t="s">
        <v>456</v>
      </c>
      <c r="H11" s="287" t="s">
        <v>457</v>
      </c>
      <c r="I11" s="381" t="s">
        <v>458</v>
      </c>
      <c r="J11" s="381" t="s">
        <v>111</v>
      </c>
      <c r="K11" s="381" t="s">
        <v>459</v>
      </c>
      <c r="L11" s="381" t="s">
        <v>460</v>
      </c>
      <c r="M11" s="381" t="s">
        <v>461</v>
      </c>
      <c r="N11" s="381" t="s">
        <v>462</v>
      </c>
      <c r="O11" s="381" t="s">
        <v>463</v>
      </c>
      <c r="P11" s="290" t="s">
        <v>333</v>
      </c>
    </row>
    <row r="12" spans="1:16" ht="16" x14ac:dyDescent="0.2">
      <c r="A12" s="1028" t="s">
        <v>259</v>
      </c>
      <c r="B12" s="288" t="s">
        <v>176</v>
      </c>
      <c r="C12" s="751" t="s">
        <v>464</v>
      </c>
      <c r="D12" s="288" t="s">
        <v>1085</v>
      </c>
      <c r="E12" s="832">
        <v>0.33333333333333331</v>
      </c>
      <c r="F12" s="826">
        <f>(107.7/100.6)*14500</f>
        <v>15523.359840954276</v>
      </c>
      <c r="G12" s="829">
        <v>0</v>
      </c>
      <c r="H12" s="274">
        <f t="shared" ref="H12:H42" si="0">(1+G12)*F12</f>
        <v>15523.359840954276</v>
      </c>
      <c r="I12" s="816">
        <v>1</v>
      </c>
      <c r="J12" s="274" t="e">
        <f>H12*(E7/E12)^I12</f>
        <v>#DIV/0!</v>
      </c>
      <c r="K12" s="829">
        <v>0</v>
      </c>
      <c r="L12" s="274" t="e">
        <f t="shared" ref="L12:L43" si="1">K12*J12</f>
        <v>#DIV/0!</v>
      </c>
      <c r="M12" s="656">
        <f>IF(IF(Macro!$H$14=1,5,Macro!T7)=0,5,IF(Macro!$H$14=1,5,Macro!T7))</f>
        <v>5</v>
      </c>
      <c r="N12" s="375" t="e">
        <f>J12/M12</f>
        <v>#DIV/0!</v>
      </c>
      <c r="O12" t="s">
        <v>465</v>
      </c>
      <c r="P12" s="785" t="s">
        <v>1088</v>
      </c>
    </row>
    <row r="13" spans="1:16" ht="16" x14ac:dyDescent="0.2">
      <c r="A13" s="1028"/>
      <c r="B13" s="751" t="s">
        <v>177</v>
      </c>
      <c r="C13" s="288" t="s">
        <v>466</v>
      </c>
      <c r="D13" s="288" t="s">
        <v>1086</v>
      </c>
      <c r="E13" s="832">
        <v>6</v>
      </c>
      <c r="F13" s="826">
        <f>(107.7/100.6)*29000</f>
        <v>31046.719681908551</v>
      </c>
      <c r="G13" s="829">
        <v>0</v>
      </c>
      <c r="H13" s="274">
        <f t="shared" si="0"/>
        <v>31046.719681908551</v>
      </c>
      <c r="I13" s="816">
        <v>1</v>
      </c>
      <c r="J13" s="274">
        <f>H13</f>
        <v>31046.719681908551</v>
      </c>
      <c r="K13" s="829">
        <v>0</v>
      </c>
      <c r="L13" s="274">
        <f t="shared" si="1"/>
        <v>0</v>
      </c>
      <c r="M13" s="656">
        <f>IF(IF(Macro!$H$14=1,5,Macro!T8)=0,5,IF(Macro!$H$14=1,5,Macro!T8))</f>
        <v>5</v>
      </c>
      <c r="N13" s="274">
        <f t="shared" ref="N13:N45" si="2">J13/M13</f>
        <v>6209.3439363817106</v>
      </c>
      <c r="O13" t="s">
        <v>467</v>
      </c>
      <c r="P13" s="785" t="s">
        <v>468</v>
      </c>
    </row>
    <row r="14" spans="1:16" ht="16" x14ac:dyDescent="0.2">
      <c r="A14" s="1028"/>
      <c r="B14" s="288" t="s">
        <v>297</v>
      </c>
      <c r="C14" s="751" t="s">
        <v>469</v>
      </c>
      <c r="D14" s="288" t="s">
        <v>1085</v>
      </c>
      <c r="E14" s="832">
        <f>8/'R1_MEFA'!C7</f>
        <v>1.6</v>
      </c>
      <c r="F14" s="826">
        <f>(107.7/100.6)*12000</f>
        <v>12846.918489065607</v>
      </c>
      <c r="G14" s="829">
        <v>0</v>
      </c>
      <c r="H14" s="274">
        <f t="shared" si="0"/>
        <v>12846.918489065607</v>
      </c>
      <c r="I14" s="816">
        <v>1</v>
      </c>
      <c r="J14" s="274" t="e">
        <f>H14*(E7/E14)^I14</f>
        <v>#DIV/0!</v>
      </c>
      <c r="K14" s="829">
        <v>0.02</v>
      </c>
      <c r="L14" s="274" t="e">
        <f t="shared" si="1"/>
        <v>#DIV/0!</v>
      </c>
      <c r="M14" s="656">
        <f>IF(IF(Macro!$H$14=1,5,Macro!T9)=0,5,IF(Macro!$H$14=1,5,Macro!T9))</f>
        <v>5</v>
      </c>
      <c r="N14" s="274" t="e">
        <f t="shared" si="2"/>
        <v>#DIV/0!</v>
      </c>
      <c r="O14" t="s">
        <v>467</v>
      </c>
      <c r="P14" s="264" t="s">
        <v>470</v>
      </c>
    </row>
    <row r="15" spans="1:16" ht="17" thickBot="1" x14ac:dyDescent="0.25">
      <c r="A15" s="1029"/>
      <c r="B15" s="289" t="s">
        <v>259</v>
      </c>
      <c r="C15" s="748" t="s">
        <v>471</v>
      </c>
      <c r="D15" s="289" t="s">
        <v>1085</v>
      </c>
      <c r="E15" s="833">
        <f>1/'R1_MEFA'!C8</f>
        <v>0.5</v>
      </c>
      <c r="F15" s="827">
        <f>(107.7/100.6)*3000</f>
        <v>3211.7296222664017</v>
      </c>
      <c r="G15" s="830">
        <v>0</v>
      </c>
      <c r="H15" s="276">
        <f t="shared" si="0"/>
        <v>3211.7296222664017</v>
      </c>
      <c r="I15" s="835">
        <v>1</v>
      </c>
      <c r="J15" s="274" t="e">
        <f>H15*(E7/E15)^I15</f>
        <v>#DIV/0!</v>
      </c>
      <c r="K15" s="830">
        <v>0.02</v>
      </c>
      <c r="L15" s="276" t="e">
        <f t="shared" si="1"/>
        <v>#DIV/0!</v>
      </c>
      <c r="M15" s="657">
        <f>IF(IF(Macro!$H$14=1,5,Macro!T10)=0,5,IF(Macro!$H$14=1,5,Macro!T10))</f>
        <v>5</v>
      </c>
      <c r="N15" s="276" t="e">
        <f t="shared" si="2"/>
        <v>#DIV/0!</v>
      </c>
      <c r="O15" s="275" t="s">
        <v>467</v>
      </c>
      <c r="P15" s="278"/>
    </row>
    <row r="16" spans="1:16" ht="16" x14ac:dyDescent="0.2">
      <c r="A16" s="1027" t="s">
        <v>472</v>
      </c>
      <c r="B16" s="269" t="s">
        <v>182</v>
      </c>
      <c r="C16" s="782" t="s">
        <v>311</v>
      </c>
      <c r="D16" s="269" t="s">
        <v>1087</v>
      </c>
      <c r="E16" s="834">
        <v>1.5</v>
      </c>
      <c r="F16" s="828">
        <v>240000</v>
      </c>
      <c r="G16" s="831">
        <v>0.6</v>
      </c>
      <c r="H16" s="271">
        <f t="shared" si="0"/>
        <v>384000</v>
      </c>
      <c r="I16" s="834">
        <v>0.6</v>
      </c>
      <c r="J16" s="271">
        <f>H16*(($E$5/(Macro!$D$16*Macro!$D$20*8))/E16)^I16</f>
        <v>600074.7670171163</v>
      </c>
      <c r="K16" s="831">
        <v>0.05</v>
      </c>
      <c r="L16" s="271">
        <f t="shared" si="1"/>
        <v>30003.738350855816</v>
      </c>
      <c r="M16" s="658">
        <f>IF(IF(Macro!$H$14=1,5,Macro!T11)=0,5,IF(Macro!$H$14=1,5,Macro!T11))</f>
        <v>5</v>
      </c>
      <c r="N16" s="271">
        <f t="shared" si="2"/>
        <v>120014.95340342326</v>
      </c>
      <c r="O16" s="270" t="s">
        <v>148</v>
      </c>
      <c r="P16" s="273"/>
    </row>
    <row r="17" spans="1:16" ht="16" x14ac:dyDescent="0.2">
      <c r="A17" s="1028"/>
      <c r="B17" s="751" t="s">
        <v>197</v>
      </c>
      <c r="C17" s="751" t="s">
        <v>473</v>
      </c>
      <c r="D17" s="288" t="s">
        <v>1087</v>
      </c>
      <c r="E17" s="816">
        <v>0.5</v>
      </c>
      <c r="F17" s="826">
        <f>(107.7/100.6)*420000</f>
        <v>449642.14711729623</v>
      </c>
      <c r="G17" s="829">
        <v>0.6</v>
      </c>
      <c r="H17" s="274">
        <f t="shared" si="0"/>
        <v>719427.43538767402</v>
      </c>
      <c r="I17" s="816">
        <v>0.8</v>
      </c>
      <c r="J17" s="284">
        <f>H17*(($E$5/(Macro!$D$16*Macro!$D$20*8))/E17)^I17</f>
        <v>3141831.2410692242</v>
      </c>
      <c r="K17" s="829">
        <v>0.05</v>
      </c>
      <c r="L17" s="274">
        <f t="shared" si="1"/>
        <v>157091.56205346121</v>
      </c>
      <c r="M17" s="656">
        <f>IF(IF(Macro!$H$14=1,5,Macro!T12)=0,5,IF(Macro!$H$14=1,5,Macro!T12))</f>
        <v>5</v>
      </c>
      <c r="N17" s="274">
        <f t="shared" si="2"/>
        <v>628366.24821384484</v>
      </c>
      <c r="O17" t="s">
        <v>467</v>
      </c>
      <c r="P17" s="264"/>
    </row>
    <row r="18" spans="1:16" ht="16" x14ac:dyDescent="0.2">
      <c r="A18" s="1028"/>
      <c r="B18" s="288" t="s">
        <v>322</v>
      </c>
      <c r="C18" s="751" t="s">
        <v>474</v>
      </c>
      <c r="D18" s="288" t="s">
        <v>1087</v>
      </c>
      <c r="E18" s="816">
        <v>1.5</v>
      </c>
      <c r="F18" s="826">
        <f>(107.7/100.6)*100000</f>
        <v>107057.65407554673</v>
      </c>
      <c r="G18" s="829">
        <v>0.6</v>
      </c>
      <c r="H18" s="274">
        <f t="shared" si="0"/>
        <v>171292.24652087479</v>
      </c>
      <c r="I18" s="816">
        <v>0.8</v>
      </c>
      <c r="J18" s="274">
        <f>H18*(($E$5/(Macro!$D$16*Macro!$D$20*8))/E18)^I18</f>
        <v>310625.10984528187</v>
      </c>
      <c r="K18" s="829">
        <v>0.05</v>
      </c>
      <c r="L18" s="274">
        <f t="shared" si="1"/>
        <v>15531.255492264094</v>
      </c>
      <c r="M18" s="656">
        <f>IF(IF(Macro!$H$14=1,5,Macro!T13)=0,5,IF(Macro!$H$14=1,5,Macro!T13))</f>
        <v>5</v>
      </c>
      <c r="N18" s="274">
        <f t="shared" si="2"/>
        <v>62125.021969056375</v>
      </c>
      <c r="O18" t="s">
        <v>467</v>
      </c>
      <c r="P18" s="264"/>
    </row>
    <row r="19" spans="1:16" ht="17" thickBot="1" x14ac:dyDescent="0.25">
      <c r="A19" s="1029"/>
      <c r="B19" s="289" t="s">
        <v>323</v>
      </c>
      <c r="C19" s="748" t="s">
        <v>475</v>
      </c>
      <c r="D19" s="289" t="s">
        <v>1087</v>
      </c>
      <c r="E19" s="835">
        <v>1.5</v>
      </c>
      <c r="F19" s="827">
        <f>(107.7/100.6)*100000</f>
        <v>107057.65407554673</v>
      </c>
      <c r="G19" s="830">
        <v>0.6</v>
      </c>
      <c r="H19" s="276">
        <f t="shared" si="0"/>
        <v>171292.24652087479</v>
      </c>
      <c r="I19" s="835">
        <v>0.8</v>
      </c>
      <c r="J19" s="276">
        <f>H19*(($E$5/(Macro!$D$16*Macro!$D$20*8))/E19)^I19</f>
        <v>310625.10984528187</v>
      </c>
      <c r="K19" s="830">
        <v>0.05</v>
      </c>
      <c r="L19" s="276">
        <f t="shared" si="1"/>
        <v>15531.255492264094</v>
      </c>
      <c r="M19" s="657">
        <f>IF(IF(Macro!$H$14=1,5,Macro!T14)=0,5,IF(Macro!$H$14=1,5,Macro!T14))</f>
        <v>5</v>
      </c>
      <c r="N19" s="276">
        <f t="shared" si="2"/>
        <v>62125.021969056375</v>
      </c>
      <c r="O19" s="275" t="s">
        <v>467</v>
      </c>
      <c r="P19" s="278"/>
    </row>
    <row r="20" spans="1:16" ht="17" x14ac:dyDescent="0.2">
      <c r="A20" s="1030" t="s">
        <v>476</v>
      </c>
      <c r="B20" s="782" t="s">
        <v>477</v>
      </c>
      <c r="C20" s="269" t="s">
        <v>344</v>
      </c>
      <c r="D20" s="269" t="s">
        <v>478</v>
      </c>
      <c r="E20" s="834">
        <v>2</v>
      </c>
      <c r="F20" s="828">
        <v>420000</v>
      </c>
      <c r="G20" s="831">
        <v>1</v>
      </c>
      <c r="H20" s="271">
        <f t="shared" si="0"/>
        <v>840000</v>
      </c>
      <c r="I20" s="834">
        <v>0.6</v>
      </c>
      <c r="J20" s="271" t="e">
        <f>H20*(('R1_Hydro_MEFA'!L19/Macro!$D$16/Macro!$D$20/8/E20)^I20)</f>
        <v>#DIV/0!</v>
      </c>
      <c r="K20" s="831">
        <v>0.05</v>
      </c>
      <c r="L20" s="271" t="e">
        <f t="shared" si="1"/>
        <v>#DIV/0!</v>
      </c>
      <c r="M20" s="658">
        <f>IF(IF(Macro!$H$14=1,5,Macro!T15)=0,5,IF(Macro!$H$14=1,5,Macro!T15))</f>
        <v>5</v>
      </c>
      <c r="N20" s="271" t="e">
        <f t="shared" si="2"/>
        <v>#DIV/0!</v>
      </c>
      <c r="O20" s="270" t="s">
        <v>148</v>
      </c>
      <c r="P20" s="273"/>
    </row>
    <row r="21" spans="1:16" ht="17" x14ac:dyDescent="0.2">
      <c r="A21" s="1028"/>
      <c r="B21" s="751" t="s">
        <v>217</v>
      </c>
      <c r="C21" s="751" t="s">
        <v>479</v>
      </c>
      <c r="D21" s="288" t="s">
        <v>478</v>
      </c>
      <c r="E21" s="816">
        <v>10</v>
      </c>
      <c r="F21" s="826">
        <v>175000</v>
      </c>
      <c r="G21" s="829">
        <v>1</v>
      </c>
      <c r="H21" s="274">
        <f t="shared" si="0"/>
        <v>350000</v>
      </c>
      <c r="I21" s="816">
        <v>0.52</v>
      </c>
      <c r="J21" s="274" t="e">
        <f>H21*(('R1_Hydro_MEFA'!L26/Macro!$D$16/Macro!$D$20/8/E21)^I21)</f>
        <v>#DIV/0!</v>
      </c>
      <c r="K21" s="829">
        <v>0.05</v>
      </c>
      <c r="L21" s="274" t="e">
        <f t="shared" si="1"/>
        <v>#DIV/0!</v>
      </c>
      <c r="M21" s="656">
        <f>IF(IF(Macro!$H$14=1,5,Macro!T16)=0,5,IF(Macro!$H$14=1,5,Macro!T16))</f>
        <v>5</v>
      </c>
      <c r="N21" s="274" t="e">
        <f t="shared" si="2"/>
        <v>#DIV/0!</v>
      </c>
      <c r="O21" t="s">
        <v>148</v>
      </c>
      <c r="P21" s="264"/>
    </row>
    <row r="22" spans="1:16" ht="17" x14ac:dyDescent="0.2">
      <c r="A22" s="1028"/>
      <c r="B22" s="751" t="s">
        <v>223</v>
      </c>
      <c r="C22" s="751" t="s">
        <v>479</v>
      </c>
      <c r="D22" s="288" t="s">
        <v>478</v>
      </c>
      <c r="E22" s="816">
        <v>10</v>
      </c>
      <c r="F22" s="826">
        <v>175000</v>
      </c>
      <c r="G22" s="829">
        <v>1</v>
      </c>
      <c r="H22" s="274">
        <f t="shared" ref="H22" si="3">(1+G22)*F22</f>
        <v>350000</v>
      </c>
      <c r="I22" s="816">
        <v>0.52</v>
      </c>
      <c r="J22" s="274" t="e">
        <f>H22*(('R1_Hydro_MEFA'!L33/Macro!$D$16/Macro!$D$20/8/E22)^I22)</f>
        <v>#DIV/0!</v>
      </c>
      <c r="K22" s="829">
        <v>0.05</v>
      </c>
      <c r="L22" s="274" t="e">
        <f t="shared" si="1"/>
        <v>#DIV/0!</v>
      </c>
      <c r="M22" s="656">
        <f>IF(IF(Macro!$H$14=1,5,Macro!T17)=0,5,IF(Macro!$H$14=1,5,Macro!T17))</f>
        <v>5</v>
      </c>
      <c r="N22" s="274" t="e">
        <f t="shared" si="2"/>
        <v>#DIV/0!</v>
      </c>
      <c r="O22" t="s">
        <v>148</v>
      </c>
      <c r="P22" s="264"/>
    </row>
    <row r="23" spans="1:16" ht="17" x14ac:dyDescent="0.2">
      <c r="A23" s="1028"/>
      <c r="B23" s="288" t="s">
        <v>224</v>
      </c>
      <c r="C23" s="288" t="s">
        <v>480</v>
      </c>
      <c r="D23" s="288" t="s">
        <v>478</v>
      </c>
      <c r="E23" s="816">
        <v>10</v>
      </c>
      <c r="F23" s="826">
        <v>35000</v>
      </c>
      <c r="G23" s="829">
        <v>1</v>
      </c>
      <c r="H23" s="274">
        <f t="shared" si="0"/>
        <v>70000</v>
      </c>
      <c r="I23" s="816">
        <v>0.75</v>
      </c>
      <c r="J23" s="274" t="e">
        <f>H23*((('R1_Hydro_MEFA'!L39/'R1_Hydro_MEFA'!N33)/Macro!$D$16/Macro!$D$20/8/E23)^I23)</f>
        <v>#DIV/0!</v>
      </c>
      <c r="K23" s="829">
        <v>0.05</v>
      </c>
      <c r="L23" s="274" t="e">
        <f t="shared" si="1"/>
        <v>#DIV/0!</v>
      </c>
      <c r="M23" s="656">
        <f>IF(IF(Macro!$H$14=1,5,Macro!T18)=0,5,IF(Macro!$H$14=1,5,Macro!T18))</f>
        <v>5</v>
      </c>
      <c r="N23" s="274" t="e">
        <f t="shared" si="2"/>
        <v>#DIV/0!</v>
      </c>
      <c r="O23" t="s">
        <v>148</v>
      </c>
      <c r="P23" s="264"/>
    </row>
    <row r="24" spans="1:16" ht="17" x14ac:dyDescent="0.2">
      <c r="A24" s="1028"/>
      <c r="B24" s="288" t="s">
        <v>357</v>
      </c>
      <c r="C24" s="288" t="s">
        <v>479</v>
      </c>
      <c r="D24" s="288" t="s">
        <v>478</v>
      </c>
      <c r="E24" s="816">
        <v>10</v>
      </c>
      <c r="F24" s="826">
        <v>175000</v>
      </c>
      <c r="G24" s="829">
        <v>1</v>
      </c>
      <c r="H24" s="274">
        <f t="shared" si="0"/>
        <v>350000</v>
      </c>
      <c r="I24" s="816">
        <v>0.52</v>
      </c>
      <c r="J24" s="274" t="e">
        <f>H24*(('R1_Hydro_MEFA'!L48/Macro!$D$16/Macro!$D$20/8/E24)^I24)</f>
        <v>#DIV/0!</v>
      </c>
      <c r="K24" s="829">
        <v>0.05</v>
      </c>
      <c r="L24" s="274" t="e">
        <f t="shared" si="1"/>
        <v>#DIV/0!</v>
      </c>
      <c r="M24" s="656">
        <f>IF(IF(Macro!$H$14=1,5,Macro!T19)=0,5,IF(Macro!$H$14=1,5,Macro!T19))</f>
        <v>5</v>
      </c>
      <c r="N24" s="274" t="e">
        <f t="shared" si="2"/>
        <v>#DIV/0!</v>
      </c>
      <c r="O24" t="s">
        <v>148</v>
      </c>
      <c r="P24" s="264"/>
    </row>
    <row r="25" spans="1:16" ht="17" x14ac:dyDescent="0.2">
      <c r="A25" s="1028"/>
      <c r="B25" s="751" t="s">
        <v>481</v>
      </c>
      <c r="C25" s="288" t="s">
        <v>482</v>
      </c>
      <c r="D25" s="288" t="s">
        <v>478</v>
      </c>
      <c r="E25" s="816">
        <v>10</v>
      </c>
      <c r="F25" s="826">
        <v>175000</v>
      </c>
      <c r="G25" s="829">
        <v>1</v>
      </c>
      <c r="H25" s="274">
        <f t="shared" si="0"/>
        <v>350000</v>
      </c>
      <c r="I25" s="816">
        <v>0.52</v>
      </c>
      <c r="J25" s="274" t="e">
        <f>H25*(('R1_Hydro_MEFA'!L55/Macro!$D$16/Macro!$D$20/8/E25)^I25)</f>
        <v>#DIV/0!</v>
      </c>
      <c r="K25" s="829">
        <v>0.05</v>
      </c>
      <c r="L25" s="274" t="e">
        <f t="shared" si="1"/>
        <v>#DIV/0!</v>
      </c>
      <c r="M25" s="656">
        <f>IF(IF(Macro!$H$14=1,5,Macro!T20)=0,5,IF(Macro!$H$14=1,5,Macro!T20))</f>
        <v>5</v>
      </c>
      <c r="N25" s="274" t="e">
        <f t="shared" si="2"/>
        <v>#DIV/0!</v>
      </c>
      <c r="O25" t="s">
        <v>148</v>
      </c>
      <c r="P25" s="264"/>
    </row>
    <row r="26" spans="1:16" ht="17" x14ac:dyDescent="0.2">
      <c r="A26" s="1028"/>
      <c r="B26" s="288" t="s">
        <v>360</v>
      </c>
      <c r="C26" s="288" t="s">
        <v>483</v>
      </c>
      <c r="D26" s="288" t="s">
        <v>478</v>
      </c>
      <c r="E26" s="816">
        <v>10</v>
      </c>
      <c r="F26" s="826">
        <v>35000</v>
      </c>
      <c r="G26" s="829">
        <v>1</v>
      </c>
      <c r="H26" s="274">
        <f t="shared" si="0"/>
        <v>70000</v>
      </c>
      <c r="I26" s="816">
        <v>0.75</v>
      </c>
      <c r="J26" s="274" t="e">
        <f>H26*(('R1_Hydro_MEFA'!L55/Macro!$D$16/Macro!$D$20/8/E26)^I26)</f>
        <v>#DIV/0!</v>
      </c>
      <c r="K26" s="829">
        <v>0.05</v>
      </c>
      <c r="L26" s="274" t="e">
        <f t="shared" si="1"/>
        <v>#DIV/0!</v>
      </c>
      <c r="M26" s="656">
        <f>IF(IF(Macro!$H$14=1,5,Macro!T21)=0,5,IF(Macro!$H$14=1,5,Macro!T21))</f>
        <v>5</v>
      </c>
      <c r="N26" s="274" t="e">
        <f t="shared" si="2"/>
        <v>#DIV/0!</v>
      </c>
      <c r="O26" t="s">
        <v>148</v>
      </c>
      <c r="P26" s="264"/>
    </row>
    <row r="27" spans="1:16" ht="17" x14ac:dyDescent="0.2">
      <c r="A27" s="1028"/>
      <c r="B27" s="288" t="s">
        <v>484</v>
      </c>
      <c r="C27" s="288" t="s">
        <v>485</v>
      </c>
      <c r="D27" s="288" t="s">
        <v>478</v>
      </c>
      <c r="E27" s="816">
        <v>10</v>
      </c>
      <c r="F27" s="826">
        <v>175000</v>
      </c>
      <c r="G27" s="829">
        <v>1</v>
      </c>
      <c r="H27" s="274">
        <f t="shared" si="0"/>
        <v>350000</v>
      </c>
      <c r="I27" s="816">
        <v>0.52</v>
      </c>
      <c r="J27" s="274" t="e">
        <f>H27*((SUM('R1_Hydro_MEFA'!L70:L71)/'R1_Hydro_MEFA'!N61/Macro!$D$16/Macro!$D$20/8/E27)^I27)</f>
        <v>#DIV/0!</v>
      </c>
      <c r="K27" s="829">
        <v>0.05</v>
      </c>
      <c r="L27" s="274" t="e">
        <f t="shared" si="1"/>
        <v>#DIV/0!</v>
      </c>
      <c r="M27" s="656">
        <f>IF(IF(Macro!$H$14=1,5,Macro!T22)=0,5,IF(Macro!$H$14=1,5,Macro!T22))</f>
        <v>5</v>
      </c>
      <c r="N27" s="274" t="e">
        <f t="shared" si="2"/>
        <v>#DIV/0!</v>
      </c>
      <c r="O27" t="s">
        <v>148</v>
      </c>
      <c r="P27" s="264"/>
    </row>
    <row r="28" spans="1:16" ht="17" x14ac:dyDescent="0.2">
      <c r="A28" s="1028"/>
      <c r="B28" s="751" t="s">
        <v>486</v>
      </c>
      <c r="C28" s="288" t="s">
        <v>485</v>
      </c>
      <c r="D28" s="288" t="s">
        <v>478</v>
      </c>
      <c r="E28" s="816">
        <v>10</v>
      </c>
      <c r="F28" s="826">
        <v>175000</v>
      </c>
      <c r="G28" s="829">
        <v>1</v>
      </c>
      <c r="H28" s="274">
        <f t="shared" si="0"/>
        <v>350000</v>
      </c>
      <c r="I28" s="816">
        <v>0.52</v>
      </c>
      <c r="J28" s="274" t="e">
        <f>H28*(('R1_Hydro_MEFA'!L78/'R1_Hydro_MEFA'!N61/Macro!$D$16/Macro!$D$20/8/E28)^I28)</f>
        <v>#DIV/0!</v>
      </c>
      <c r="K28" s="829">
        <v>0.05</v>
      </c>
      <c r="L28" s="274" t="e">
        <f t="shared" si="1"/>
        <v>#DIV/0!</v>
      </c>
      <c r="M28" s="656">
        <f>IF(IF(Macro!$H$14=1,5,Macro!T23)=0,5,IF(Macro!$H$14=1,5,Macro!T23))</f>
        <v>5</v>
      </c>
      <c r="N28" s="274" t="e">
        <f t="shared" si="2"/>
        <v>#DIV/0!</v>
      </c>
      <c r="O28" t="s">
        <v>148</v>
      </c>
      <c r="P28" s="264"/>
    </row>
    <row r="29" spans="1:16" ht="17" x14ac:dyDescent="0.2">
      <c r="A29" s="1028"/>
      <c r="B29" s="288" t="s">
        <v>377</v>
      </c>
      <c r="C29" s="288" t="s">
        <v>485</v>
      </c>
      <c r="D29" s="288" t="s">
        <v>478</v>
      </c>
      <c r="E29" s="816">
        <v>10</v>
      </c>
      <c r="F29" s="826">
        <v>175000</v>
      </c>
      <c r="G29" s="829">
        <v>1</v>
      </c>
      <c r="H29" s="274">
        <f t="shared" si="0"/>
        <v>350000</v>
      </c>
      <c r="I29" s="816">
        <v>0.52</v>
      </c>
      <c r="J29" s="274" t="e">
        <f>H29*((SUM('R1_Hydro_MEFA'!L84,'R1_Hydro_MEFA'!L86:L87)/'R1_Hydro_MEFA'!N61/Macro!$D$16/Macro!$D$20/8/E29)^I29)</f>
        <v>#DIV/0!</v>
      </c>
      <c r="K29" s="829">
        <v>0.05</v>
      </c>
      <c r="L29" s="274" t="e">
        <f t="shared" si="1"/>
        <v>#DIV/0!</v>
      </c>
      <c r="M29" s="656">
        <f>IF(IF(Macro!$H$14=1,5,Macro!T24)=0,5,IF(Macro!$H$14=1,5,Macro!T24))</f>
        <v>5</v>
      </c>
      <c r="N29" s="274" t="e">
        <f t="shared" si="2"/>
        <v>#DIV/0!</v>
      </c>
      <c r="O29" t="s">
        <v>148</v>
      </c>
      <c r="P29" s="264"/>
    </row>
    <row r="30" spans="1:16" ht="16" x14ac:dyDescent="0.2">
      <c r="A30" s="1028"/>
      <c r="B30" s="751" t="s">
        <v>206</v>
      </c>
      <c r="C30" s="288" t="s">
        <v>487</v>
      </c>
      <c r="D30" s="288" t="s">
        <v>488</v>
      </c>
      <c r="E30" s="816">
        <v>1</v>
      </c>
      <c r="F30" s="826">
        <v>1500000</v>
      </c>
      <c r="G30" s="829">
        <v>1</v>
      </c>
      <c r="H30" s="284">
        <f t="shared" si="0"/>
        <v>3000000</v>
      </c>
      <c r="I30" s="816">
        <v>0.65</v>
      </c>
      <c r="J30" s="284" t="e">
        <f>H30*(('R1_Hydro_MEFA'!L92/(Macro!$D$16*Macro!$D$20*8*E30))^I30)</f>
        <v>#DIV/0!</v>
      </c>
      <c r="K30" s="829">
        <v>0.05</v>
      </c>
      <c r="L30" s="284" t="e">
        <f t="shared" si="1"/>
        <v>#DIV/0!</v>
      </c>
      <c r="M30" s="659">
        <f>IF(IF(Macro!$H$14=1,5,Macro!T25)=0,5,IF(Macro!$H$14=1,5,Macro!T25))</f>
        <v>5</v>
      </c>
      <c r="N30" s="284" t="e">
        <f t="shared" si="2"/>
        <v>#DIV/0!</v>
      </c>
      <c r="O30" t="s">
        <v>148</v>
      </c>
      <c r="P30" s="264"/>
    </row>
    <row r="31" spans="1:16" ht="17" thickBot="1" x14ac:dyDescent="0.25">
      <c r="A31" s="1028"/>
      <c r="B31" s="751" t="s">
        <v>207</v>
      </c>
      <c r="C31" s="751" t="s">
        <v>487</v>
      </c>
      <c r="D31" s="288" t="s">
        <v>488</v>
      </c>
      <c r="E31" s="816">
        <v>1</v>
      </c>
      <c r="F31" s="826">
        <v>1500000</v>
      </c>
      <c r="G31" s="829">
        <v>1</v>
      </c>
      <c r="H31" s="284">
        <f t="shared" si="0"/>
        <v>3000000</v>
      </c>
      <c r="I31" s="816">
        <v>0.65</v>
      </c>
      <c r="J31" s="284" t="e">
        <f>H31*(('R1_Hydro_MEFA'!L98/(Macro!$D$16*Macro!$D$20*8*E31))^I31)</f>
        <v>#DIV/0!</v>
      </c>
      <c r="K31" s="829">
        <v>0.05</v>
      </c>
      <c r="L31" s="284" t="e">
        <f t="shared" si="1"/>
        <v>#DIV/0!</v>
      </c>
      <c r="M31" s="659">
        <f>IF(IF(Macro!$H$14=1,5,Macro!T26)=0,5,IF(Macro!$H$14=1,5,Macro!T26))</f>
        <v>5</v>
      </c>
      <c r="N31" s="284" t="e">
        <f t="shared" si="2"/>
        <v>#DIV/0!</v>
      </c>
      <c r="O31" t="s">
        <v>148</v>
      </c>
      <c r="P31" s="264"/>
    </row>
    <row r="32" spans="1:16" ht="15" customHeight="1" x14ac:dyDescent="0.2">
      <c r="A32" s="1030" t="s">
        <v>489</v>
      </c>
      <c r="B32" s="782" t="s">
        <v>490</v>
      </c>
      <c r="C32" s="269" t="s">
        <v>344</v>
      </c>
      <c r="D32" s="269" t="s">
        <v>478</v>
      </c>
      <c r="E32" s="834">
        <v>2</v>
      </c>
      <c r="F32" s="828">
        <v>420000</v>
      </c>
      <c r="G32" s="831">
        <v>1</v>
      </c>
      <c r="H32" s="587">
        <f t="shared" ref="H32:H33" si="4">(1+G32)*F32</f>
        <v>840000</v>
      </c>
      <c r="I32" s="834">
        <v>0.6</v>
      </c>
      <c r="J32" s="587" t="e">
        <f>H32*(('R1_Hydro_MEFA'!L117/Macro!$D$16/Macro!$D$20/8/E32)^I32)</f>
        <v>#DIV/0!</v>
      </c>
      <c r="K32" s="831">
        <v>0.05</v>
      </c>
      <c r="L32" s="587" t="e">
        <f t="shared" si="1"/>
        <v>#DIV/0!</v>
      </c>
      <c r="M32" s="660">
        <f>IF(IF(Macro!$H$14=1,5,Macro!T27)=0,5,IF(Macro!$H$14=1,5,Macro!T27))</f>
        <v>5</v>
      </c>
      <c r="N32" s="587" t="e">
        <f t="shared" si="2"/>
        <v>#DIV/0!</v>
      </c>
      <c r="O32" s="270" t="s">
        <v>148</v>
      </c>
      <c r="P32" s="273"/>
    </row>
    <row r="33" spans="1:16" ht="17" x14ac:dyDescent="0.2">
      <c r="A33" s="1031"/>
      <c r="B33" s="751" t="s">
        <v>217</v>
      </c>
      <c r="C33" s="288" t="s">
        <v>485</v>
      </c>
      <c r="D33" s="288" t="s">
        <v>478</v>
      </c>
      <c r="E33" s="816">
        <v>10</v>
      </c>
      <c r="F33" s="826">
        <v>175000</v>
      </c>
      <c r="G33" s="829">
        <v>1</v>
      </c>
      <c r="H33" s="284">
        <f t="shared" si="4"/>
        <v>350000</v>
      </c>
      <c r="I33" s="816">
        <v>0.52</v>
      </c>
      <c r="J33" s="284" t="e">
        <f>H33*(('R1_Hydro_MEFA'!L124/Macro!$D$16/Macro!$D$20/8/E33)^I33)</f>
        <v>#DIV/0!</v>
      </c>
      <c r="K33" s="829">
        <v>0.05</v>
      </c>
      <c r="L33" s="284" t="e">
        <f t="shared" si="1"/>
        <v>#DIV/0!</v>
      </c>
      <c r="M33" s="659">
        <f>IF(IF(Macro!$H$14=1,5,Macro!T28)=0,5,IF(Macro!$H$14=1,5,Macro!T28))</f>
        <v>5</v>
      </c>
      <c r="N33" s="284" t="e">
        <f t="shared" si="2"/>
        <v>#DIV/0!</v>
      </c>
      <c r="O33" t="s">
        <v>148</v>
      </c>
      <c r="P33" s="264"/>
    </row>
    <row r="34" spans="1:16" ht="17" x14ac:dyDescent="0.2">
      <c r="A34" s="1031"/>
      <c r="B34" s="288" t="s">
        <v>209</v>
      </c>
      <c r="C34" s="751" t="s">
        <v>491</v>
      </c>
      <c r="D34" s="288" t="s">
        <v>478</v>
      </c>
      <c r="E34" s="816">
        <v>10</v>
      </c>
      <c r="F34" s="826">
        <v>100000</v>
      </c>
      <c r="G34" s="829">
        <v>1</v>
      </c>
      <c r="H34" s="284">
        <v>200000</v>
      </c>
      <c r="I34" s="816">
        <v>0.75</v>
      </c>
      <c r="J34" s="284" t="e">
        <f>H34*(('R1_Hydro_MEFA'!L124/Macro!$D$16/Macro!$D$20/8/E34)^I34)</f>
        <v>#DIV/0!</v>
      </c>
      <c r="K34" s="829">
        <v>0.05</v>
      </c>
      <c r="L34" s="284" t="e">
        <f t="shared" si="1"/>
        <v>#DIV/0!</v>
      </c>
      <c r="M34" s="659">
        <f>IF(IF(Macro!$H$14=1,5,Macro!T29)=0,5,IF(Macro!$H$14=1,5,Macro!T29))</f>
        <v>5</v>
      </c>
      <c r="N34" s="284" t="e">
        <f t="shared" si="2"/>
        <v>#DIV/0!</v>
      </c>
      <c r="O34" t="s">
        <v>148</v>
      </c>
      <c r="P34" s="264"/>
    </row>
    <row r="35" spans="1:16" ht="17" x14ac:dyDescent="0.2">
      <c r="A35" s="1031"/>
      <c r="B35" s="288" t="s">
        <v>357</v>
      </c>
      <c r="C35" s="288" t="s">
        <v>479</v>
      </c>
      <c r="D35" s="288" t="s">
        <v>478</v>
      </c>
      <c r="E35" s="816">
        <v>10</v>
      </c>
      <c r="F35" s="826">
        <v>175000</v>
      </c>
      <c r="G35" s="829">
        <v>1</v>
      </c>
      <c r="H35" s="284">
        <f t="shared" ref="H35:H37" si="5">(1+G35)*F35</f>
        <v>350000</v>
      </c>
      <c r="I35" s="816">
        <v>0.52</v>
      </c>
      <c r="J35" s="284" t="e">
        <f>H35*(('R1_Hydro_MEFA'!L140/Macro!$D$16/Macro!$D$20/8/E35)^I35)</f>
        <v>#DIV/0!</v>
      </c>
      <c r="K35" s="829">
        <v>0.05</v>
      </c>
      <c r="L35" s="284" t="e">
        <f t="shared" si="1"/>
        <v>#DIV/0!</v>
      </c>
      <c r="M35" s="659">
        <f>IF(IF(Macro!$H$14=1,5,Macro!T30)=0,5,IF(Macro!$H$14=1,5,Macro!T30))</f>
        <v>5</v>
      </c>
      <c r="N35" s="284" t="e">
        <f t="shared" si="2"/>
        <v>#DIV/0!</v>
      </c>
      <c r="O35" t="s">
        <v>148</v>
      </c>
      <c r="P35" s="264"/>
    </row>
    <row r="36" spans="1:16" ht="17" x14ac:dyDescent="0.2">
      <c r="A36" s="1031"/>
      <c r="B36" s="288" t="s">
        <v>402</v>
      </c>
      <c r="C36" s="288" t="s">
        <v>485</v>
      </c>
      <c r="D36" s="288" t="s">
        <v>478</v>
      </c>
      <c r="E36" s="816">
        <v>10</v>
      </c>
      <c r="F36" s="826">
        <v>175000</v>
      </c>
      <c r="G36" s="829">
        <v>1</v>
      </c>
      <c r="H36" s="284">
        <f t="shared" si="5"/>
        <v>350000</v>
      </c>
      <c r="I36" s="816">
        <v>0.52</v>
      </c>
      <c r="J36" s="284" t="e">
        <f>H36*(('R1_Hydro_MEFA'!L147/Macro!$D$16/Macro!$D$20/8/E36)^I36)</f>
        <v>#DIV/0!</v>
      </c>
      <c r="K36" s="829">
        <v>0.05</v>
      </c>
      <c r="L36" s="284" t="e">
        <f t="shared" si="1"/>
        <v>#DIV/0!</v>
      </c>
      <c r="M36" s="659">
        <f>IF(IF(Macro!$H$14=1,5,Macro!T31)=0,5,IF(Macro!$H$14=1,5,Macro!T31))</f>
        <v>5</v>
      </c>
      <c r="N36" s="284" t="e">
        <f t="shared" si="2"/>
        <v>#DIV/0!</v>
      </c>
      <c r="O36" t="s">
        <v>148</v>
      </c>
      <c r="P36" s="264"/>
    </row>
    <row r="37" spans="1:16" ht="17" x14ac:dyDescent="0.2">
      <c r="A37" s="1031"/>
      <c r="B37" s="288" t="s">
        <v>403</v>
      </c>
      <c r="C37" s="288" t="s">
        <v>492</v>
      </c>
      <c r="D37" s="288" t="s">
        <v>478</v>
      </c>
      <c r="E37" s="816">
        <v>10</v>
      </c>
      <c r="F37" s="826">
        <v>35000</v>
      </c>
      <c r="G37" s="829">
        <v>1</v>
      </c>
      <c r="H37" s="284">
        <f t="shared" si="5"/>
        <v>70000</v>
      </c>
      <c r="I37" s="816">
        <v>0.75</v>
      </c>
      <c r="J37" s="284" t="e">
        <f>H37*(('R1_Hydro_MEFA'!L147/Macro!$D$16/Macro!$D$20/8/E37)^I37)</f>
        <v>#DIV/0!</v>
      </c>
      <c r="K37" s="829">
        <v>0.05</v>
      </c>
      <c r="L37" s="284" t="e">
        <f t="shared" si="1"/>
        <v>#DIV/0!</v>
      </c>
      <c r="M37" s="659">
        <f>IF(IF(Macro!$H$14=1,5,Macro!T32)=0,5,IF(Macro!$H$14=1,5,Macro!T32))</f>
        <v>5</v>
      </c>
      <c r="N37" s="284" t="e">
        <f t="shared" si="2"/>
        <v>#DIV/0!</v>
      </c>
      <c r="O37" t="s">
        <v>148</v>
      </c>
      <c r="P37" s="264"/>
    </row>
    <row r="38" spans="1:16" ht="17" x14ac:dyDescent="0.2">
      <c r="A38" s="1031"/>
      <c r="B38" s="288" t="s">
        <v>405</v>
      </c>
      <c r="C38" s="288" t="s">
        <v>479</v>
      </c>
      <c r="D38" s="288" t="s">
        <v>478</v>
      </c>
      <c r="E38" s="816">
        <v>10</v>
      </c>
      <c r="F38" s="826">
        <v>175000</v>
      </c>
      <c r="G38" s="829">
        <v>1</v>
      </c>
      <c r="H38" s="284">
        <f t="shared" ref="H38:H40" si="6">(1+G38)*F38</f>
        <v>350000</v>
      </c>
      <c r="I38" s="816">
        <v>0.52</v>
      </c>
      <c r="J38" s="284" t="e">
        <f>H38*(((SUM('R1_Hydro_MEFA'!L163:L164)/'R1_Hydro_MEFA'!N155)/Macro!$D$16/Macro!$D$20/8/E38)^I38)</f>
        <v>#DIV/0!</v>
      </c>
      <c r="K38" s="829">
        <v>0.05</v>
      </c>
      <c r="L38" s="284" t="e">
        <f t="shared" si="1"/>
        <v>#DIV/0!</v>
      </c>
      <c r="M38" s="659">
        <f>IF(IF(Macro!$H$14=1,5,Macro!T33)=0,5,IF(Macro!$H$14=1,5,Macro!T33))</f>
        <v>5</v>
      </c>
      <c r="N38" s="284" t="e">
        <f t="shared" si="2"/>
        <v>#DIV/0!</v>
      </c>
      <c r="O38" t="s">
        <v>148</v>
      </c>
      <c r="P38" s="264"/>
    </row>
    <row r="39" spans="1:16" ht="17" x14ac:dyDescent="0.2">
      <c r="A39" s="1031"/>
      <c r="B39" s="288" t="s">
        <v>411</v>
      </c>
      <c r="C39" s="288" t="s">
        <v>485</v>
      </c>
      <c r="D39" s="288" t="s">
        <v>478</v>
      </c>
      <c r="E39" s="816">
        <v>10</v>
      </c>
      <c r="F39" s="826">
        <v>175000</v>
      </c>
      <c r="G39" s="829">
        <v>1</v>
      </c>
      <c r="H39" s="284">
        <f t="shared" si="6"/>
        <v>350000</v>
      </c>
      <c r="I39" s="816">
        <v>0.52</v>
      </c>
      <c r="J39" s="284" t="e">
        <f>H39*(('R1_Hydro_MEFA'!L172/Macro!$D$16/Macro!$D$20/8/E39)^I39)</f>
        <v>#DIV/0!</v>
      </c>
      <c r="K39" s="829">
        <v>0.05</v>
      </c>
      <c r="L39" s="284" t="e">
        <f t="shared" si="1"/>
        <v>#DIV/0!</v>
      </c>
      <c r="M39" s="659">
        <f>IF(IF(Macro!$H$14=1,5,Macro!T34)=0,5,IF(Macro!$H$14=1,5,Macro!T34))</f>
        <v>5</v>
      </c>
      <c r="N39" s="284" t="e">
        <f t="shared" si="2"/>
        <v>#DIV/0!</v>
      </c>
      <c r="O39" t="s">
        <v>148</v>
      </c>
      <c r="P39" s="264"/>
    </row>
    <row r="40" spans="1:16" ht="17" x14ac:dyDescent="0.2">
      <c r="A40" s="1031"/>
      <c r="B40" s="288" t="s">
        <v>414</v>
      </c>
      <c r="C40" s="288" t="s">
        <v>479</v>
      </c>
      <c r="D40" s="288" t="s">
        <v>478</v>
      </c>
      <c r="E40" s="816">
        <v>10</v>
      </c>
      <c r="F40" s="826">
        <v>175000</v>
      </c>
      <c r="G40" s="829">
        <v>1</v>
      </c>
      <c r="H40" s="284">
        <f t="shared" si="6"/>
        <v>350000</v>
      </c>
      <c r="I40" s="816">
        <v>0.52</v>
      </c>
      <c r="J40" s="284" t="e">
        <f>H40*(('R1_Hydro_MEFA'!L178/Macro!$D$16/Macro!$D$20/8/E40)^I40)</f>
        <v>#DIV/0!</v>
      </c>
      <c r="K40" s="829">
        <v>0.05</v>
      </c>
      <c r="L40" s="284" t="e">
        <f t="shared" si="1"/>
        <v>#DIV/0!</v>
      </c>
      <c r="M40" s="659">
        <f>IF(IF(Macro!$H$14=1,5,Macro!T35)=0,5,IF(Macro!$H$14=1,5,Macro!T35))</f>
        <v>5</v>
      </c>
      <c r="N40" s="284" t="e">
        <f t="shared" si="2"/>
        <v>#DIV/0!</v>
      </c>
      <c r="O40" t="s">
        <v>148</v>
      </c>
      <c r="P40" s="264"/>
    </row>
    <row r="41" spans="1:16" ht="16" x14ac:dyDescent="0.2">
      <c r="A41" s="1031"/>
      <c r="B41" s="751" t="s">
        <v>212</v>
      </c>
      <c r="C41" s="288" t="s">
        <v>487</v>
      </c>
      <c r="D41" s="288" t="s">
        <v>488</v>
      </c>
      <c r="E41" s="816">
        <v>1</v>
      </c>
      <c r="F41" s="826">
        <v>1500000</v>
      </c>
      <c r="G41" s="829">
        <v>1</v>
      </c>
      <c r="H41" s="284">
        <f t="shared" si="0"/>
        <v>3000000</v>
      </c>
      <c r="I41" s="816">
        <v>0.65</v>
      </c>
      <c r="J41" s="284" t="e">
        <f>H41*(('R1_Hydro_MEFA'!L185/(Macro!$D$16*Macro!$D$20*8*E41))^I41)</f>
        <v>#DIV/0!</v>
      </c>
      <c r="K41" s="829">
        <v>0.05</v>
      </c>
      <c r="L41" s="284" t="e">
        <f t="shared" si="1"/>
        <v>#DIV/0!</v>
      </c>
      <c r="M41" s="659">
        <f>IF(IF(Macro!$H$14=1,5,Macro!T36)=0,5,IF(Macro!$H$14=1,5,Macro!T36))</f>
        <v>5</v>
      </c>
      <c r="N41" s="284" t="e">
        <f t="shared" si="2"/>
        <v>#DIV/0!</v>
      </c>
      <c r="O41" t="s">
        <v>148</v>
      </c>
      <c r="P41" s="264"/>
    </row>
    <row r="42" spans="1:16" ht="16" x14ac:dyDescent="0.2">
      <c r="A42" s="1031"/>
      <c r="B42" s="751" t="s">
        <v>213</v>
      </c>
      <c r="C42" s="288" t="s">
        <v>417</v>
      </c>
      <c r="D42" s="288" t="s">
        <v>488</v>
      </c>
      <c r="E42" s="816">
        <v>5</v>
      </c>
      <c r="F42" s="826">
        <v>1500000</v>
      </c>
      <c r="G42" s="829">
        <v>1</v>
      </c>
      <c r="H42" s="284">
        <f t="shared" si="0"/>
        <v>3000000</v>
      </c>
      <c r="I42" s="816">
        <v>0.65</v>
      </c>
      <c r="J42" s="284" t="e">
        <f>H42*(('R1_Hydro_MEFA'!L193/(Macro!$D$16*Macro!$D$20*8*E42))^I42)</f>
        <v>#DIV/0!</v>
      </c>
      <c r="K42" s="829">
        <v>0.05</v>
      </c>
      <c r="L42" s="284" t="e">
        <f t="shared" si="1"/>
        <v>#DIV/0!</v>
      </c>
      <c r="M42" s="659">
        <f>IF(IF(Macro!$H$14=1,5,Macro!T37)=0,5,IF(Macro!$H$14=1,5,Macro!T37))</f>
        <v>5</v>
      </c>
      <c r="N42" s="284" t="e">
        <f t="shared" si="2"/>
        <v>#DIV/0!</v>
      </c>
      <c r="O42" t="s">
        <v>148</v>
      </c>
      <c r="P42" s="264"/>
    </row>
    <row r="43" spans="1:16" ht="17" x14ac:dyDescent="0.2">
      <c r="A43" s="1031"/>
      <c r="B43" s="751" t="s">
        <v>426</v>
      </c>
      <c r="C43" s="288" t="s">
        <v>485</v>
      </c>
      <c r="D43" s="288" t="s">
        <v>478</v>
      </c>
      <c r="E43" s="816">
        <v>10</v>
      </c>
      <c r="F43" s="826">
        <v>175000</v>
      </c>
      <c r="G43" s="829">
        <v>1</v>
      </c>
      <c r="H43" s="284">
        <f t="shared" ref="H43:H45" si="7">(1+G43)*F43</f>
        <v>350000</v>
      </c>
      <c r="I43" s="816">
        <v>0.52</v>
      </c>
      <c r="J43" s="284" t="e">
        <f>H43*(('R1_Hydro_MEFA'!L200/Macro!$D$16/Macro!$D$20/8/E43)^I43)</f>
        <v>#DIV/0!</v>
      </c>
      <c r="K43" s="829">
        <v>0.05</v>
      </c>
      <c r="L43" s="284" t="e">
        <f t="shared" si="1"/>
        <v>#DIV/0!</v>
      </c>
      <c r="M43" s="659">
        <f>IF(IF(Macro!$H$14=1,5,Macro!T38)=0,5,IF(Macro!$H$14=1,5,Macro!T38))</f>
        <v>5</v>
      </c>
      <c r="N43" s="284" t="e">
        <f t="shared" si="2"/>
        <v>#DIV/0!</v>
      </c>
      <c r="O43" t="s">
        <v>148</v>
      </c>
      <c r="P43" s="264"/>
    </row>
    <row r="44" spans="1:16" ht="17" x14ac:dyDescent="0.2">
      <c r="A44" s="1031"/>
      <c r="B44" s="288" t="s">
        <v>437</v>
      </c>
      <c r="C44" s="288" t="s">
        <v>492</v>
      </c>
      <c r="D44" s="288" t="s">
        <v>478</v>
      </c>
      <c r="E44" s="816">
        <v>10</v>
      </c>
      <c r="F44" s="826">
        <v>35000</v>
      </c>
      <c r="G44" s="829">
        <v>1</v>
      </c>
      <c r="H44" s="284">
        <f t="shared" si="7"/>
        <v>70000</v>
      </c>
      <c r="I44" s="816">
        <v>0.75</v>
      </c>
      <c r="J44" s="284" t="e">
        <f>H44*(('R1_Hydro_MEFA'!L200/Macro!$D$16/Macro!$D$20/8/E44)^I44)</f>
        <v>#DIV/0!</v>
      </c>
      <c r="K44" s="829">
        <v>0.05</v>
      </c>
      <c r="L44" s="284" t="e">
        <f>K44*J44</f>
        <v>#DIV/0!</v>
      </c>
      <c r="M44" s="659">
        <f>IF(IF(Macro!$H$14=1,5,Macro!T39)=0,5,IF(Macro!$H$14=1,5,Macro!T39))</f>
        <v>5</v>
      </c>
      <c r="N44" s="284" t="e">
        <f t="shared" si="2"/>
        <v>#DIV/0!</v>
      </c>
      <c r="O44" t="s">
        <v>148</v>
      </c>
      <c r="P44" s="264"/>
    </row>
    <row r="45" spans="1:16" ht="17" thickBot="1" x14ac:dyDescent="0.25">
      <c r="A45" s="1032"/>
      <c r="B45" s="275" t="s">
        <v>24</v>
      </c>
      <c r="C45" s="749" t="s">
        <v>417</v>
      </c>
      <c r="D45" s="275" t="s">
        <v>488</v>
      </c>
      <c r="E45" s="835">
        <v>5</v>
      </c>
      <c r="F45" s="827">
        <v>1500000</v>
      </c>
      <c r="G45" s="830">
        <v>1</v>
      </c>
      <c r="H45" s="586">
        <f t="shared" si="7"/>
        <v>3000000</v>
      </c>
      <c r="I45" s="835">
        <v>0.65</v>
      </c>
      <c r="J45" s="621">
        <f>H45*(('R1_Hydro_MEFA'!L215/(Macro!$D$16*Macro!$D$20*8*E45))^I45)</f>
        <v>0</v>
      </c>
      <c r="K45" s="830">
        <v>0.05</v>
      </c>
      <c r="L45" s="621">
        <f>K45*J45</f>
        <v>0</v>
      </c>
      <c r="M45" s="661">
        <f>IF(IF(Macro!$H$14=1,5,Macro!T40)=0,5,IF(Macro!$H$14=1,5,Macro!T40))</f>
        <v>5</v>
      </c>
      <c r="N45" s="621">
        <f t="shared" si="2"/>
        <v>0</v>
      </c>
      <c r="O45" t="s">
        <v>148</v>
      </c>
      <c r="P45" s="278"/>
    </row>
    <row r="46" spans="1:16" x14ac:dyDescent="0.2">
      <c r="G46" s="259"/>
      <c r="J46" s="285" t="e">
        <f>SUM(J12:J45)</f>
        <v>#DIV/0!</v>
      </c>
      <c r="K46" s="285"/>
      <c r="L46" s="285" t="e">
        <f>SUM(L12:L45)</f>
        <v>#DIV/0!</v>
      </c>
      <c r="M46" s="285"/>
      <c r="N46" s="285" t="e">
        <f>SUM(N12:N45)</f>
        <v>#DIV/0!</v>
      </c>
      <c r="O46" s="270"/>
    </row>
    <row r="47" spans="1:16" ht="23" thickBot="1" x14ac:dyDescent="0.25">
      <c r="A47" s="781" t="s">
        <v>493</v>
      </c>
    </row>
    <row r="48" spans="1:16" ht="49.5" customHeight="1" thickBot="1" x14ac:dyDescent="0.25">
      <c r="A48" s="780" t="s">
        <v>494</v>
      </c>
      <c r="B48" s="381" t="s">
        <v>495</v>
      </c>
      <c r="C48" s="381" t="s">
        <v>496</v>
      </c>
      <c r="D48" s="381" t="s">
        <v>497</v>
      </c>
      <c r="E48" s="381" t="s">
        <v>498</v>
      </c>
      <c r="F48" s="381" t="s">
        <v>499</v>
      </c>
      <c r="G48" s="381" t="s">
        <v>500</v>
      </c>
      <c r="H48" s="381" t="s">
        <v>501</v>
      </c>
      <c r="I48" s="381" t="s">
        <v>502</v>
      </c>
      <c r="J48" s="381" t="s">
        <v>503</v>
      </c>
      <c r="K48" s="382" t="s">
        <v>504</v>
      </c>
    </row>
    <row r="49" spans="1:11" ht="15" customHeight="1" x14ac:dyDescent="0.2">
      <c r="A49" s="1027" t="s">
        <v>259</v>
      </c>
      <c r="B49" s="69" t="s">
        <v>505</v>
      </c>
      <c r="C49" s="662" t="e">
        <f>ROUNDUP(E6/(210*8*E15)+E6/(210*8*2),0)</f>
        <v>#DIV/0!</v>
      </c>
      <c r="D49" s="914">
        <v>40000</v>
      </c>
      <c r="E49" s="831">
        <v>0.2</v>
      </c>
      <c r="F49" s="831">
        <v>0.5</v>
      </c>
      <c r="G49" s="272">
        <f>IF($E$9&gt;250,($E$9-250)/$E$9*0.5,0)</f>
        <v>0.12121212121212122</v>
      </c>
      <c r="H49" s="911">
        <f>(1+F49+E49+G49)*D49</f>
        <v>72848.484848484848</v>
      </c>
      <c r="I49" s="383">
        <f>H49/Macro!D16/8</f>
        <v>27.594123048668504</v>
      </c>
      <c r="J49" s="911" t="e">
        <f>H49*C49*(1+IF(Macro!D18=3,1/3,0))</f>
        <v>#DIV/0!</v>
      </c>
      <c r="K49" s="273"/>
    </row>
    <row r="50" spans="1:11" ht="15" customHeight="1" thickBot="1" x14ac:dyDescent="0.25">
      <c r="A50" s="1029"/>
      <c r="B50" s="783" t="s">
        <v>506</v>
      </c>
      <c r="C50" t="e">
        <f>ROUNDUP(E6/(210*8*E15)+E6/(210*8*2),0)</f>
        <v>#DIV/0!</v>
      </c>
      <c r="D50" s="915">
        <v>60000</v>
      </c>
      <c r="E50" s="830">
        <v>0.2</v>
      </c>
      <c r="F50" s="830">
        <v>0.5</v>
      </c>
      <c r="G50" s="277">
        <f>IF($E$9&gt;250,($E$9-250)/$E$9*0.5,0)</f>
        <v>0.12121212121212122</v>
      </c>
      <c r="H50" s="912">
        <f t="shared" ref="H50:H56" si="8">(1+F50+E50+G50)*D50</f>
        <v>109272.72727272728</v>
      </c>
      <c r="I50" s="385">
        <f>H50/Macro!$D$16/8</f>
        <v>41.391184573002761</v>
      </c>
      <c r="J50" s="912" t="e">
        <f>H50*C50*(1+IF(Macro!D18=3,1/3,0))</f>
        <v>#DIV/0!</v>
      </c>
      <c r="K50" s="264"/>
    </row>
    <row r="51" spans="1:11" ht="15" customHeight="1" x14ac:dyDescent="0.2">
      <c r="A51" s="1027" t="s">
        <v>472</v>
      </c>
      <c r="B51" s="784" t="s">
        <v>507</v>
      </c>
      <c r="C51" s="270">
        <f>2*ROUNDUP(Macro!D16/210,0)*Macro!D20</f>
        <v>12</v>
      </c>
      <c r="D51" s="914">
        <v>40000</v>
      </c>
      <c r="E51" s="831">
        <v>0.2</v>
      </c>
      <c r="F51" s="831">
        <v>0.5</v>
      </c>
      <c r="G51" s="272">
        <f t="shared" ref="G51:G56" si="9">IF($E$9&gt;250,($E$9-250)/$E$9*0.5,0)</f>
        <v>0.12121212121212122</v>
      </c>
      <c r="H51" s="911">
        <f t="shared" si="8"/>
        <v>72848.484848484848</v>
      </c>
      <c r="I51" s="383">
        <f>H51/Macro!$D$16/8</f>
        <v>27.594123048668504</v>
      </c>
      <c r="J51" s="911">
        <f>H51*C51*(1+IF(Macro!D20=3,1/3,0))</f>
        <v>1165575.7575757573</v>
      </c>
      <c r="K51" s="273"/>
    </row>
    <row r="52" spans="1:11" ht="15" customHeight="1" thickBot="1" x14ac:dyDescent="0.25">
      <c r="A52" s="1028"/>
      <c r="B52" s="122" t="s">
        <v>508</v>
      </c>
      <c r="C52">
        <f>ROUNDUP(Macro!D16/210,0)*Macro!D20</f>
        <v>6</v>
      </c>
      <c r="D52" s="916">
        <v>60000</v>
      </c>
      <c r="E52" s="829">
        <v>0.2</v>
      </c>
      <c r="F52" s="829">
        <v>0.5</v>
      </c>
      <c r="G52" s="258">
        <f t="shared" si="9"/>
        <v>0.12121212121212122</v>
      </c>
      <c r="H52" s="913">
        <f t="shared" si="8"/>
        <v>109272.72727272728</v>
      </c>
      <c r="I52" s="384">
        <f>H52/Macro!$D$16/8</f>
        <v>41.391184573002761</v>
      </c>
      <c r="J52" s="913">
        <f>H52*C52*(1+IF(Macro!D20=3,1/3,0))</f>
        <v>874181.81818181812</v>
      </c>
      <c r="K52" s="264"/>
    </row>
    <row r="53" spans="1:11" ht="15" customHeight="1" x14ac:dyDescent="0.2">
      <c r="A53" s="1027" t="s">
        <v>509</v>
      </c>
      <c r="B53" s="784" t="s">
        <v>507</v>
      </c>
      <c r="C53" s="270">
        <f>IF(Macro!D8=1,1,2)*Macro!D20*ROUNDUP(Macro!D16/210,0)</f>
        <v>12</v>
      </c>
      <c r="D53" s="914">
        <v>40000</v>
      </c>
      <c r="E53" s="831">
        <v>0.2</v>
      </c>
      <c r="F53" s="831">
        <v>0.5</v>
      </c>
      <c r="G53" s="272">
        <f t="shared" si="9"/>
        <v>0.12121212121212122</v>
      </c>
      <c r="H53" s="911">
        <f t="shared" si="8"/>
        <v>72848.484848484848</v>
      </c>
      <c r="I53" s="383">
        <f>H53/Macro!$D$16/8</f>
        <v>27.594123048668504</v>
      </c>
      <c r="J53" s="911">
        <f>H53*C53*(1+IF(Macro!D20=3,1/3,0))</f>
        <v>1165575.7575757573</v>
      </c>
      <c r="K53" s="273"/>
    </row>
    <row r="54" spans="1:11" ht="15" customHeight="1" thickBot="1" x14ac:dyDescent="0.25">
      <c r="A54" s="1029"/>
      <c r="B54" s="749" t="s">
        <v>508</v>
      </c>
      <c r="C54" s="275">
        <f>Macro!D20*ROUNDUP(Macro!D16/210,0)</f>
        <v>6</v>
      </c>
      <c r="D54" s="916">
        <v>60000</v>
      </c>
      <c r="E54" s="830">
        <v>0.2</v>
      </c>
      <c r="F54" s="830">
        <v>0.5</v>
      </c>
      <c r="G54" s="277">
        <f t="shared" si="9"/>
        <v>0.12121212121212122</v>
      </c>
      <c r="H54" s="912">
        <f t="shared" si="8"/>
        <v>109272.72727272728</v>
      </c>
      <c r="I54" s="385">
        <f>H54/Macro!$D$16/8</f>
        <v>41.391184573002761</v>
      </c>
      <c r="J54" s="912">
        <f>H54*C54*(1+IF(Macro!D20=3,1/3,0))</f>
        <v>874181.81818181812</v>
      </c>
      <c r="K54" s="278"/>
    </row>
    <row r="55" spans="1:11" ht="15" customHeight="1" x14ac:dyDescent="0.2">
      <c r="A55" s="1027" t="s">
        <v>510</v>
      </c>
      <c r="B55" s="784" t="s">
        <v>507</v>
      </c>
      <c r="C55" s="270">
        <f>IF(Macro!D8=1,1,2)*Macro!D20*ROUNDUP(Macro!D16/210,0)</f>
        <v>12</v>
      </c>
      <c r="D55" s="914">
        <v>40000</v>
      </c>
      <c r="E55" s="831">
        <v>0.2</v>
      </c>
      <c r="F55" s="831">
        <v>0.5</v>
      </c>
      <c r="G55" s="272">
        <f t="shared" si="9"/>
        <v>0.12121212121212122</v>
      </c>
      <c r="H55" s="911">
        <f t="shared" si="8"/>
        <v>72848.484848484848</v>
      </c>
      <c r="I55" s="383">
        <f>H55/Macro!$D$16/8</f>
        <v>27.594123048668504</v>
      </c>
      <c r="J55" s="911">
        <f>IF(Macro!D10=TRUE,H55*C55,0)*(1+IF(Macro!D20=3,1/3,0))</f>
        <v>1165575.7575757573</v>
      </c>
      <c r="K55" s="273"/>
    </row>
    <row r="56" spans="1:11" ht="15" customHeight="1" thickBot="1" x14ac:dyDescent="0.25">
      <c r="A56" s="1029"/>
      <c r="B56" s="749" t="s">
        <v>508</v>
      </c>
      <c r="C56" s="275">
        <f>Macro!D20*ROUNDUP(Macro!D16/210,0)</f>
        <v>6</v>
      </c>
      <c r="D56" s="915">
        <v>60000</v>
      </c>
      <c r="E56" s="830">
        <v>0.2</v>
      </c>
      <c r="F56" s="830">
        <v>0.5</v>
      </c>
      <c r="G56" s="277">
        <f t="shared" si="9"/>
        <v>0.12121212121212122</v>
      </c>
      <c r="H56" s="912">
        <f t="shared" si="8"/>
        <v>109272.72727272728</v>
      </c>
      <c r="I56" s="385">
        <f>H56/Macro!$D$16/8</f>
        <v>41.391184573002761</v>
      </c>
      <c r="J56" s="912">
        <f>IF(Macro!D10=TRUE,H56*C56,0)*(1+IF(Macro!D20=3,1/3,0))</f>
        <v>874181.81818181812</v>
      </c>
      <c r="K56" s="278"/>
    </row>
    <row r="57" spans="1:11" ht="15" customHeight="1" x14ac:dyDescent="0.2">
      <c r="G57" s="181"/>
      <c r="J57" s="913" t="e">
        <f>SUM(J49:J56)</f>
        <v>#DIV/0!</v>
      </c>
    </row>
    <row r="58" spans="1:11" ht="15" customHeight="1" x14ac:dyDescent="0.2"/>
    <row r="59" spans="1:11" ht="15" customHeight="1" x14ac:dyDescent="0.2"/>
    <row r="60" spans="1:11" ht="15" customHeight="1" x14ac:dyDescent="0.2"/>
    <row r="61" spans="1:11" ht="15" customHeight="1" x14ac:dyDescent="0.2"/>
    <row r="62" spans="1:11" ht="15" customHeight="1" x14ac:dyDescent="0.2"/>
    <row r="63" spans="1:11" ht="15" customHeight="1" x14ac:dyDescent="0.2"/>
    <row r="64" spans="1:11" ht="15" customHeight="1" x14ac:dyDescent="0.2"/>
    <row r="65" ht="15" customHeight="1" x14ac:dyDescent="0.2"/>
    <row r="66" ht="15" customHeight="1" x14ac:dyDescent="0.2"/>
    <row r="67" ht="15" customHeight="1" x14ac:dyDescent="0.2"/>
    <row r="68" ht="15" customHeight="1" x14ac:dyDescent="0.2"/>
    <row r="69" ht="15" customHeight="1" x14ac:dyDescent="0.2"/>
    <row r="70" ht="15" customHeight="1" x14ac:dyDescent="0.2"/>
    <row r="71" ht="15" customHeight="1" x14ac:dyDescent="0.2"/>
  </sheetData>
  <mergeCells count="8">
    <mergeCell ref="A51:A52"/>
    <mergeCell ref="A53:A54"/>
    <mergeCell ref="A55:A56"/>
    <mergeCell ref="A12:A15"/>
    <mergeCell ref="A16:A19"/>
    <mergeCell ref="A20:A31"/>
    <mergeCell ref="A32:A45"/>
    <mergeCell ref="A49:A50"/>
  </mergeCell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belle11">
    <tabColor theme="0" tint="-0.499984740745262"/>
  </sheetPr>
  <dimension ref="A1:V140"/>
  <sheetViews>
    <sheetView topLeftCell="A46" workbookViewId="0">
      <selection activeCell="A67" sqref="A67:XFD67"/>
    </sheetView>
  </sheetViews>
  <sheetFormatPr baseColWidth="10" defaultColWidth="11.5" defaultRowHeight="15" x14ac:dyDescent="0.2"/>
  <cols>
    <col min="1" max="1" width="27.1640625" style="71" customWidth="1"/>
    <col min="2" max="2" width="20.5" style="71" customWidth="1"/>
    <col min="3" max="3" width="13.6640625" style="71" customWidth="1"/>
    <col min="4" max="4" width="7.33203125" style="71" customWidth="1"/>
    <col min="5" max="5" width="17.33203125" style="71" customWidth="1"/>
    <col min="6" max="6" width="14.5" style="71" customWidth="1"/>
    <col min="7" max="7" width="9.33203125" style="71" customWidth="1"/>
    <col min="8" max="8" width="17.6640625" style="71" customWidth="1"/>
    <col min="9" max="9" width="13.6640625" style="71" customWidth="1"/>
    <col min="10" max="10" width="14.5" style="71" customWidth="1"/>
    <col min="11" max="11" width="21.6640625" style="71" customWidth="1"/>
    <col min="12" max="12" width="13.1640625" style="71" customWidth="1"/>
    <col min="13" max="13" width="8" style="213" customWidth="1"/>
    <col min="14" max="14" width="30.83203125" style="71" customWidth="1"/>
    <col min="15" max="15" width="22.83203125" style="71" customWidth="1"/>
    <col min="16" max="16" width="12.83203125" style="71" customWidth="1"/>
    <col min="17" max="17" width="27.5" style="71" customWidth="1"/>
    <col min="18" max="18" width="17.6640625" style="71" customWidth="1"/>
    <col min="19" max="20" width="13.83203125" style="71" customWidth="1"/>
    <col min="21" max="21" width="24" style="71" customWidth="1"/>
    <col min="22" max="22" width="11.5" style="71"/>
    <col min="23" max="23" width="13.83203125" style="71" customWidth="1"/>
    <col min="24" max="16384" width="11.5" style="71"/>
  </cols>
  <sheetData>
    <row r="1" spans="1:22" s="65" customFormat="1" ht="21" x14ac:dyDescent="0.2">
      <c r="A1" s="64" t="s">
        <v>511</v>
      </c>
      <c r="M1" s="212"/>
    </row>
    <row r="2" spans="1:22" s="65" customFormat="1" ht="20" thickBot="1" x14ac:dyDescent="0.25">
      <c r="B2" s="66"/>
      <c r="M2" s="212"/>
    </row>
    <row r="3" spans="1:22" s="65" customFormat="1" ht="32" x14ac:dyDescent="0.2">
      <c r="A3" s="67" t="s">
        <v>258</v>
      </c>
      <c r="B3" s="68" t="s">
        <v>259</v>
      </c>
      <c r="C3" s="69"/>
      <c r="D3" s="70"/>
      <c r="F3" s="68" t="s">
        <v>512</v>
      </c>
      <c r="G3" s="69"/>
      <c r="H3" s="70"/>
      <c r="J3" s="71" t="s">
        <v>333</v>
      </c>
      <c r="K3" s="71"/>
      <c r="L3" s="227"/>
      <c r="M3" s="213"/>
      <c r="Q3" s="71"/>
      <c r="R3" s="71"/>
      <c r="S3" s="71"/>
      <c r="U3" s="97"/>
    </row>
    <row r="4" spans="1:22" ht="48" x14ac:dyDescent="0.2">
      <c r="B4" s="73" t="s">
        <v>261</v>
      </c>
      <c r="C4" s="74" t="s">
        <v>262</v>
      </c>
      <c r="D4" s="75" t="s">
        <v>263</v>
      </c>
      <c r="F4" s="73" t="s">
        <v>261</v>
      </c>
      <c r="G4" s="74" t="s">
        <v>262</v>
      </c>
      <c r="H4" s="75" t="s">
        <v>263</v>
      </c>
      <c r="J4" s="98" t="s">
        <v>513</v>
      </c>
      <c r="K4" s="214" t="s">
        <v>262</v>
      </c>
      <c r="L4" s="98" t="s">
        <v>335</v>
      </c>
      <c r="R4" s="338"/>
    </row>
    <row r="5" spans="1:22" ht="32" x14ac:dyDescent="0.2">
      <c r="B5" s="73" t="s">
        <v>264</v>
      </c>
      <c r="C5" s="477">
        <f>IF(Macro!$D$8=1,2500,IF(Macro!$D$8=2,25000,75000))</f>
        <v>25000</v>
      </c>
      <c r="D5" s="75" t="s">
        <v>514</v>
      </c>
      <c r="F5" s="73" t="s">
        <v>264</v>
      </c>
      <c r="G5" s="215" t="e">
        <f>C31</f>
        <v>#DIV/0!</v>
      </c>
      <c r="H5" s="75" t="s">
        <v>337</v>
      </c>
      <c r="J5" s="74" t="s">
        <v>245</v>
      </c>
      <c r="K5" s="837">
        <v>0.02</v>
      </c>
      <c r="L5" s="216">
        <v>0.02</v>
      </c>
      <c r="N5" s="339"/>
      <c r="R5" s="338"/>
      <c r="V5" s="95"/>
    </row>
    <row r="6" spans="1:22" ht="30.5" customHeight="1" x14ac:dyDescent="0.2">
      <c r="B6" s="73" t="s">
        <v>268</v>
      </c>
      <c r="C6" s="78" t="e">
        <f>C5*1000/Battery!C3</f>
        <v>#DIV/0!</v>
      </c>
      <c r="D6" s="75" t="s">
        <v>196</v>
      </c>
      <c r="F6" s="86" t="s">
        <v>264</v>
      </c>
      <c r="G6" s="217" t="e">
        <f>G5/G7/G8</f>
        <v>#DIV/0!</v>
      </c>
      <c r="H6" s="88" t="s">
        <v>515</v>
      </c>
      <c r="J6" s="74" t="s">
        <v>516</v>
      </c>
      <c r="K6" s="837">
        <v>0.02</v>
      </c>
      <c r="L6" s="216">
        <v>0.02</v>
      </c>
      <c r="N6" s="340"/>
      <c r="R6" s="338"/>
      <c r="V6" s="92"/>
    </row>
    <row r="7" spans="1:22" ht="32" x14ac:dyDescent="0.2">
      <c r="B7" s="73" t="s">
        <v>517</v>
      </c>
      <c r="C7" s="807">
        <v>5</v>
      </c>
      <c r="D7" s="75" t="s">
        <v>272</v>
      </c>
      <c r="F7" s="73" t="s">
        <v>518</v>
      </c>
      <c r="G7" s="77" t="str">
        <f>Macro!D16</f>
        <v>330</v>
      </c>
      <c r="H7" s="75" t="s">
        <v>519</v>
      </c>
      <c r="I7" s="218"/>
      <c r="J7" s="74" t="s">
        <v>520</v>
      </c>
      <c r="K7" s="837">
        <v>0.01</v>
      </c>
      <c r="L7" s="216">
        <v>0.01</v>
      </c>
      <c r="N7" s="92"/>
      <c r="R7" s="341"/>
      <c r="V7" s="219"/>
    </row>
    <row r="8" spans="1:22" ht="17" thickBot="1" x14ac:dyDescent="0.25">
      <c r="B8" s="79" t="s">
        <v>275</v>
      </c>
      <c r="C8" s="836">
        <v>2</v>
      </c>
      <c r="D8" s="80" t="s">
        <v>276</v>
      </c>
      <c r="F8" s="79" t="s">
        <v>521</v>
      </c>
      <c r="G8" s="96">
        <f>Macro!D20*8</f>
        <v>24</v>
      </c>
      <c r="H8" s="80" t="s">
        <v>522</v>
      </c>
      <c r="I8" s="95"/>
      <c r="N8" s="342"/>
      <c r="V8" s="95"/>
    </row>
    <row r="9" spans="1:22" x14ac:dyDescent="0.2">
      <c r="C9" s="82"/>
      <c r="D9" s="82"/>
      <c r="I9" s="92"/>
      <c r="J9" s="92"/>
      <c r="Q9" s="92"/>
      <c r="R9" s="343"/>
      <c r="T9" s="237"/>
      <c r="V9" s="92"/>
    </row>
    <row r="10" spans="1:22" x14ac:dyDescent="0.2">
      <c r="C10" s="82"/>
      <c r="D10" s="82"/>
      <c r="I10" s="92"/>
      <c r="J10" s="92"/>
      <c r="V10" s="92"/>
    </row>
    <row r="11" spans="1:22" x14ac:dyDescent="0.2">
      <c r="C11" s="220"/>
      <c r="D11" s="220"/>
      <c r="R11" s="338"/>
      <c r="V11" s="92"/>
    </row>
    <row r="12" spans="1:22" x14ac:dyDescent="0.2">
      <c r="A12" s="97" t="s">
        <v>291</v>
      </c>
      <c r="C12" s="221"/>
      <c r="D12" s="221"/>
    </row>
    <row r="13" spans="1:22" ht="16" x14ac:dyDescent="0.2">
      <c r="A13" s="98" t="s">
        <v>292</v>
      </c>
      <c r="B13" s="99" t="s">
        <v>13</v>
      </c>
      <c r="C13" s="99" t="s">
        <v>262</v>
      </c>
      <c r="D13" s="99" t="s">
        <v>263</v>
      </c>
      <c r="E13" s="100" t="s">
        <v>293</v>
      </c>
      <c r="F13" s="100" t="s">
        <v>262</v>
      </c>
      <c r="G13" s="101" t="s">
        <v>263</v>
      </c>
      <c r="H13" s="102" t="s">
        <v>294</v>
      </c>
      <c r="I13" s="102" t="s">
        <v>523</v>
      </c>
      <c r="J13" s="102" t="s">
        <v>263</v>
      </c>
      <c r="K13" s="103" t="s">
        <v>295</v>
      </c>
      <c r="L13" s="103" t="s">
        <v>262</v>
      </c>
      <c r="M13" s="104" t="s">
        <v>263</v>
      </c>
      <c r="N13" s="98" t="s">
        <v>296</v>
      </c>
      <c r="O13" s="98" t="s">
        <v>309</v>
      </c>
      <c r="V13" s="82"/>
    </row>
    <row r="14" spans="1:22" ht="16" x14ac:dyDescent="0.2">
      <c r="A14" s="107" t="s">
        <v>297</v>
      </c>
      <c r="B14" s="87"/>
      <c r="C14" s="87"/>
      <c r="D14" s="87"/>
      <c r="E14" s="87"/>
      <c r="F14" s="87"/>
      <c r="G14" s="87"/>
      <c r="H14" s="87"/>
      <c r="I14" s="87"/>
      <c r="J14" s="87"/>
      <c r="K14" s="87"/>
      <c r="L14" s="87"/>
      <c r="M14" s="108"/>
      <c r="N14" s="87"/>
      <c r="O14" s="111"/>
      <c r="P14" s="105"/>
      <c r="V14" s="92"/>
    </row>
    <row r="15" spans="1:22" ht="16" x14ac:dyDescent="0.2">
      <c r="A15" s="109"/>
      <c r="B15" s="109" t="s">
        <v>1089</v>
      </c>
      <c r="C15" s="344">
        <f>C5</f>
        <v>25000</v>
      </c>
      <c r="D15" s="110" t="s">
        <v>299</v>
      </c>
      <c r="E15" s="111"/>
      <c r="F15" s="111"/>
      <c r="G15" s="111"/>
      <c r="H15" s="111"/>
      <c r="I15" s="111"/>
      <c r="J15" s="111"/>
      <c r="K15" s="111"/>
      <c r="L15" s="111"/>
      <c r="M15" s="112"/>
      <c r="N15" s="111"/>
      <c r="O15" s="111"/>
      <c r="V15" s="92"/>
    </row>
    <row r="16" spans="1:22" ht="16" x14ac:dyDescent="0.2">
      <c r="A16" s="109"/>
      <c r="B16" s="109"/>
      <c r="C16" s="344"/>
      <c r="D16" s="110"/>
      <c r="E16" s="111"/>
      <c r="F16" s="111"/>
      <c r="G16" s="111"/>
      <c r="H16" s="111"/>
      <c r="I16" s="111"/>
      <c r="J16" s="111"/>
      <c r="K16" s="111" t="s">
        <v>52</v>
      </c>
      <c r="L16" s="337" t="e">
        <f>C6*C7</f>
        <v>#DIV/0!</v>
      </c>
      <c r="M16" s="222" t="s">
        <v>233</v>
      </c>
      <c r="N16" s="111"/>
      <c r="O16" s="111"/>
      <c r="V16" s="92"/>
    </row>
    <row r="17" spans="1:22" x14ac:dyDescent="0.2">
      <c r="A17" s="114"/>
      <c r="B17" s="114"/>
      <c r="C17" s="345"/>
      <c r="D17" s="115"/>
      <c r="E17" s="94"/>
      <c r="F17" s="94"/>
      <c r="G17" s="94"/>
      <c r="H17" s="94"/>
      <c r="I17" s="94"/>
      <c r="J17" s="94"/>
      <c r="K17" s="94"/>
      <c r="L17" s="346"/>
      <c r="M17" s="224"/>
      <c r="N17" s="94"/>
      <c r="O17" s="94"/>
      <c r="V17" s="218"/>
    </row>
    <row r="18" spans="1:22" ht="16" x14ac:dyDescent="0.2">
      <c r="A18" s="109" t="s">
        <v>259</v>
      </c>
      <c r="B18" s="87"/>
      <c r="C18" s="347"/>
      <c r="E18" s="111"/>
      <c r="F18" s="111"/>
      <c r="G18" s="111"/>
      <c r="H18" s="111"/>
      <c r="I18" s="111"/>
      <c r="J18" s="111"/>
      <c r="K18" s="111"/>
      <c r="L18" s="281"/>
      <c r="M18" s="112"/>
      <c r="N18" s="111"/>
      <c r="O18" s="111"/>
    </row>
    <row r="19" spans="1:22" ht="16" x14ac:dyDescent="0.2">
      <c r="A19" s="109"/>
      <c r="B19" s="109" t="s">
        <v>1089</v>
      </c>
      <c r="C19" s="344">
        <f>C15</f>
        <v>25000</v>
      </c>
      <c r="D19" s="110" t="s">
        <v>299</v>
      </c>
      <c r="E19" s="111"/>
      <c r="F19" s="111"/>
      <c r="G19" s="111"/>
      <c r="H19" s="111"/>
      <c r="I19" s="111"/>
      <c r="J19" s="111"/>
      <c r="K19" s="111"/>
      <c r="L19" s="281"/>
      <c r="M19" s="112"/>
      <c r="N19" s="111"/>
      <c r="O19" s="111"/>
    </row>
    <row r="20" spans="1:22" ht="32" x14ac:dyDescent="0.2">
      <c r="A20" s="109"/>
      <c r="B20" s="109"/>
      <c r="C20" s="110"/>
      <c r="D20" s="110"/>
      <c r="E20" s="111"/>
      <c r="F20" s="111"/>
      <c r="G20" s="111"/>
      <c r="H20" s="111"/>
      <c r="I20" s="111"/>
      <c r="J20" s="111"/>
      <c r="K20" s="111" t="s">
        <v>300</v>
      </c>
      <c r="L20" s="337" t="e">
        <f>$C$5*Battery!E34*Efficiencies!E44</f>
        <v>#DIV/0!</v>
      </c>
      <c r="M20" s="222" t="s">
        <v>299</v>
      </c>
      <c r="N20" s="111" t="s">
        <v>524</v>
      </c>
      <c r="O20" s="111"/>
    </row>
    <row r="21" spans="1:22" ht="15" customHeight="1" x14ac:dyDescent="0.2">
      <c r="A21" s="109"/>
      <c r="B21" s="109"/>
      <c r="C21" s="111"/>
      <c r="D21" s="111"/>
      <c r="E21" s="111"/>
      <c r="F21" s="111"/>
      <c r="G21" s="111"/>
      <c r="H21" s="111"/>
      <c r="I21" s="111"/>
      <c r="J21" s="111"/>
      <c r="K21" s="111" t="s">
        <v>75</v>
      </c>
      <c r="L21" s="337" t="e">
        <f>$C$5*Battery!E35*Efficiencies!E44</f>
        <v>#DIV/0!</v>
      </c>
      <c r="M21" s="222" t="s">
        <v>299</v>
      </c>
      <c r="N21" s="111"/>
      <c r="O21" s="111"/>
    </row>
    <row r="22" spans="1:22" ht="16" x14ac:dyDescent="0.2">
      <c r="A22" s="109"/>
      <c r="B22" s="109"/>
      <c r="C22" s="111"/>
      <c r="D22" s="111"/>
      <c r="E22" s="111"/>
      <c r="F22" s="111"/>
      <c r="G22" s="111"/>
      <c r="H22" s="111"/>
      <c r="I22" s="111"/>
      <c r="J22" s="111"/>
      <c r="K22" s="111" t="s">
        <v>253</v>
      </c>
      <c r="L22" s="337" t="e">
        <f>$C$5*Battery!E36*Efficiencies!E44</f>
        <v>#DIV/0!</v>
      </c>
      <c r="M22" s="222" t="s">
        <v>299</v>
      </c>
      <c r="N22" s="111"/>
      <c r="O22" s="111"/>
    </row>
    <row r="23" spans="1:22" ht="16" x14ac:dyDescent="0.2">
      <c r="A23" s="109"/>
      <c r="B23" s="109"/>
      <c r="C23" s="111"/>
      <c r="D23" s="111"/>
      <c r="E23" s="111"/>
      <c r="F23" s="111"/>
      <c r="G23" s="111"/>
      <c r="H23" s="111"/>
      <c r="I23" s="111"/>
      <c r="J23" s="111"/>
      <c r="K23" s="111" t="s">
        <v>178</v>
      </c>
      <c r="L23" s="337" t="e">
        <f>$C$5*Battery!E37*Efficiencies!E44</f>
        <v>#DIV/0!</v>
      </c>
      <c r="M23" s="222" t="s">
        <v>299</v>
      </c>
      <c r="N23" s="111" t="s">
        <v>303</v>
      </c>
      <c r="O23" s="111"/>
    </row>
    <row r="24" spans="1:22" ht="32" x14ac:dyDescent="0.2">
      <c r="A24" s="109"/>
      <c r="B24" s="109"/>
      <c r="C24" s="111"/>
      <c r="D24" s="111"/>
      <c r="E24" s="111"/>
      <c r="F24" s="111"/>
      <c r="G24" s="111"/>
      <c r="H24" s="111"/>
      <c r="I24" s="111"/>
      <c r="J24" s="111"/>
      <c r="K24" s="111" t="s">
        <v>254</v>
      </c>
      <c r="L24" s="337" t="e">
        <f>$C$5*Battery!E38*Efficiencies!E44</f>
        <v>#DIV/0!</v>
      </c>
      <c r="M24" s="222" t="s">
        <v>299</v>
      </c>
      <c r="N24" s="111" t="s">
        <v>304</v>
      </c>
      <c r="O24" s="111"/>
    </row>
    <row r="25" spans="1:22" s="105" customFormat="1" ht="16" x14ac:dyDescent="0.2">
      <c r="A25" s="109"/>
      <c r="B25" s="109"/>
      <c r="C25" s="111"/>
      <c r="D25" s="111"/>
      <c r="E25" s="111"/>
      <c r="F25" s="111"/>
      <c r="G25" s="111"/>
      <c r="H25" s="111"/>
      <c r="I25" s="111"/>
      <c r="J25" s="111"/>
      <c r="K25" s="111" t="s">
        <v>180</v>
      </c>
      <c r="L25" s="337" t="e">
        <f>$C$5*Battery!E39*Efficiencies!E44</f>
        <v>#DIV/0!</v>
      </c>
      <c r="M25" s="222" t="s">
        <v>299</v>
      </c>
      <c r="N25" s="111" t="s">
        <v>305</v>
      </c>
      <c r="O25" s="111"/>
      <c r="P25" s="71"/>
      <c r="Q25" s="106"/>
    </row>
    <row r="26" spans="1:22" ht="32" x14ac:dyDescent="0.2">
      <c r="A26" s="94"/>
      <c r="B26" s="114"/>
      <c r="C26" s="94"/>
      <c r="D26" s="94"/>
      <c r="E26" s="94"/>
      <c r="F26" s="94"/>
      <c r="G26" s="114"/>
      <c r="H26" s="94"/>
      <c r="I26" s="94"/>
      <c r="J26" s="94"/>
      <c r="K26" s="114" t="s">
        <v>306</v>
      </c>
      <c r="L26" s="346" t="e">
        <f>$C$5*Battery!E40*Efficiencies!E44</f>
        <v>#DIV/0!</v>
      </c>
      <c r="M26" s="224" t="s">
        <v>299</v>
      </c>
      <c r="N26" s="94" t="s">
        <v>307</v>
      </c>
      <c r="O26" s="94"/>
    </row>
    <row r="27" spans="1:22" x14ac:dyDescent="0.2">
      <c r="L27" s="348"/>
    </row>
    <row r="28" spans="1:22" ht="16" x14ac:dyDescent="0.2">
      <c r="A28" s="786" t="s">
        <v>525</v>
      </c>
      <c r="L28" s="348"/>
    </row>
    <row r="29" spans="1:22" ht="18" customHeight="1" x14ac:dyDescent="0.2">
      <c r="A29" s="225" t="s">
        <v>292</v>
      </c>
      <c r="B29" s="99" t="s">
        <v>13</v>
      </c>
      <c r="C29" s="99" t="s">
        <v>262</v>
      </c>
      <c r="D29" s="99" t="s">
        <v>263</v>
      </c>
      <c r="E29" s="100" t="s">
        <v>293</v>
      </c>
      <c r="F29" s="100" t="s">
        <v>262</v>
      </c>
      <c r="G29" s="101" t="s">
        <v>263</v>
      </c>
      <c r="H29" s="102" t="s">
        <v>294</v>
      </c>
      <c r="I29" s="102" t="s">
        <v>523</v>
      </c>
      <c r="J29" s="102" t="s">
        <v>263</v>
      </c>
      <c r="K29" s="103" t="s">
        <v>295</v>
      </c>
      <c r="L29" s="349" t="s">
        <v>262</v>
      </c>
      <c r="M29" s="104" t="s">
        <v>263</v>
      </c>
      <c r="N29" s="98" t="s">
        <v>296</v>
      </c>
      <c r="O29" s="98" t="s">
        <v>309</v>
      </c>
      <c r="Q29" s="92"/>
    </row>
    <row r="30" spans="1:22" ht="16" x14ac:dyDescent="0.2">
      <c r="A30" s="109" t="s">
        <v>188</v>
      </c>
      <c r="B30" s="87"/>
      <c r="C30" s="87"/>
      <c r="D30" s="117"/>
      <c r="E30" s="87"/>
      <c r="F30" s="87"/>
      <c r="G30" s="87"/>
      <c r="H30" s="87"/>
      <c r="I30" s="87"/>
      <c r="J30" s="87"/>
      <c r="K30" s="87"/>
      <c r="L30" s="347"/>
      <c r="M30" s="108"/>
      <c r="N30" s="87"/>
      <c r="O30" s="111"/>
      <c r="Q30" s="92"/>
      <c r="R30" s="350"/>
    </row>
    <row r="31" spans="1:22" ht="16" x14ac:dyDescent="0.2">
      <c r="A31" s="109"/>
      <c r="B31" s="111" t="s">
        <v>310</v>
      </c>
      <c r="C31" s="344" t="e">
        <f>C5-SUM(L20:L26)</f>
        <v>#DIV/0!</v>
      </c>
      <c r="D31" s="110" t="s">
        <v>299</v>
      </c>
      <c r="E31" s="111"/>
      <c r="F31" s="111"/>
      <c r="G31" s="111"/>
      <c r="H31" s="111"/>
      <c r="I31" s="111"/>
      <c r="J31" s="111"/>
      <c r="K31" s="111"/>
      <c r="L31" s="281"/>
      <c r="M31" s="112"/>
      <c r="N31" s="111"/>
      <c r="O31" s="111"/>
      <c r="Q31" s="92"/>
      <c r="R31" s="350"/>
    </row>
    <row r="32" spans="1:22" ht="32" x14ac:dyDescent="0.2">
      <c r="A32" s="109"/>
      <c r="B32" s="111"/>
      <c r="C32" s="281"/>
      <c r="D32" s="111"/>
      <c r="E32" s="111" t="s">
        <v>166</v>
      </c>
      <c r="F32" s="361" t="e">
        <f>C31*1000*'R2_MEFA'!O32/1000</f>
        <v>#DIV/0!</v>
      </c>
      <c r="G32" s="118" t="s">
        <v>299</v>
      </c>
      <c r="H32" s="111"/>
      <c r="I32" s="111"/>
      <c r="J32" s="111"/>
      <c r="K32" s="111"/>
      <c r="L32" s="281"/>
      <c r="M32" s="112"/>
      <c r="N32" s="111" t="s">
        <v>526</v>
      </c>
      <c r="O32" s="838">
        <v>2.5999999999999999E-2</v>
      </c>
      <c r="Q32" s="92"/>
    </row>
    <row r="33" spans="1:18" ht="16" x14ac:dyDescent="0.2">
      <c r="A33" s="109"/>
      <c r="B33" s="111"/>
      <c r="C33" s="281"/>
      <c r="D33" s="111"/>
      <c r="E33" s="111" t="s">
        <v>166</v>
      </c>
      <c r="F33" s="344" t="e">
        <f>F32*1000/O33</f>
        <v>#DIV/0!</v>
      </c>
      <c r="G33" s="118" t="s">
        <v>312</v>
      </c>
      <c r="H33" s="111"/>
      <c r="I33" s="111"/>
      <c r="J33" s="111"/>
      <c r="K33" s="111"/>
      <c r="L33" s="281"/>
      <c r="M33" s="112"/>
      <c r="N33" s="111" t="s">
        <v>527</v>
      </c>
      <c r="O33" s="838">
        <v>1.25</v>
      </c>
      <c r="Q33" s="92"/>
      <c r="R33" s="350"/>
    </row>
    <row r="34" spans="1:18" ht="16" x14ac:dyDescent="0.2">
      <c r="A34" s="109"/>
      <c r="B34" s="111"/>
      <c r="C34" s="281"/>
      <c r="D34" s="111"/>
      <c r="E34" s="111"/>
      <c r="F34" s="109"/>
      <c r="H34" s="111" t="s">
        <v>52</v>
      </c>
      <c r="I34" s="351" t="e">
        <f>Energy!O49</f>
        <v>#DIV/0!</v>
      </c>
      <c r="J34" s="111" t="s">
        <v>233</v>
      </c>
      <c r="K34" s="111"/>
      <c r="L34" s="281"/>
      <c r="M34" s="112"/>
      <c r="N34" s="111"/>
      <c r="O34" s="109"/>
      <c r="Q34" s="92"/>
      <c r="R34" s="352"/>
    </row>
    <row r="35" spans="1:18" ht="16" x14ac:dyDescent="0.2">
      <c r="A35" s="109"/>
      <c r="B35" s="111"/>
      <c r="C35" s="281"/>
      <c r="D35" s="111"/>
      <c r="E35" s="111"/>
      <c r="F35" s="110"/>
      <c r="G35" s="118"/>
      <c r="H35" s="111"/>
      <c r="I35" s="111"/>
      <c r="J35" s="111"/>
      <c r="K35" s="111" t="s">
        <v>528</v>
      </c>
      <c r="L35" s="281" t="e">
        <f>C31</f>
        <v>#DIV/0!</v>
      </c>
      <c r="M35" s="112" t="s">
        <v>299</v>
      </c>
      <c r="N35" s="111"/>
      <c r="O35" s="111"/>
    </row>
    <row r="36" spans="1:18" x14ac:dyDescent="0.2">
      <c r="A36" s="109"/>
      <c r="B36" s="111"/>
      <c r="C36" s="281"/>
      <c r="D36" s="111"/>
      <c r="E36" s="111"/>
      <c r="F36" s="118"/>
      <c r="G36" s="118"/>
      <c r="H36" s="111"/>
      <c r="I36" s="111"/>
      <c r="J36" s="111"/>
      <c r="K36" s="111"/>
      <c r="L36" s="281"/>
      <c r="M36" s="112"/>
      <c r="N36" s="111"/>
      <c r="O36" s="94"/>
    </row>
    <row r="37" spans="1:18" ht="16" x14ac:dyDescent="0.2">
      <c r="A37" s="107" t="s">
        <v>189</v>
      </c>
      <c r="B37" s="87"/>
      <c r="C37" s="347"/>
      <c r="D37" s="87"/>
      <c r="E37" s="87"/>
      <c r="F37" s="226"/>
      <c r="G37" s="226"/>
      <c r="H37" s="87"/>
      <c r="I37" s="87"/>
      <c r="J37" s="87"/>
      <c r="K37" s="87"/>
      <c r="L37" s="347"/>
      <c r="M37" s="108"/>
      <c r="N37" s="87"/>
      <c r="O37" s="111"/>
    </row>
    <row r="38" spans="1:18" ht="16" x14ac:dyDescent="0.2">
      <c r="A38" s="109"/>
      <c r="B38" s="111" t="s">
        <v>528</v>
      </c>
      <c r="C38" s="281" t="e">
        <f>L35</f>
        <v>#DIV/0!</v>
      </c>
      <c r="D38" s="111" t="s">
        <v>299</v>
      </c>
      <c r="E38" s="111"/>
      <c r="F38" s="118"/>
      <c r="G38" s="118"/>
      <c r="H38" s="111"/>
      <c r="I38" s="111"/>
      <c r="J38" s="111"/>
      <c r="K38" s="111"/>
      <c r="L38" s="281"/>
      <c r="M38" s="112"/>
      <c r="N38" s="111"/>
      <c r="O38" s="111"/>
    </row>
    <row r="39" spans="1:18" ht="16" x14ac:dyDescent="0.2">
      <c r="A39" s="109"/>
      <c r="B39" s="111"/>
      <c r="C39" s="281"/>
      <c r="D39" s="111"/>
      <c r="F39" s="118"/>
      <c r="G39" s="118"/>
      <c r="H39" s="111" t="s">
        <v>529</v>
      </c>
      <c r="I39" s="111">
        <v>0</v>
      </c>
      <c r="J39" s="111" t="s">
        <v>312</v>
      </c>
      <c r="K39" s="111"/>
      <c r="L39" s="281"/>
      <c r="M39" s="112"/>
      <c r="N39" s="111"/>
      <c r="O39" s="111"/>
    </row>
    <row r="40" spans="1:18" ht="16" x14ac:dyDescent="0.2">
      <c r="A40" s="109"/>
      <c r="B40" s="111"/>
      <c r="C40" s="281"/>
      <c r="D40" s="111"/>
      <c r="F40" s="118"/>
      <c r="G40" s="118"/>
      <c r="H40" s="111" t="s">
        <v>529</v>
      </c>
      <c r="I40" s="111">
        <v>0</v>
      </c>
      <c r="J40" s="111" t="s">
        <v>299</v>
      </c>
      <c r="K40" s="111"/>
      <c r="L40" s="281"/>
      <c r="M40" s="112"/>
      <c r="N40" s="111"/>
      <c r="O40" s="111"/>
    </row>
    <row r="41" spans="1:18" ht="16" x14ac:dyDescent="0.2">
      <c r="A41" s="109"/>
      <c r="B41" s="111"/>
      <c r="C41" s="281"/>
      <c r="D41" s="111"/>
      <c r="F41" s="118"/>
      <c r="G41" s="118"/>
      <c r="H41" s="111" t="s">
        <v>52</v>
      </c>
      <c r="I41" s="351" t="e">
        <f>Energy!O50</f>
        <v>#DIV/0!</v>
      </c>
      <c r="J41" s="111" t="s">
        <v>233</v>
      </c>
      <c r="K41" s="111"/>
      <c r="L41" s="281"/>
      <c r="M41" s="112"/>
      <c r="N41" s="111"/>
      <c r="O41" s="111"/>
    </row>
    <row r="42" spans="1:18" ht="16" x14ac:dyDescent="0.2">
      <c r="A42" s="109"/>
      <c r="B42" s="111"/>
      <c r="C42" s="281"/>
      <c r="D42" s="111"/>
      <c r="F42" s="118"/>
      <c r="G42" s="118"/>
      <c r="H42" s="111"/>
      <c r="I42" s="111"/>
      <c r="J42" s="111"/>
      <c r="K42" s="111" t="s">
        <v>530</v>
      </c>
      <c r="L42" s="636">
        <f>IF(Macro!D14=TRUE,C5*Battery!E19,0)</f>
        <v>0</v>
      </c>
      <c r="M42" s="112" t="s">
        <v>299</v>
      </c>
      <c r="N42" s="111"/>
      <c r="O42" s="111"/>
    </row>
    <row r="43" spans="1:18" ht="16" x14ac:dyDescent="0.2">
      <c r="A43" s="109"/>
      <c r="B43" s="111"/>
      <c r="C43" s="281"/>
      <c r="D43" s="111"/>
      <c r="F43" s="118"/>
      <c r="G43" s="118"/>
      <c r="H43" s="111"/>
      <c r="I43" s="111"/>
      <c r="J43" s="111"/>
      <c r="K43" s="111" t="s">
        <v>528</v>
      </c>
      <c r="L43" s="353" t="e">
        <f>C38-L42-L44</f>
        <v>#DIV/0!</v>
      </c>
      <c r="M43" s="112" t="s">
        <v>299</v>
      </c>
      <c r="N43" s="111"/>
      <c r="O43" s="111"/>
    </row>
    <row r="44" spans="1:18" ht="16" x14ac:dyDescent="0.2">
      <c r="A44" s="109"/>
      <c r="B44" s="111"/>
      <c r="C44" s="281"/>
      <c r="D44" s="111"/>
      <c r="F44" s="118"/>
      <c r="G44" s="118"/>
      <c r="H44" s="111"/>
      <c r="I44" s="111"/>
      <c r="J44" s="111"/>
      <c r="K44" s="111" t="s">
        <v>531</v>
      </c>
      <c r="L44" s="353" t="e">
        <f>IF(Macro!D14=FALSE,C5*Battery!E19,0)</f>
        <v>#DIV/0!</v>
      </c>
      <c r="M44" s="112" t="s">
        <v>299</v>
      </c>
      <c r="N44" s="111" t="s">
        <v>532</v>
      </c>
      <c r="O44" s="111"/>
    </row>
    <row r="45" spans="1:18" x14ac:dyDescent="0.2">
      <c r="A45" s="114"/>
      <c r="B45" s="94"/>
      <c r="C45" s="354"/>
      <c r="D45" s="94"/>
      <c r="E45" s="227"/>
      <c r="F45" s="223"/>
      <c r="G45" s="223"/>
      <c r="H45" s="94"/>
      <c r="I45" s="94"/>
      <c r="J45" s="94"/>
      <c r="K45" s="94"/>
      <c r="L45" s="354"/>
      <c r="M45" s="228"/>
      <c r="N45" s="94"/>
      <c r="O45" s="94"/>
    </row>
    <row r="46" spans="1:18" ht="16" x14ac:dyDescent="0.2">
      <c r="A46" s="109" t="s">
        <v>197</v>
      </c>
      <c r="B46" s="111"/>
      <c r="C46" s="281"/>
      <c r="D46" s="111"/>
      <c r="F46" s="118"/>
      <c r="G46" s="118"/>
      <c r="H46" s="111"/>
      <c r="I46" s="111"/>
      <c r="J46" s="111"/>
      <c r="K46" s="111"/>
      <c r="L46" s="281"/>
      <c r="M46" s="112"/>
      <c r="N46" s="111"/>
      <c r="O46" s="111"/>
    </row>
    <row r="47" spans="1:18" ht="16" x14ac:dyDescent="0.2">
      <c r="A47" s="109"/>
      <c r="B47" s="111" t="s">
        <v>531</v>
      </c>
      <c r="C47" s="281" t="e">
        <f>(L44)/O47</f>
        <v>#DIV/0!</v>
      </c>
      <c r="D47" s="111" t="s">
        <v>312</v>
      </c>
      <c r="F47" s="118"/>
      <c r="G47" s="118"/>
      <c r="H47" s="111"/>
      <c r="I47" s="111"/>
      <c r="J47" s="111"/>
      <c r="K47" s="111"/>
      <c r="L47" s="281"/>
      <c r="M47" s="112"/>
      <c r="N47" s="111" t="s">
        <v>533</v>
      </c>
      <c r="O47" s="838">
        <v>1.98E-3</v>
      </c>
    </row>
    <row r="48" spans="1:18" ht="16" x14ac:dyDescent="0.2">
      <c r="A48" s="109"/>
      <c r="B48" s="111"/>
      <c r="C48" s="281"/>
      <c r="D48" s="111"/>
      <c r="F48" s="118"/>
      <c r="G48" s="118"/>
      <c r="H48" s="111" t="s">
        <v>52</v>
      </c>
      <c r="I48" s="344" t="e">
        <f>IF(Macro!D14=TRUE,0,Energy!O51)</f>
        <v>#DIV/0!</v>
      </c>
      <c r="J48" s="111" t="s">
        <v>233</v>
      </c>
      <c r="K48" s="111"/>
      <c r="L48" s="281"/>
      <c r="M48" s="112"/>
      <c r="N48" s="111"/>
      <c r="O48" s="111"/>
    </row>
    <row r="49" spans="1:15" ht="16" x14ac:dyDescent="0.2">
      <c r="A49" s="109"/>
      <c r="B49" s="111"/>
      <c r="C49" s="281"/>
      <c r="D49" s="111"/>
      <c r="F49" s="118"/>
      <c r="G49" s="118"/>
      <c r="H49" s="111"/>
      <c r="I49" s="111"/>
      <c r="J49" s="111"/>
      <c r="K49" s="111" t="s">
        <v>531</v>
      </c>
      <c r="L49" s="281" t="e">
        <f>C47</f>
        <v>#DIV/0!</v>
      </c>
      <c r="M49" s="112" t="s">
        <v>312</v>
      </c>
      <c r="N49" s="111"/>
      <c r="O49" s="111"/>
    </row>
    <row r="50" spans="1:15" x14ac:dyDescent="0.2">
      <c r="A50" s="109"/>
      <c r="B50" s="111"/>
      <c r="C50" s="281"/>
      <c r="D50" s="111"/>
      <c r="F50" s="118"/>
      <c r="G50" s="118"/>
      <c r="H50" s="111"/>
      <c r="I50" s="111"/>
      <c r="J50" s="111"/>
      <c r="K50" s="111"/>
      <c r="L50" s="281"/>
      <c r="M50" s="112"/>
      <c r="N50" s="111"/>
      <c r="O50" s="111"/>
    </row>
    <row r="51" spans="1:15" ht="16" x14ac:dyDescent="0.2">
      <c r="A51" s="107" t="s">
        <v>193</v>
      </c>
      <c r="B51" s="87"/>
      <c r="C51" s="347"/>
      <c r="D51" s="87"/>
      <c r="E51" s="627"/>
      <c r="F51" s="117"/>
      <c r="G51" s="117"/>
      <c r="H51" s="87"/>
      <c r="I51" s="87"/>
      <c r="J51" s="87"/>
      <c r="K51" s="87"/>
      <c r="L51" s="347"/>
      <c r="M51" s="108"/>
      <c r="N51" s="87"/>
      <c r="O51" s="87"/>
    </row>
    <row r="52" spans="1:15" ht="16" x14ac:dyDescent="0.2">
      <c r="A52" s="109"/>
      <c r="B52" s="111" t="s">
        <v>530</v>
      </c>
      <c r="C52" s="281">
        <f>IF(Macro!D14=TRUE,L42,0)</f>
        <v>0</v>
      </c>
      <c r="D52" s="111" t="s">
        <v>299</v>
      </c>
      <c r="F52" s="110"/>
      <c r="G52" s="110"/>
      <c r="H52" s="111"/>
      <c r="I52" s="111"/>
      <c r="J52" s="111"/>
      <c r="K52" s="111"/>
      <c r="L52" s="281"/>
      <c r="M52" s="112"/>
      <c r="N52" s="111"/>
      <c r="O52" s="111"/>
    </row>
    <row r="53" spans="1:15" ht="16" x14ac:dyDescent="0.2">
      <c r="A53" s="109"/>
      <c r="B53" s="111"/>
      <c r="C53" s="281"/>
      <c r="D53" s="111"/>
      <c r="F53" s="110"/>
      <c r="G53" s="110"/>
      <c r="H53" s="111" t="s">
        <v>52</v>
      </c>
      <c r="I53" s="344">
        <f>Energy!O57</f>
        <v>0</v>
      </c>
      <c r="J53" s="111" t="s">
        <v>233</v>
      </c>
      <c r="K53" s="111"/>
      <c r="L53" s="281"/>
      <c r="M53" s="112"/>
      <c r="N53" s="111"/>
      <c r="O53" s="111"/>
    </row>
    <row r="54" spans="1:15" ht="16" x14ac:dyDescent="0.2">
      <c r="A54" s="109"/>
      <c r="B54" s="111"/>
      <c r="C54" s="281"/>
      <c r="D54" s="111"/>
      <c r="F54" s="110"/>
      <c r="G54" s="110"/>
      <c r="H54" s="111"/>
      <c r="I54" s="111"/>
      <c r="J54" s="111"/>
      <c r="K54" s="111" t="s">
        <v>534</v>
      </c>
      <c r="L54" s="281">
        <f>C52*Efficiencies!E46</f>
        <v>0</v>
      </c>
      <c r="M54" s="112" t="s">
        <v>299</v>
      </c>
      <c r="N54" s="111"/>
      <c r="O54" s="111"/>
    </row>
    <row r="55" spans="1:15" x14ac:dyDescent="0.2">
      <c r="A55" s="114"/>
      <c r="B55" s="94"/>
      <c r="C55" s="354"/>
      <c r="D55" s="94"/>
      <c r="E55" s="227"/>
      <c r="F55" s="115"/>
      <c r="G55" s="115"/>
      <c r="H55" s="94"/>
      <c r="I55" s="94"/>
      <c r="J55" s="94"/>
      <c r="K55" s="94"/>
      <c r="L55" s="354"/>
      <c r="M55" s="228"/>
      <c r="N55" s="94"/>
      <c r="O55" s="94"/>
    </row>
    <row r="56" spans="1:15" ht="16" x14ac:dyDescent="0.2">
      <c r="A56" s="109" t="s">
        <v>190</v>
      </c>
      <c r="B56" s="111"/>
      <c r="C56" s="281"/>
      <c r="D56" s="111"/>
      <c r="F56" s="118"/>
      <c r="G56" s="118"/>
      <c r="H56" s="111"/>
      <c r="I56" s="111"/>
      <c r="J56" s="111"/>
      <c r="K56" s="111"/>
      <c r="L56" s="281"/>
      <c r="M56" s="112"/>
      <c r="N56" s="111"/>
      <c r="O56" s="111"/>
    </row>
    <row r="57" spans="1:15" ht="16" x14ac:dyDescent="0.2">
      <c r="A57" s="109"/>
      <c r="B57" s="111" t="s">
        <v>528</v>
      </c>
      <c r="C57" s="281" t="e">
        <f>L43</f>
        <v>#DIV/0!</v>
      </c>
      <c r="D57" s="111" t="s">
        <v>299</v>
      </c>
      <c r="F57" s="118"/>
      <c r="G57" s="118"/>
      <c r="H57" s="111"/>
      <c r="I57" s="111"/>
      <c r="J57" s="111"/>
      <c r="K57" s="111"/>
      <c r="L57" s="281"/>
      <c r="M57" s="112"/>
      <c r="N57" s="111"/>
      <c r="O57" s="111"/>
    </row>
    <row r="58" spans="1:15" ht="16" x14ac:dyDescent="0.2">
      <c r="A58" s="109"/>
      <c r="B58" s="111"/>
      <c r="C58" s="281"/>
      <c r="D58" s="111"/>
      <c r="F58" s="118"/>
      <c r="G58" s="118"/>
      <c r="H58" s="111" t="s">
        <v>52</v>
      </c>
      <c r="I58" s="351">
        <v>0</v>
      </c>
      <c r="J58" s="111" t="s">
        <v>233</v>
      </c>
      <c r="K58" s="111"/>
      <c r="L58" s="281"/>
      <c r="M58" s="112"/>
      <c r="N58" s="111"/>
      <c r="O58" s="111"/>
    </row>
    <row r="59" spans="1:15" ht="16" x14ac:dyDescent="0.2">
      <c r="A59" s="109"/>
      <c r="B59" s="111"/>
      <c r="C59" s="281"/>
      <c r="D59" s="111"/>
      <c r="F59" s="118"/>
      <c r="G59" s="118"/>
      <c r="H59" s="111"/>
      <c r="I59" s="111"/>
      <c r="J59" s="111"/>
      <c r="K59" s="111" t="s">
        <v>535</v>
      </c>
      <c r="L59" s="691" t="e">
        <f>$C$5*Battery!E26*Efficiencies!E47</f>
        <v>#DIV/0!</v>
      </c>
      <c r="M59" s="112" t="s">
        <v>299</v>
      </c>
      <c r="N59" s="111"/>
      <c r="O59" s="111"/>
    </row>
    <row r="60" spans="1:15" ht="16" x14ac:dyDescent="0.2">
      <c r="A60" s="109"/>
      <c r="B60" s="111"/>
      <c r="C60" s="281"/>
      <c r="D60" s="111"/>
      <c r="F60" s="118"/>
      <c r="G60" s="118"/>
      <c r="H60" s="111"/>
      <c r="I60" s="111"/>
      <c r="J60" s="111"/>
      <c r="K60" s="111" t="s">
        <v>536</v>
      </c>
      <c r="L60" s="691" t="e">
        <f>C5*Battery!E20*(1-K7)*Efficiencies!E47</f>
        <v>#DIV/0!</v>
      </c>
      <c r="M60" s="112" t="s">
        <v>299</v>
      </c>
      <c r="N60" s="111" t="s">
        <v>537</v>
      </c>
      <c r="O60" s="111"/>
    </row>
    <row r="61" spans="1:15" ht="16" x14ac:dyDescent="0.2">
      <c r="A61" s="109"/>
      <c r="B61" s="111"/>
      <c r="C61" s="281"/>
      <c r="D61" s="111"/>
      <c r="F61" s="118"/>
      <c r="G61" s="118"/>
      <c r="H61" s="111"/>
      <c r="I61" s="111"/>
      <c r="J61" s="111"/>
      <c r="K61" s="111" t="s">
        <v>528</v>
      </c>
      <c r="L61" s="355" t="e">
        <f>C57-L59-L60</f>
        <v>#DIV/0!</v>
      </c>
      <c r="M61" s="112" t="s">
        <v>299</v>
      </c>
      <c r="N61" s="111"/>
      <c r="O61" s="111"/>
    </row>
    <row r="62" spans="1:15" ht="16.25" customHeight="1" x14ac:dyDescent="0.2">
      <c r="A62" s="114"/>
      <c r="B62" s="94"/>
      <c r="C62" s="354"/>
      <c r="D62" s="94"/>
      <c r="E62" s="94"/>
      <c r="F62" s="229"/>
      <c r="G62" s="229"/>
      <c r="H62" s="94"/>
      <c r="I62" s="94"/>
      <c r="J62" s="94"/>
      <c r="K62" s="94"/>
      <c r="L62" s="356"/>
      <c r="M62" s="230"/>
      <c r="N62" s="94"/>
      <c r="O62" s="94"/>
    </row>
    <row r="63" spans="1:15" ht="16" x14ac:dyDescent="0.2">
      <c r="A63" s="109" t="s">
        <v>191</v>
      </c>
      <c r="B63" s="111"/>
      <c r="C63" s="281"/>
      <c r="D63" s="111"/>
      <c r="E63" s="231"/>
      <c r="F63" s="119"/>
      <c r="G63" s="119"/>
      <c r="H63" s="111"/>
      <c r="I63" s="111"/>
      <c r="J63" s="111"/>
      <c r="K63" s="111"/>
      <c r="L63" s="348"/>
      <c r="M63" s="232"/>
      <c r="N63" s="111"/>
      <c r="O63" s="179"/>
    </row>
    <row r="64" spans="1:15" ht="16" x14ac:dyDescent="0.2">
      <c r="A64" s="109"/>
      <c r="B64" s="111" t="s">
        <v>528</v>
      </c>
      <c r="C64" s="281" t="e">
        <f>L61</f>
        <v>#DIV/0!</v>
      </c>
      <c r="D64" s="111" t="s">
        <v>299</v>
      </c>
      <c r="E64" s="231"/>
      <c r="F64" s="119"/>
      <c r="G64" s="119"/>
      <c r="H64" s="111"/>
      <c r="I64" s="111"/>
      <c r="J64" s="111"/>
      <c r="K64" s="111"/>
      <c r="L64" s="348"/>
      <c r="M64" s="232"/>
      <c r="N64" s="111"/>
      <c r="O64" s="179"/>
    </row>
    <row r="65" spans="1:15" ht="16" x14ac:dyDescent="0.2">
      <c r="A65" s="109"/>
      <c r="B65" s="111"/>
      <c r="C65" s="281"/>
      <c r="D65" s="111"/>
      <c r="E65" s="231"/>
      <c r="F65" s="119"/>
      <c r="G65" s="119"/>
      <c r="H65" s="111" t="s">
        <v>52</v>
      </c>
      <c r="I65" s="351" t="e">
        <f>Energy!O53</f>
        <v>#DIV/0!</v>
      </c>
      <c r="J65" s="111" t="s">
        <v>233</v>
      </c>
      <c r="K65" s="111"/>
      <c r="L65" s="348"/>
      <c r="M65" s="232"/>
      <c r="N65" s="111"/>
      <c r="O65" s="179"/>
    </row>
    <row r="66" spans="1:15" ht="16" x14ac:dyDescent="0.2">
      <c r="A66" s="109"/>
      <c r="B66" s="111"/>
      <c r="C66" s="281"/>
      <c r="D66" s="111"/>
      <c r="E66" s="231"/>
      <c r="F66" s="119"/>
      <c r="G66" s="119"/>
      <c r="H66" s="111"/>
      <c r="I66" s="111"/>
      <c r="J66" s="111"/>
      <c r="K66" s="111" t="s">
        <v>538</v>
      </c>
      <c r="L66" s="353" t="e">
        <f>$C$5*Battery!E25*Efficiencies!E48</f>
        <v>#DIV/0!</v>
      </c>
      <c r="M66" s="232" t="s">
        <v>299</v>
      </c>
      <c r="N66" s="111"/>
      <c r="O66" s="179"/>
    </row>
    <row r="67" spans="1:15" ht="16" x14ac:dyDescent="0.2">
      <c r="A67" s="109"/>
      <c r="B67" s="111"/>
      <c r="C67" s="281"/>
      <c r="D67" s="111"/>
      <c r="E67" s="231"/>
      <c r="F67" s="119"/>
      <c r="G67" s="119"/>
      <c r="H67" s="111"/>
      <c r="I67" s="111"/>
      <c r="J67" s="111"/>
      <c r="K67" s="111" t="s">
        <v>539</v>
      </c>
      <c r="L67" s="353" t="e">
        <f>$C$5*Battery!E27*Efficiencies!E49</f>
        <v>#DIV/0!</v>
      </c>
      <c r="M67" s="232" t="s">
        <v>299</v>
      </c>
      <c r="N67" s="111" t="s">
        <v>540</v>
      </c>
      <c r="O67" s="111"/>
    </row>
    <row r="68" spans="1:15" ht="32" x14ac:dyDescent="0.2">
      <c r="A68" s="109"/>
      <c r="B68" s="111"/>
      <c r="C68" s="281"/>
      <c r="D68" s="111"/>
      <c r="E68" s="111"/>
      <c r="F68" s="111"/>
      <c r="G68" s="111"/>
      <c r="H68" s="111"/>
      <c r="I68" s="120"/>
      <c r="J68" s="120"/>
      <c r="K68" s="111" t="s">
        <v>178</v>
      </c>
      <c r="L68" s="353" t="e">
        <f>$C$5*Battery!E28*Efficiencies!E49</f>
        <v>#DIV/0!</v>
      </c>
      <c r="M68" s="232" t="s">
        <v>299</v>
      </c>
      <c r="N68" s="111" t="s">
        <v>541</v>
      </c>
      <c r="O68" s="111"/>
    </row>
    <row r="69" spans="1:15" ht="16" x14ac:dyDescent="0.2">
      <c r="B69" s="111"/>
      <c r="C69" s="281"/>
      <c r="D69" s="111"/>
      <c r="E69" s="111"/>
      <c r="F69" s="111"/>
      <c r="G69" s="111"/>
      <c r="H69" s="111"/>
      <c r="I69" s="120"/>
      <c r="J69" s="120"/>
      <c r="K69" s="111" t="s">
        <v>542</v>
      </c>
      <c r="L69" s="353" t="e">
        <f>$C$5*Battery!E29*Efficiencies!E48</f>
        <v>#DIV/0!</v>
      </c>
      <c r="M69" s="233"/>
      <c r="N69" s="111"/>
      <c r="O69" s="111"/>
    </row>
    <row r="70" spans="1:15" ht="16" x14ac:dyDescent="0.2">
      <c r="B70" s="111"/>
      <c r="C70" s="281"/>
      <c r="D70" s="111"/>
      <c r="E70" s="111"/>
      <c r="F70" s="111"/>
      <c r="G70" s="111"/>
      <c r="H70" s="111"/>
      <c r="I70" s="120"/>
      <c r="J70" s="120"/>
      <c r="K70" s="111" t="s">
        <v>528</v>
      </c>
      <c r="L70" s="353" t="e">
        <f>C64-L66-L67-L68</f>
        <v>#DIV/0!</v>
      </c>
      <c r="M70" s="233" t="s">
        <v>299</v>
      </c>
      <c r="N70" s="111"/>
      <c r="O70" s="111"/>
    </row>
    <row r="71" spans="1:15" x14ac:dyDescent="0.2">
      <c r="A71" s="227"/>
      <c r="B71" s="94"/>
      <c r="C71" s="354"/>
      <c r="D71" s="94"/>
      <c r="E71" s="94"/>
      <c r="F71" s="94"/>
      <c r="G71" s="94"/>
      <c r="H71" s="94"/>
      <c r="I71" s="121"/>
      <c r="J71" s="121"/>
      <c r="K71" s="94"/>
      <c r="L71" s="357"/>
      <c r="M71" s="234"/>
      <c r="N71" s="94"/>
      <c r="O71" s="94"/>
    </row>
    <row r="72" spans="1:15" ht="16" x14ac:dyDescent="0.2">
      <c r="A72" s="71" t="s">
        <v>543</v>
      </c>
      <c r="B72" s="111"/>
      <c r="C72" s="281"/>
      <c r="D72" s="111"/>
      <c r="E72" s="111"/>
      <c r="F72" s="111"/>
      <c r="G72" s="111"/>
      <c r="H72" s="111"/>
      <c r="I72" s="120"/>
      <c r="J72" s="120"/>
      <c r="K72" s="111"/>
      <c r="L72" s="353"/>
      <c r="M72" s="233"/>
      <c r="N72" s="111"/>
      <c r="O72" s="111"/>
    </row>
    <row r="73" spans="1:15" ht="16" x14ac:dyDescent="0.2">
      <c r="B73" s="111" t="s">
        <v>528</v>
      </c>
      <c r="C73" s="281" t="e">
        <f>L70</f>
        <v>#DIV/0!</v>
      </c>
      <c r="D73" s="111" t="s">
        <v>299</v>
      </c>
      <c r="E73" s="111"/>
      <c r="F73" s="111"/>
      <c r="G73" s="111"/>
      <c r="H73" s="111"/>
      <c r="I73" s="120"/>
      <c r="J73" s="120"/>
      <c r="K73" s="111"/>
      <c r="L73" s="353"/>
      <c r="M73" s="233"/>
      <c r="N73" s="111"/>
      <c r="O73" s="111"/>
    </row>
    <row r="74" spans="1:15" ht="16" x14ac:dyDescent="0.2">
      <c r="B74" s="111"/>
      <c r="C74" s="281"/>
      <c r="D74" s="111"/>
      <c r="E74" s="111"/>
      <c r="F74" s="111"/>
      <c r="G74" s="111"/>
      <c r="H74" s="111" t="s">
        <v>52</v>
      </c>
      <c r="I74" s="351" t="e">
        <f>Energy!O54</f>
        <v>#DIV/0!</v>
      </c>
      <c r="J74" s="111" t="s">
        <v>233</v>
      </c>
      <c r="K74" s="111"/>
      <c r="L74" s="281"/>
      <c r="N74" s="111" t="s">
        <v>544</v>
      </c>
      <c r="O74" s="111"/>
    </row>
    <row r="75" spans="1:15" ht="16" x14ac:dyDescent="0.2">
      <c r="B75" s="111"/>
      <c r="C75" s="281"/>
      <c r="D75" s="111"/>
      <c r="E75" s="111"/>
      <c r="F75" s="111"/>
      <c r="G75" s="111"/>
      <c r="H75" s="111"/>
      <c r="I75" s="111"/>
      <c r="J75" s="111"/>
      <c r="K75" s="111" t="s">
        <v>528</v>
      </c>
      <c r="L75" s="281" t="e">
        <f>C73</f>
        <v>#DIV/0!</v>
      </c>
      <c r="M75" s="213" t="s">
        <v>299</v>
      </c>
      <c r="N75" s="111"/>
      <c r="O75" s="111"/>
    </row>
    <row r="76" spans="1:15" x14ac:dyDescent="0.2">
      <c r="A76" s="227"/>
      <c r="B76" s="94"/>
      <c r="C76" s="354"/>
      <c r="D76" s="94"/>
      <c r="E76" s="94"/>
      <c r="F76" s="94"/>
      <c r="G76" s="94"/>
      <c r="H76" s="94"/>
      <c r="I76" s="94"/>
      <c r="J76" s="94"/>
      <c r="K76" s="94"/>
      <c r="L76" s="354"/>
      <c r="M76" s="235"/>
      <c r="N76" s="94"/>
      <c r="O76" s="94"/>
    </row>
    <row r="77" spans="1:15" ht="16" x14ac:dyDescent="0.2">
      <c r="A77" s="953" t="s">
        <v>1060</v>
      </c>
      <c r="B77" s="111"/>
      <c r="C77" s="281"/>
      <c r="D77" s="111"/>
      <c r="E77" s="111"/>
      <c r="F77" s="111"/>
      <c r="G77" s="111"/>
      <c r="H77" s="111"/>
      <c r="I77" s="111"/>
      <c r="J77" s="111"/>
      <c r="K77" s="111"/>
      <c r="L77" s="281"/>
      <c r="N77" s="111"/>
      <c r="O77" s="111"/>
    </row>
    <row r="78" spans="1:15" ht="16" x14ac:dyDescent="0.2">
      <c r="B78" s="111" t="s">
        <v>528</v>
      </c>
      <c r="C78" s="281" t="e">
        <f>L75</f>
        <v>#DIV/0!</v>
      </c>
      <c r="D78" s="111" t="s">
        <v>299</v>
      </c>
      <c r="E78" s="111"/>
      <c r="F78" s="111"/>
      <c r="G78" s="111"/>
      <c r="H78" s="111"/>
      <c r="I78" s="111"/>
      <c r="J78" s="111"/>
      <c r="K78" s="111"/>
      <c r="L78" s="281"/>
      <c r="N78" s="111"/>
      <c r="O78" s="111"/>
    </row>
    <row r="79" spans="1:15" ht="16" x14ac:dyDescent="0.2">
      <c r="B79" s="111"/>
      <c r="C79" s="281"/>
      <c r="D79" s="111"/>
      <c r="E79" s="111"/>
      <c r="F79" s="111"/>
      <c r="G79" s="111"/>
      <c r="H79" s="111" t="s">
        <v>545</v>
      </c>
      <c r="I79" s="351" t="e">
        <f>Energy!O55</f>
        <v>#DIV/0!</v>
      </c>
      <c r="J79" s="111" t="s">
        <v>233</v>
      </c>
      <c r="K79" s="111"/>
      <c r="L79" s="281"/>
      <c r="N79" s="111"/>
      <c r="O79" s="111"/>
    </row>
    <row r="80" spans="1:15" ht="32" x14ac:dyDescent="0.2">
      <c r="B80" s="111"/>
      <c r="C80" s="281"/>
      <c r="D80" s="111"/>
      <c r="E80" s="111"/>
      <c r="F80" s="111"/>
      <c r="G80" s="111"/>
      <c r="H80" s="111"/>
      <c r="I80" s="111"/>
      <c r="J80" s="111"/>
      <c r="K80" s="111" t="s">
        <v>546</v>
      </c>
      <c r="L80" s="353" t="e">
        <f>($C$5*SUM(Battery!E10:E13,Battery!E16))*Efficiencies!E50+$C$5*Battery!E9*'R2_MEFA'!K6+$C$5*Battery!E15*'R2_MEFA'!K5+$C$5*Battery!E20*'R2_MEFA'!K7</f>
        <v>#DIV/0!</v>
      </c>
      <c r="M80" s="232" t="s">
        <v>299</v>
      </c>
      <c r="N80" s="111" t="s">
        <v>547</v>
      </c>
      <c r="O80" s="111"/>
    </row>
    <row r="81" spans="1:16" ht="16" x14ac:dyDescent="0.2">
      <c r="B81" s="111"/>
      <c r="C81" s="281"/>
      <c r="D81" s="111"/>
      <c r="E81" s="111"/>
      <c r="F81" s="111"/>
      <c r="G81" s="111"/>
      <c r="H81" s="111"/>
      <c r="I81" s="111"/>
      <c r="J81" s="111"/>
      <c r="K81" s="111" t="s">
        <v>548</v>
      </c>
      <c r="L81" s="281" t="e">
        <f>C78-L80</f>
        <v>#DIV/0!</v>
      </c>
      <c r="M81" s="213" t="s">
        <v>299</v>
      </c>
      <c r="N81" s="111" t="s">
        <v>549</v>
      </c>
      <c r="O81" s="111"/>
    </row>
    <row r="82" spans="1:16" x14ac:dyDescent="0.2">
      <c r="A82" s="227"/>
      <c r="B82" s="94"/>
      <c r="C82" s="354"/>
      <c r="D82" s="94"/>
      <c r="E82" s="94"/>
      <c r="F82" s="94"/>
      <c r="G82" s="94"/>
      <c r="H82" s="94"/>
      <c r="I82" s="94"/>
      <c r="J82" s="94"/>
      <c r="K82" s="94"/>
      <c r="L82" s="354"/>
      <c r="M82" s="235"/>
      <c r="N82" s="94"/>
      <c r="O82" s="94"/>
    </row>
    <row r="83" spans="1:16" ht="16" x14ac:dyDescent="0.2">
      <c r="A83" s="71" t="s">
        <v>550</v>
      </c>
      <c r="B83" s="111"/>
      <c r="C83" s="281"/>
      <c r="D83" s="111"/>
      <c r="E83" s="111"/>
      <c r="F83" s="111"/>
      <c r="G83" s="111"/>
      <c r="H83" s="111"/>
      <c r="I83" s="111"/>
      <c r="J83" s="111"/>
      <c r="K83" s="111"/>
      <c r="L83" s="281"/>
      <c r="N83" s="111"/>
      <c r="O83" s="111"/>
    </row>
    <row r="84" spans="1:16" ht="16" x14ac:dyDescent="0.2">
      <c r="B84" s="111" t="s">
        <v>548</v>
      </c>
      <c r="C84" s="281" t="e">
        <f>L81</f>
        <v>#DIV/0!</v>
      </c>
      <c r="D84" s="111" t="s">
        <v>299</v>
      </c>
      <c r="E84" s="111"/>
      <c r="F84" s="111"/>
      <c r="G84" s="111"/>
      <c r="H84" s="111"/>
      <c r="I84" s="111"/>
      <c r="J84" s="111"/>
      <c r="K84" s="111"/>
      <c r="L84" s="281"/>
      <c r="N84" s="111"/>
      <c r="O84" s="111"/>
    </row>
    <row r="85" spans="1:16" ht="16" x14ac:dyDescent="0.2">
      <c r="A85" s="109"/>
      <c r="B85" s="111"/>
      <c r="C85" s="281"/>
      <c r="D85" s="111"/>
      <c r="E85" s="111"/>
      <c r="F85" s="111"/>
      <c r="G85" s="111"/>
      <c r="H85" s="111" t="s">
        <v>52</v>
      </c>
      <c r="I85" s="351" t="e">
        <f>Energy!O56</f>
        <v>#DIV/0!</v>
      </c>
      <c r="J85" s="111" t="s">
        <v>233</v>
      </c>
      <c r="K85" s="111"/>
      <c r="L85" s="348"/>
      <c r="M85" s="232"/>
      <c r="N85" s="111"/>
      <c r="O85" s="111"/>
    </row>
    <row r="86" spans="1:16" ht="16" x14ac:dyDescent="0.2">
      <c r="A86" s="109"/>
      <c r="B86" s="111"/>
      <c r="C86" s="111"/>
      <c r="D86" s="111"/>
      <c r="E86" s="111"/>
      <c r="F86" s="111"/>
      <c r="G86" s="111"/>
      <c r="H86" s="111"/>
      <c r="I86" s="111"/>
      <c r="J86" s="111"/>
      <c r="K86" s="111" t="s">
        <v>551</v>
      </c>
      <c r="L86" s="353" t="e">
        <f>C5*Battery!E9*(1-K6)*Efficiencies!E52</f>
        <v>#DIV/0!</v>
      </c>
      <c r="M86" s="232" t="s">
        <v>299</v>
      </c>
      <c r="N86" s="111" t="s">
        <v>537</v>
      </c>
      <c r="O86" s="111"/>
    </row>
    <row r="87" spans="1:16" ht="16" x14ac:dyDescent="0.2">
      <c r="A87" s="109"/>
      <c r="B87" s="111"/>
      <c r="C87" s="111"/>
      <c r="D87" s="111"/>
      <c r="E87" s="111"/>
      <c r="F87" s="111"/>
      <c r="G87" s="111"/>
      <c r="H87" s="111"/>
      <c r="I87" s="111"/>
      <c r="J87" s="111"/>
      <c r="K87" s="111" t="s">
        <v>245</v>
      </c>
      <c r="L87" s="353" t="e">
        <f>C5*Battery!E15*(1-K5)*Efficiencies!E51</f>
        <v>#DIV/0!</v>
      </c>
      <c r="M87" s="232" t="s">
        <v>299</v>
      </c>
      <c r="N87" s="111" t="s">
        <v>537</v>
      </c>
      <c r="O87" s="111"/>
    </row>
    <row r="88" spans="1:16" ht="32" x14ac:dyDescent="0.2">
      <c r="A88" s="109"/>
      <c r="B88" s="111"/>
      <c r="C88" s="111"/>
      <c r="D88" s="111"/>
      <c r="E88" s="111"/>
      <c r="F88" s="111"/>
      <c r="G88" s="111"/>
      <c r="H88" s="111"/>
      <c r="I88" s="111"/>
      <c r="J88" s="111"/>
      <c r="K88" s="111" t="s">
        <v>552</v>
      </c>
      <c r="L88" s="353" t="e">
        <f>C84-L86-L87</f>
        <v>#DIV/0!</v>
      </c>
      <c r="M88" s="232" t="s">
        <v>299</v>
      </c>
      <c r="N88" s="111" t="s">
        <v>553</v>
      </c>
      <c r="O88" s="111"/>
    </row>
    <row r="89" spans="1:16" x14ac:dyDescent="0.2">
      <c r="A89" s="114"/>
      <c r="B89" s="94"/>
      <c r="C89" s="94"/>
      <c r="D89" s="94"/>
      <c r="E89" s="94"/>
      <c r="F89" s="94"/>
      <c r="G89" s="94"/>
      <c r="H89" s="94"/>
      <c r="I89" s="94"/>
      <c r="J89" s="94"/>
      <c r="K89" s="94"/>
      <c r="L89" s="354"/>
      <c r="M89" s="235"/>
      <c r="N89" s="94"/>
      <c r="O89" s="94"/>
    </row>
    <row r="90" spans="1:16" x14ac:dyDescent="0.2">
      <c r="L90" s="348"/>
    </row>
    <row r="91" spans="1:16" x14ac:dyDescent="0.2">
      <c r="A91" s="97" t="s">
        <v>554</v>
      </c>
      <c r="C91" s="348"/>
      <c r="L91" s="348"/>
      <c r="M91" s="71"/>
    </row>
    <row r="92" spans="1:16" ht="16" x14ac:dyDescent="0.2">
      <c r="A92" s="98" t="s">
        <v>292</v>
      </c>
      <c r="B92" s="99" t="s">
        <v>13</v>
      </c>
      <c r="C92" s="363" t="s">
        <v>262</v>
      </c>
      <c r="D92" s="99" t="s">
        <v>263</v>
      </c>
      <c r="E92" s="100" t="s">
        <v>293</v>
      </c>
      <c r="F92" s="100" t="s">
        <v>262</v>
      </c>
      <c r="G92" s="101" t="s">
        <v>263</v>
      </c>
      <c r="H92" s="102" t="s">
        <v>294</v>
      </c>
      <c r="I92" s="102" t="s">
        <v>523</v>
      </c>
      <c r="J92" s="102" t="s">
        <v>263</v>
      </c>
      <c r="K92" s="103" t="s">
        <v>295</v>
      </c>
      <c r="L92" s="349" t="s">
        <v>262</v>
      </c>
      <c r="M92" s="104" t="s">
        <v>263</v>
      </c>
      <c r="N92" s="368"/>
      <c r="O92" s="369"/>
    </row>
    <row r="93" spans="1:16" ht="16" x14ac:dyDescent="0.2">
      <c r="A93" s="87"/>
      <c r="B93" s="87" t="str">
        <f>B15</f>
        <v>battery systems</v>
      </c>
      <c r="C93" s="364">
        <f t="shared" ref="C93:D93" si="0">C15</f>
        <v>25000</v>
      </c>
      <c r="D93" s="87" t="str">
        <f t="shared" si="0"/>
        <v>t</v>
      </c>
      <c r="E93" s="87" t="s">
        <v>166</v>
      </c>
      <c r="F93" s="366" t="e">
        <f>F33</f>
        <v>#DIV/0!</v>
      </c>
      <c r="G93" s="377" t="str">
        <f>G33</f>
        <v>m³</v>
      </c>
      <c r="H93" s="87" t="str">
        <f>H34</f>
        <v>Electricity</v>
      </c>
      <c r="I93" s="365" t="e">
        <f>SUMIF(H29:H89,H93,I29:I89)+SUMIF('R2_Hydro_MEFA'!H:H,'R2_MEFA'!H93,'R2_Hydro_MEFA'!I:I)</f>
        <v>#DIV/0!</v>
      </c>
      <c r="J93" s="87" t="s">
        <v>233</v>
      </c>
      <c r="K93" s="87" t="s">
        <v>52</v>
      </c>
      <c r="L93" s="366" t="e">
        <f>L16</f>
        <v>#DIV/0!</v>
      </c>
      <c r="M93" s="87" t="s">
        <v>233</v>
      </c>
      <c r="N93" s="371"/>
      <c r="O93" s="370"/>
      <c r="P93" s="944"/>
    </row>
    <row r="94" spans="1:16" ht="16" x14ac:dyDescent="0.2">
      <c r="A94" s="111"/>
      <c r="B94" s="111"/>
      <c r="C94" s="281"/>
      <c r="D94" s="111"/>
      <c r="E94" s="111" t="s">
        <v>74</v>
      </c>
      <c r="F94" s="367" t="e">
        <f>SUMIF('R2_Hydro_MEFA'!E:E,'R2_MEFA'!E94,'R2_Hydro_MEFA'!F:F)</f>
        <v>#DIV/0!</v>
      </c>
      <c r="G94" s="111" t="s">
        <v>299</v>
      </c>
      <c r="H94" s="111" t="s">
        <v>529</v>
      </c>
      <c r="I94" s="351">
        <f>I39</f>
        <v>0</v>
      </c>
      <c r="J94" s="111" t="s">
        <v>312</v>
      </c>
      <c r="K94" s="111" t="s">
        <v>104</v>
      </c>
      <c r="L94" s="367" t="e">
        <f>L20+L66+L86</f>
        <v>#DIV/0!</v>
      </c>
      <c r="M94" s="281" t="s">
        <v>299</v>
      </c>
      <c r="N94" s="373"/>
      <c r="O94" s="372"/>
    </row>
    <row r="95" spans="1:16" ht="16" x14ac:dyDescent="0.2">
      <c r="A95" s="111"/>
      <c r="B95" s="111"/>
      <c r="C95" s="281"/>
      <c r="D95" s="111"/>
      <c r="E95" s="111" t="s">
        <v>226</v>
      </c>
      <c r="F95" s="367" t="e">
        <f>SUMIF('R2_Hydro_MEFA'!E:E,'R2_MEFA'!E95,'R2_Hydro_MEFA'!F:F)</f>
        <v>#DIV/0!</v>
      </c>
      <c r="G95" s="111" t="s">
        <v>299</v>
      </c>
      <c r="H95" s="111"/>
      <c r="I95" s="351"/>
      <c r="J95" s="111"/>
      <c r="K95" s="111" t="s">
        <v>75</v>
      </c>
      <c r="L95" s="367" t="e">
        <f>L21+L59+L60</f>
        <v>#DIV/0!</v>
      </c>
      <c r="M95" s="281" t="s">
        <v>299</v>
      </c>
      <c r="N95" s="373"/>
      <c r="O95" s="372"/>
    </row>
    <row r="96" spans="1:16" ht="16" x14ac:dyDescent="0.2">
      <c r="A96" s="111"/>
      <c r="B96" s="111"/>
      <c r="C96" s="281"/>
      <c r="D96" s="111"/>
      <c r="E96" s="111" t="s">
        <v>49</v>
      </c>
      <c r="F96" s="367" t="e">
        <f>SUMIF('R2_Hydro_MEFA'!E:E,'R2_MEFA'!E96,'R2_Hydro_MEFA'!F:F)</f>
        <v>#DIV/0!</v>
      </c>
      <c r="G96" s="111" t="s">
        <v>299</v>
      </c>
      <c r="H96" s="111"/>
      <c r="I96" s="111"/>
      <c r="J96" s="111"/>
      <c r="K96" s="111" t="s">
        <v>105</v>
      </c>
      <c r="L96" s="367" t="e">
        <f>L22+L69+L87+'R2_Hydro_MEFA'!L55</f>
        <v>#DIV/0!</v>
      </c>
      <c r="M96" s="281" t="s">
        <v>299</v>
      </c>
      <c r="N96" s="373"/>
      <c r="O96" s="372"/>
    </row>
    <row r="97" spans="1:16" ht="16" x14ac:dyDescent="0.2">
      <c r="A97" s="111"/>
      <c r="B97" s="111"/>
      <c r="C97" s="281"/>
      <c r="D97" s="111"/>
      <c r="E97" s="111" t="s">
        <v>78</v>
      </c>
      <c r="F97" s="367" t="e">
        <f>'R2_Hydro_MEFA'!F61</f>
        <v>#DIV/0!</v>
      </c>
      <c r="G97" s="111" t="s">
        <v>299</v>
      </c>
      <c r="H97" s="111"/>
      <c r="I97" s="111"/>
      <c r="J97" s="111"/>
      <c r="K97" s="111" t="s">
        <v>56</v>
      </c>
      <c r="L97" s="367" t="e">
        <f>L23+L68</f>
        <v>#DIV/0!</v>
      </c>
      <c r="M97" s="281" t="s">
        <v>299</v>
      </c>
      <c r="N97" s="373"/>
      <c r="O97" s="372"/>
    </row>
    <row r="98" spans="1:16" ht="16" x14ac:dyDescent="0.2">
      <c r="A98" s="111"/>
      <c r="B98" s="111"/>
      <c r="C98" s="281"/>
      <c r="D98" s="111"/>
      <c r="E98" s="111" t="s">
        <v>70</v>
      </c>
      <c r="F98" s="367" t="e">
        <f>SUMIF('R2_Hydro_MEFA'!E:E,'R2_MEFA'!E98,'R2_Hydro_MEFA'!F:F)</f>
        <v>#DIV/0!</v>
      </c>
      <c r="G98" s="111" t="s">
        <v>299</v>
      </c>
      <c r="H98" s="111"/>
      <c r="I98" s="111"/>
      <c r="J98" s="111"/>
      <c r="K98" s="111" t="s">
        <v>60</v>
      </c>
      <c r="L98" s="367" t="e">
        <f>L24</f>
        <v>#DIV/0!</v>
      </c>
      <c r="M98" s="281" t="s">
        <v>299</v>
      </c>
      <c r="N98" s="373"/>
      <c r="O98" s="372"/>
    </row>
    <row r="99" spans="1:16" ht="16" x14ac:dyDescent="0.2">
      <c r="A99" s="111"/>
      <c r="B99" s="111"/>
      <c r="C99" s="281"/>
      <c r="D99" s="111"/>
      <c r="E99" s="111" t="s">
        <v>63</v>
      </c>
      <c r="F99" s="690" t="e">
        <f>'R2_Hydro_MEFA'!F84+'R2_Hydro_MEFA'!F110+'R2_Hydro_MEFA'!F147</f>
        <v>#DIV/0!</v>
      </c>
      <c r="G99" s="111" t="s">
        <v>299</v>
      </c>
      <c r="H99" s="111"/>
      <c r="I99" s="111"/>
      <c r="J99" s="111"/>
      <c r="K99" s="111" t="s">
        <v>19</v>
      </c>
      <c r="L99" s="367" t="e">
        <f>L25+L26+L67+L88+IF(Macro!D12=FALSE,'R2_Hydro_MEFA'!L35,0)</f>
        <v>#DIV/0!</v>
      </c>
      <c r="M99" s="281" t="s">
        <v>299</v>
      </c>
      <c r="N99" s="373"/>
      <c r="O99" s="372"/>
    </row>
    <row r="100" spans="1:16" ht="16" x14ac:dyDescent="0.2">
      <c r="A100" s="111"/>
      <c r="B100" s="111"/>
      <c r="C100" s="281"/>
      <c r="D100" s="111"/>
      <c r="E100" s="111" t="s">
        <v>326</v>
      </c>
      <c r="F100" s="690" t="e">
        <f>'R2_Hydro_MEFA'!F111+'R2_Hydro_MEFA'!F112</f>
        <v>#DIV/0!</v>
      </c>
      <c r="G100" s="111" t="s">
        <v>299</v>
      </c>
      <c r="H100" s="111"/>
      <c r="I100" s="111"/>
      <c r="J100" s="111"/>
      <c r="K100" s="111" t="s">
        <v>54</v>
      </c>
      <c r="L100" s="367">
        <f>L54</f>
        <v>0</v>
      </c>
      <c r="M100" s="281" t="s">
        <v>299</v>
      </c>
      <c r="N100" s="790"/>
      <c r="O100" s="372"/>
    </row>
    <row r="101" spans="1:16" ht="16" x14ac:dyDescent="0.2">
      <c r="A101" s="111"/>
      <c r="B101" s="111"/>
      <c r="C101" s="281"/>
      <c r="D101" s="111"/>
      <c r="E101" s="111" t="s">
        <v>44</v>
      </c>
      <c r="F101" s="690" t="e">
        <f>'R2_Hydro_MEFA'!F85+'R2_Hydro_MEFA'!F86</f>
        <v>#DIV/0!</v>
      </c>
      <c r="G101" s="111" t="s">
        <v>299</v>
      </c>
      <c r="H101" s="367"/>
      <c r="I101" s="111"/>
      <c r="J101" s="111"/>
      <c r="K101" s="111" t="s">
        <v>50</v>
      </c>
      <c r="L101" s="367" t="e">
        <f>'R2_Hydro_MEFA'!L79</f>
        <v>#DIV/0!</v>
      </c>
      <c r="M101" s="281" t="s">
        <v>299</v>
      </c>
      <c r="N101" s="791"/>
      <c r="O101" s="372"/>
    </row>
    <row r="102" spans="1:16" ht="16" x14ac:dyDescent="0.2">
      <c r="A102" s="111"/>
      <c r="B102" s="111"/>
      <c r="C102" s="281"/>
      <c r="D102" s="111"/>
      <c r="E102" s="111" t="s">
        <v>45</v>
      </c>
      <c r="F102" s="690" t="e">
        <f>'R2_Hydro_MEFA'!F148+'R2_Hydro_MEFA'!F149</f>
        <v>#DIV/0!</v>
      </c>
      <c r="G102" s="111" t="s">
        <v>299</v>
      </c>
      <c r="H102" s="111"/>
      <c r="I102" s="111"/>
      <c r="J102" s="111"/>
      <c r="K102" s="111" t="s">
        <v>63</v>
      </c>
      <c r="L102" s="367" t="e">
        <f>'R2_Hydro_MEFA'!L106+'R2_Hydro_MEFA'!L131+'R2_Hydro_MEFA'!L167</f>
        <v>#DIV/0!</v>
      </c>
      <c r="M102" s="281" t="s">
        <v>299</v>
      </c>
      <c r="N102" s="791" t="s">
        <v>325</v>
      </c>
      <c r="O102" s="372"/>
    </row>
    <row r="103" spans="1:16" ht="16" x14ac:dyDescent="0.2">
      <c r="A103" s="111"/>
      <c r="B103" s="111"/>
      <c r="C103" s="281"/>
      <c r="D103" s="111"/>
      <c r="E103" s="111" t="s">
        <v>69</v>
      </c>
      <c r="F103" s="840" t="e">
        <f>SUMIF('R2_Hydro_MEFA'!E:E,'R2_MEFA'!E103,'R2_Hydro_MEFA'!F:F)</f>
        <v>#DIV/0!</v>
      </c>
      <c r="G103" s="111" t="s">
        <v>299</v>
      </c>
      <c r="H103" s="111"/>
      <c r="I103" s="111"/>
      <c r="J103" s="111"/>
      <c r="K103" s="111" t="s">
        <v>41</v>
      </c>
      <c r="L103" s="367" t="e">
        <f>'R2_Hydro_MEFA'!L130</f>
        <v>#DIV/0!</v>
      </c>
      <c r="M103" s="281" t="s">
        <v>299</v>
      </c>
      <c r="N103" s="791" t="s">
        <v>325</v>
      </c>
      <c r="O103" s="372"/>
    </row>
    <row r="104" spans="1:16" ht="32" x14ac:dyDescent="0.2">
      <c r="A104" s="111"/>
      <c r="B104" s="111"/>
      <c r="C104" s="281"/>
      <c r="D104" s="111"/>
      <c r="E104" s="111" t="s">
        <v>327</v>
      </c>
      <c r="F104" s="840" t="e">
        <f>IF(F95*0.9&lt;L112,F95*0.1,F95-L112)</f>
        <v>#DIV/0!</v>
      </c>
      <c r="G104" s="111" t="s">
        <v>299</v>
      </c>
      <c r="H104" s="111"/>
      <c r="I104" s="111"/>
      <c r="J104" s="111"/>
      <c r="K104" s="111" t="s">
        <v>44</v>
      </c>
      <c r="L104" s="367" t="e">
        <f>'R2_Hydro_MEFA'!L105</f>
        <v>#DIV/0!</v>
      </c>
      <c r="M104" s="281" t="s">
        <v>299</v>
      </c>
      <c r="N104" s="791" t="s">
        <v>325</v>
      </c>
      <c r="O104" s="372"/>
    </row>
    <row r="105" spans="1:16" ht="18" x14ac:dyDescent="0.2">
      <c r="A105" s="111"/>
      <c r="B105" s="111"/>
      <c r="C105" s="281"/>
      <c r="D105" s="111"/>
      <c r="E105" s="111"/>
      <c r="F105" s="840"/>
      <c r="G105" s="111"/>
      <c r="H105" s="111"/>
      <c r="I105" s="111"/>
      <c r="J105" s="111"/>
      <c r="K105" s="111" t="s">
        <v>162</v>
      </c>
      <c r="L105" s="367" t="e">
        <f>'R2_Hydro_MEFA'!L136</f>
        <v>#DIV/0!</v>
      </c>
      <c r="M105" s="281" t="s">
        <v>299</v>
      </c>
      <c r="N105" s="791"/>
      <c r="O105" s="372"/>
      <c r="P105" s="350"/>
    </row>
    <row r="106" spans="1:16" ht="18" x14ac:dyDescent="0.2">
      <c r="A106" s="111"/>
      <c r="B106" s="111"/>
      <c r="C106" s="281"/>
      <c r="D106" s="111"/>
      <c r="E106" s="111"/>
      <c r="F106" s="840"/>
      <c r="G106" s="111"/>
      <c r="H106" s="111"/>
      <c r="I106" s="111"/>
      <c r="J106" s="111"/>
      <c r="K106" s="111" t="s">
        <v>147</v>
      </c>
      <c r="L106" s="367" t="e">
        <f>'R2_Hydro_MEFA'!L142</f>
        <v>#DIV/0!</v>
      </c>
      <c r="M106" s="281" t="s">
        <v>299</v>
      </c>
      <c r="N106" s="792"/>
      <c r="O106" s="372"/>
    </row>
    <row r="107" spans="1:16" ht="16" x14ac:dyDescent="0.2">
      <c r="A107" s="111"/>
      <c r="B107" s="111"/>
      <c r="C107" s="281"/>
      <c r="D107" s="111"/>
      <c r="E107" s="111"/>
      <c r="F107" s="840"/>
      <c r="G107" s="111"/>
      <c r="H107" s="111"/>
      <c r="I107" s="111"/>
      <c r="J107" s="111"/>
      <c r="K107" s="111" t="s">
        <v>59</v>
      </c>
      <c r="L107" s="367" t="e">
        <f>'R2_Hydro_MEFA'!L42</f>
        <v>#DIV/0!</v>
      </c>
      <c r="M107" s="281" t="s">
        <v>299</v>
      </c>
      <c r="N107" s="790"/>
      <c r="O107" s="372"/>
    </row>
    <row r="108" spans="1:16" ht="16" x14ac:dyDescent="0.2">
      <c r="A108" s="111"/>
      <c r="B108" s="111"/>
      <c r="C108" s="281"/>
      <c r="D108" s="111"/>
      <c r="E108" s="111"/>
      <c r="F108" s="840"/>
      <c r="G108" s="111"/>
      <c r="H108" s="111"/>
      <c r="I108" s="111"/>
      <c r="J108" s="111"/>
      <c r="K108" s="111" t="s">
        <v>32</v>
      </c>
      <c r="L108" s="367" t="e">
        <f>'R2_Hydro_MEFA'!L80</f>
        <v>#DIV/0!</v>
      </c>
      <c r="M108" s="281" t="s">
        <v>299</v>
      </c>
      <c r="N108" s="790"/>
      <c r="O108" s="372"/>
    </row>
    <row r="109" spans="1:16" ht="16" x14ac:dyDescent="0.2">
      <c r="A109" s="111"/>
      <c r="B109" s="111"/>
      <c r="C109" s="281"/>
      <c r="D109" s="111"/>
      <c r="E109" s="111"/>
      <c r="F109" s="840"/>
      <c r="G109" s="111"/>
      <c r="H109" s="111"/>
      <c r="I109" s="111"/>
      <c r="J109" s="111"/>
      <c r="K109" s="111" t="s">
        <v>45</v>
      </c>
      <c r="L109" s="367" t="e">
        <f>'R2_Hydro_MEFA'!L166</f>
        <v>#DIV/0!</v>
      </c>
      <c r="M109" s="281" t="s">
        <v>299</v>
      </c>
      <c r="N109" s="791" t="s">
        <v>325</v>
      </c>
      <c r="O109" s="372"/>
    </row>
    <row r="110" spans="1:16" ht="16" x14ac:dyDescent="0.2">
      <c r="A110" s="111"/>
      <c r="B110" s="111"/>
      <c r="C110" s="281"/>
      <c r="D110" s="111"/>
      <c r="E110" s="111"/>
      <c r="F110" s="840"/>
      <c r="G110" s="111"/>
      <c r="H110" s="111"/>
      <c r="I110" s="111"/>
      <c r="J110" s="111"/>
      <c r="K110" s="111" t="s">
        <v>68</v>
      </c>
      <c r="L110" s="367" t="e">
        <f>'R2_Hydro_MEFA'!L172</f>
        <v>#DIV/0!</v>
      </c>
      <c r="M110" s="281" t="s">
        <v>299</v>
      </c>
      <c r="N110" s="790"/>
      <c r="O110" s="372"/>
    </row>
    <row r="111" spans="1:16" ht="18" x14ac:dyDescent="0.2">
      <c r="A111" s="111"/>
      <c r="B111" s="111"/>
      <c r="C111" s="281"/>
      <c r="D111" s="111"/>
      <c r="E111" s="111"/>
      <c r="F111" s="840"/>
      <c r="G111" s="111"/>
      <c r="H111" s="111"/>
      <c r="I111" s="111"/>
      <c r="J111" s="111"/>
      <c r="K111" s="111" t="s">
        <v>555</v>
      </c>
      <c r="L111" s="367" t="e">
        <f>'R2_Hydro_MEFA'!L193</f>
        <v>#DIV/0!</v>
      </c>
      <c r="M111" s="281" t="s">
        <v>299</v>
      </c>
      <c r="N111" s="790"/>
      <c r="O111" s="372"/>
    </row>
    <row r="112" spans="1:16" ht="16" x14ac:dyDescent="0.2">
      <c r="A112" s="111"/>
      <c r="B112" s="111"/>
      <c r="C112" s="281"/>
      <c r="D112" s="111"/>
      <c r="E112" s="111"/>
      <c r="F112" s="840"/>
      <c r="G112" s="111"/>
      <c r="H112" s="111"/>
      <c r="I112" s="111"/>
      <c r="J112" s="111"/>
      <c r="K112" s="111" t="s">
        <v>226</v>
      </c>
      <c r="L112" s="367" t="e">
        <f>SUMIF('R2_Hydro_MEFA'!$K$12:$K$251,'R2_MEFA'!K112,'R2_Hydro_MEFA'!$L$12:$L$251)</f>
        <v>#DIV/0!</v>
      </c>
      <c r="M112" s="281" t="s">
        <v>299</v>
      </c>
      <c r="N112" s="790" t="s">
        <v>556</v>
      </c>
      <c r="O112" s="372"/>
    </row>
    <row r="113" spans="1:15" ht="16" x14ac:dyDescent="0.2">
      <c r="A113" s="111"/>
      <c r="B113" s="111"/>
      <c r="C113" s="281"/>
      <c r="D113" s="111"/>
      <c r="E113" s="111"/>
      <c r="F113" s="840"/>
      <c r="G113" s="111"/>
      <c r="H113" s="111"/>
      <c r="I113" s="111"/>
      <c r="J113" s="111"/>
      <c r="K113" s="111" t="s">
        <v>64</v>
      </c>
      <c r="L113" s="367">
        <f>SUMIF('R2_Hydro_MEFA'!$K$12:$K$251,'R2_MEFA'!K113,'R2_Hydro_MEFA'!$L$12:$L$251)</f>
        <v>0</v>
      </c>
      <c r="M113" s="281" t="s">
        <v>299</v>
      </c>
      <c r="N113" s="792"/>
      <c r="O113" s="372"/>
    </row>
    <row r="114" spans="1:15" ht="16" x14ac:dyDescent="0.2">
      <c r="A114" s="111"/>
      <c r="B114" s="111"/>
      <c r="C114" s="281"/>
      <c r="D114" s="111"/>
      <c r="E114" s="111"/>
      <c r="F114" s="840"/>
      <c r="G114" s="111"/>
      <c r="H114" s="111"/>
      <c r="I114" s="111"/>
      <c r="J114" s="111"/>
      <c r="K114" s="111" t="s">
        <v>24</v>
      </c>
      <c r="L114" s="367" t="e">
        <f>'R2_Hydro_MEFA'!L195</f>
        <v>#DIV/0!</v>
      </c>
      <c r="M114" s="281" t="s">
        <v>299</v>
      </c>
      <c r="N114" s="791" t="s">
        <v>328</v>
      </c>
      <c r="O114" s="372"/>
    </row>
    <row r="115" spans="1:15" ht="16" x14ac:dyDescent="0.2">
      <c r="A115" s="94"/>
      <c r="B115" s="94"/>
      <c r="C115" s="354"/>
      <c r="D115" s="94"/>
      <c r="E115" s="94"/>
      <c r="F115" s="841"/>
      <c r="G115" s="94"/>
      <c r="H115" s="94"/>
      <c r="I115" s="94"/>
      <c r="J115" s="842"/>
      <c r="K115" s="94" t="s">
        <v>331</v>
      </c>
      <c r="L115" s="709" t="e">
        <f>L112-F95+F104</f>
        <v>#DIV/0!</v>
      </c>
      <c r="M115" s="452" t="s">
        <v>299</v>
      </c>
      <c r="N115" s="94" t="s">
        <v>556</v>
      </c>
      <c r="O115" s="374"/>
    </row>
    <row r="116" spans="1:15" x14ac:dyDescent="0.2">
      <c r="N116" s="839"/>
    </row>
    <row r="117" spans="1:15" x14ac:dyDescent="0.2">
      <c r="N117" s="839"/>
    </row>
    <row r="118" spans="1:15" x14ac:dyDescent="0.2">
      <c r="F118" s="737"/>
      <c r="H118" s="738"/>
      <c r="L118" s="739"/>
      <c r="N118" s="839"/>
    </row>
    <row r="119" spans="1:15" x14ac:dyDescent="0.2">
      <c r="F119" s="737"/>
      <c r="L119" s="739"/>
    </row>
    <row r="120" spans="1:15" x14ac:dyDescent="0.2">
      <c r="F120" s="737"/>
      <c r="L120" s="739"/>
      <c r="N120" s="839"/>
    </row>
    <row r="121" spans="1:15" x14ac:dyDescent="0.2">
      <c r="F121" s="737"/>
      <c r="L121" s="739"/>
    </row>
    <row r="122" spans="1:15" x14ac:dyDescent="0.2">
      <c r="F122" s="737"/>
      <c r="L122" s="739"/>
    </row>
    <row r="123" spans="1:15" x14ac:dyDescent="0.2">
      <c r="F123" s="737"/>
      <c r="L123" s="739"/>
    </row>
    <row r="124" spans="1:15" x14ac:dyDescent="0.2">
      <c r="F124" s="737"/>
      <c r="L124" s="739"/>
    </row>
    <row r="125" spans="1:15" x14ac:dyDescent="0.2">
      <c r="F125" s="737"/>
      <c r="L125" s="739"/>
    </row>
    <row r="126" spans="1:15" x14ac:dyDescent="0.2">
      <c r="F126" s="737"/>
      <c r="L126" s="739"/>
    </row>
    <row r="127" spans="1:15" x14ac:dyDescent="0.2">
      <c r="F127" s="737"/>
      <c r="L127" s="739"/>
    </row>
    <row r="128" spans="1:15" x14ac:dyDescent="0.2">
      <c r="F128" s="737"/>
      <c r="L128" s="739"/>
    </row>
    <row r="129" spans="6:12" x14ac:dyDescent="0.2">
      <c r="F129" s="737"/>
      <c r="L129" s="739"/>
    </row>
    <row r="130" spans="6:12" x14ac:dyDescent="0.2">
      <c r="L130" s="739"/>
    </row>
    <row r="131" spans="6:12" x14ac:dyDescent="0.2">
      <c r="L131" s="739"/>
    </row>
    <row r="132" spans="6:12" x14ac:dyDescent="0.2">
      <c r="L132" s="739"/>
    </row>
    <row r="133" spans="6:12" x14ac:dyDescent="0.2">
      <c r="L133" s="739"/>
    </row>
    <row r="134" spans="6:12" x14ac:dyDescent="0.2">
      <c r="L134" s="739"/>
    </row>
    <row r="135" spans="6:12" x14ac:dyDescent="0.2">
      <c r="L135" s="739"/>
    </row>
    <row r="136" spans="6:12" x14ac:dyDescent="0.2">
      <c r="L136" s="739"/>
    </row>
    <row r="137" spans="6:12" x14ac:dyDescent="0.2">
      <c r="L137" s="739"/>
    </row>
    <row r="138" spans="6:12" x14ac:dyDescent="0.2">
      <c r="L138" s="739"/>
    </row>
    <row r="139" spans="6:12" x14ac:dyDescent="0.2">
      <c r="L139" s="739"/>
    </row>
    <row r="140" spans="6:12" x14ac:dyDescent="0.2">
      <c r="L140" s="739"/>
    </row>
  </sheetData>
  <pageMargins left="0.7" right="0.7" top="0.78740157499999996" bottom="0.78740157499999996" header="0.3" footer="0.3"/>
  <pageSetup paperSize="9"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Tabelle12">
    <tabColor theme="0" tint="-0.499984740745262"/>
  </sheetPr>
  <dimension ref="A1:AB205"/>
  <sheetViews>
    <sheetView topLeftCell="A47" workbookViewId="0">
      <selection activeCell="F85" sqref="F85"/>
    </sheetView>
  </sheetViews>
  <sheetFormatPr baseColWidth="10" defaultColWidth="11.5" defaultRowHeight="15" x14ac:dyDescent="0.2"/>
  <cols>
    <col min="1" max="1" width="21" customWidth="1"/>
    <col min="2" max="2" width="21" style="71" customWidth="1"/>
    <col min="3" max="3" width="12.83203125" style="71" customWidth="1"/>
    <col min="4" max="4" width="7.6640625" style="71" customWidth="1"/>
    <col min="5" max="5" width="23" style="71" customWidth="1"/>
    <col min="6" max="6" width="13.5" style="71" customWidth="1"/>
    <col min="7" max="7" width="7.6640625" style="71" customWidth="1"/>
    <col min="8" max="8" width="19.6640625" style="71" customWidth="1"/>
    <col min="9" max="9" width="13.33203125" style="71" customWidth="1"/>
    <col min="10" max="10" width="9.1640625" style="71" customWidth="1"/>
    <col min="11" max="11" width="29.33203125" style="71" customWidth="1"/>
    <col min="12" max="12" width="17.33203125" style="71" customWidth="1"/>
    <col min="13" max="13" width="11.5" style="71"/>
    <col min="14" max="14" width="12.6640625" style="71" customWidth="1"/>
    <col min="15" max="15" width="22.1640625" style="71" bestFit="1" customWidth="1"/>
    <col min="16" max="16" width="46.1640625" style="71" customWidth="1"/>
    <col min="17" max="17" width="13.6640625" style="123" customWidth="1"/>
    <col min="18" max="18" width="3.33203125" customWidth="1"/>
    <col min="19" max="19" width="26.6640625" customWidth="1"/>
    <col min="20" max="20" width="13.5" customWidth="1"/>
    <col min="21" max="21" width="12.33203125" customWidth="1"/>
    <col min="22" max="22" width="13.5" customWidth="1"/>
    <col min="23" max="23" width="10.83203125" customWidth="1"/>
    <col min="24" max="24" width="22.1640625" customWidth="1"/>
    <col min="25" max="25" width="20.33203125" customWidth="1"/>
    <col min="26" max="26" width="15.1640625" customWidth="1"/>
    <col min="27" max="27" width="26.6640625" customWidth="1"/>
    <col min="28" max="28" width="17.6640625" customWidth="1"/>
    <col min="29" max="29" width="15.33203125" customWidth="1"/>
  </cols>
  <sheetData>
    <row r="1" spans="1:28" ht="26" customHeight="1" x14ac:dyDescent="0.25">
      <c r="A1" s="189" t="s">
        <v>557</v>
      </c>
      <c r="C1" s="105"/>
    </row>
    <row r="2" spans="1:28" ht="16" x14ac:dyDescent="0.2">
      <c r="H2" s="71" t="s">
        <v>333</v>
      </c>
      <c r="J2" s="114"/>
    </row>
    <row r="3" spans="1:28" s="126" customFormat="1" ht="42.5" customHeight="1" x14ac:dyDescent="0.2">
      <c r="A3" s="156"/>
      <c r="B3" s="468" t="s">
        <v>13</v>
      </c>
      <c r="C3" s="467" t="s">
        <v>262</v>
      </c>
      <c r="D3" s="467" t="s">
        <v>263</v>
      </c>
      <c r="E3" s="105"/>
      <c r="F3" s="105"/>
      <c r="G3" s="105"/>
      <c r="H3" s="98" t="s">
        <v>558</v>
      </c>
      <c r="I3" s="465" t="s">
        <v>262</v>
      </c>
      <c r="J3" s="98" t="s">
        <v>335</v>
      </c>
      <c r="Q3" s="129"/>
      <c r="S3"/>
      <c r="T3"/>
      <c r="U3"/>
    </row>
    <row r="4" spans="1:28" ht="16" x14ac:dyDescent="0.2">
      <c r="A4" s="133"/>
      <c r="B4" s="236" t="s">
        <v>336</v>
      </c>
      <c r="C4" s="477">
        <f>IF(Macro!$D$8=1,2500,IF(Macro!$D$8=2,25000,75000))</f>
        <v>25000</v>
      </c>
      <c r="D4" s="74" t="s">
        <v>337</v>
      </c>
      <c r="H4" s="74" t="s">
        <v>245</v>
      </c>
      <c r="I4" s="532">
        <f>'R2_MEFA'!K5</f>
        <v>0.02</v>
      </c>
      <c r="J4" s="464">
        <v>0.02</v>
      </c>
      <c r="S4" s="105"/>
      <c r="T4" s="126"/>
      <c r="U4" s="126"/>
    </row>
    <row r="5" spans="1:28" ht="16" x14ac:dyDescent="0.2">
      <c r="A5" s="133"/>
      <c r="B5" s="236"/>
      <c r="C5" s="74"/>
      <c r="D5" s="74"/>
      <c r="H5" s="74" t="s">
        <v>390</v>
      </c>
      <c r="I5" s="532">
        <f>'R2_MEFA'!K6</f>
        <v>0.02</v>
      </c>
      <c r="J5" s="464">
        <v>0.02</v>
      </c>
    </row>
    <row r="6" spans="1:28" ht="16" x14ac:dyDescent="0.2">
      <c r="A6" s="133"/>
      <c r="B6" s="236" t="s">
        <v>390</v>
      </c>
      <c r="C6" s="193" t="e">
        <f>$C$4*Battery!$E9*'R2_Hydro_MEFA'!I5</f>
        <v>#DIV/0!</v>
      </c>
      <c r="D6" s="74" t="s">
        <v>337</v>
      </c>
      <c r="H6" s="74" t="s">
        <v>559</v>
      </c>
      <c r="I6" s="532">
        <f>'R2_MEFA'!K7</f>
        <v>0.01</v>
      </c>
      <c r="J6" s="464">
        <v>0.01</v>
      </c>
    </row>
    <row r="7" spans="1:28" ht="16" x14ac:dyDescent="0.2">
      <c r="A7" s="133"/>
      <c r="B7" s="236" t="s">
        <v>101</v>
      </c>
      <c r="C7" s="193" t="e">
        <f>C4*Battery!E10*Efficiencies!E50</f>
        <v>#DIV/0!</v>
      </c>
      <c r="D7" s="74" t="s">
        <v>337</v>
      </c>
      <c r="I7" s="466"/>
    </row>
    <row r="8" spans="1:28" ht="16" x14ac:dyDescent="0.2">
      <c r="A8" s="133"/>
      <c r="B8" s="236" t="s">
        <v>100</v>
      </c>
      <c r="C8" s="193" t="e">
        <f>C4*Battery!E11*Efficiencies!E50</f>
        <v>#DIV/0!</v>
      </c>
      <c r="D8" s="74" t="s">
        <v>337</v>
      </c>
      <c r="H8" s="105"/>
      <c r="I8" s="496"/>
    </row>
    <row r="9" spans="1:28" ht="16" x14ac:dyDescent="0.2">
      <c r="A9" s="133"/>
      <c r="B9" s="236" t="s">
        <v>103</v>
      </c>
      <c r="C9" s="193" t="e">
        <f>C4*Battery!E12*Efficiencies!E50</f>
        <v>#DIV/0!</v>
      </c>
      <c r="D9" s="74" t="s">
        <v>337</v>
      </c>
      <c r="I9" s="252"/>
    </row>
    <row r="10" spans="1:28" ht="16" x14ac:dyDescent="0.2">
      <c r="A10" s="133"/>
      <c r="B10" s="236" t="s">
        <v>102</v>
      </c>
      <c r="C10" s="193" t="e">
        <f>C4*Battery!E13*Efficiencies!E50</f>
        <v>#DIV/0!</v>
      </c>
      <c r="D10" s="74" t="s">
        <v>337</v>
      </c>
      <c r="I10" s="466"/>
      <c r="AA10" s="358"/>
      <c r="AB10" s="359"/>
    </row>
    <row r="11" spans="1:28" ht="16" x14ac:dyDescent="0.2">
      <c r="A11" s="133"/>
      <c r="B11" s="236" t="s">
        <v>560</v>
      </c>
      <c r="C11" s="193" t="e">
        <f>C4*Battery!E15*'R2_Hydro_MEFA'!I4</f>
        <v>#DIV/0!</v>
      </c>
      <c r="D11" s="74" t="s">
        <v>337</v>
      </c>
    </row>
    <row r="12" spans="1:28" ht="16" x14ac:dyDescent="0.2">
      <c r="A12" s="133"/>
      <c r="B12" s="236" t="s">
        <v>59</v>
      </c>
      <c r="C12" s="193" t="e">
        <f>C4*Battery!E16*Efficiencies!E50</f>
        <v>#DIV/0!</v>
      </c>
      <c r="D12" s="74" t="s">
        <v>337</v>
      </c>
      <c r="H12" s="105"/>
      <c r="I12" s="493"/>
      <c r="K12" s="105"/>
      <c r="L12" s="105"/>
      <c r="Q12" s="213"/>
    </row>
    <row r="13" spans="1:28" ht="16" x14ac:dyDescent="0.2">
      <c r="A13" s="133"/>
      <c r="B13" s="236" t="s">
        <v>49</v>
      </c>
      <c r="C13" s="196" t="e">
        <f>C4*(Battery!E20)*'R2_Hydro_MEFA'!I6</f>
        <v>#DIV/0!</v>
      </c>
      <c r="D13" s="74" t="s">
        <v>337</v>
      </c>
      <c r="I13" s="466"/>
      <c r="P13" s="105"/>
      <c r="Q13" s="530"/>
      <c r="R13" s="105"/>
    </row>
    <row r="14" spans="1:28" ht="19" x14ac:dyDescent="0.2">
      <c r="A14" s="133"/>
      <c r="B14" s="98" t="s">
        <v>561</v>
      </c>
      <c r="C14" s="196" t="e">
        <f>SUM(C6:C13)</f>
        <v>#DIV/0!</v>
      </c>
      <c r="D14" s="74" t="s">
        <v>337</v>
      </c>
      <c r="S14" s="105"/>
      <c r="T14" s="105"/>
      <c r="U14" s="105"/>
      <c r="V14" s="65"/>
    </row>
    <row r="15" spans="1:28" x14ac:dyDescent="0.2">
      <c r="S15" s="71"/>
      <c r="T15" s="338"/>
      <c r="U15" s="71"/>
      <c r="V15" s="71"/>
    </row>
    <row r="16" spans="1:28" x14ac:dyDescent="0.2">
      <c r="Q16" s="531"/>
      <c r="S16" s="71"/>
      <c r="T16" s="338"/>
      <c r="U16" s="71"/>
      <c r="V16" s="71"/>
    </row>
    <row r="17" spans="1:22" ht="32" x14ac:dyDescent="0.2">
      <c r="A17" s="152" t="s">
        <v>292</v>
      </c>
      <c r="B17" s="99" t="s">
        <v>13</v>
      </c>
      <c r="C17" s="99" t="s">
        <v>262</v>
      </c>
      <c r="D17" s="99" t="s">
        <v>263</v>
      </c>
      <c r="E17" s="100" t="s">
        <v>293</v>
      </c>
      <c r="F17" s="100" t="s">
        <v>262</v>
      </c>
      <c r="G17" s="100" t="s">
        <v>263</v>
      </c>
      <c r="H17" s="102" t="s">
        <v>294</v>
      </c>
      <c r="I17" s="102" t="s">
        <v>262</v>
      </c>
      <c r="J17" s="102" t="s">
        <v>263</v>
      </c>
      <c r="K17" s="103" t="s">
        <v>341</v>
      </c>
      <c r="L17" s="103" t="s">
        <v>262</v>
      </c>
      <c r="M17" s="103" t="s">
        <v>263</v>
      </c>
      <c r="N17" s="521" t="s">
        <v>342</v>
      </c>
      <c r="O17" s="521" t="s">
        <v>562</v>
      </c>
      <c r="P17" s="98" t="s">
        <v>296</v>
      </c>
      <c r="Q17" s="468" t="s">
        <v>309</v>
      </c>
      <c r="S17" s="71"/>
      <c r="T17" s="338"/>
      <c r="U17" s="71"/>
      <c r="V17" s="237"/>
    </row>
    <row r="18" spans="1:22" s="126" customFormat="1" x14ac:dyDescent="0.2">
      <c r="A18" s="156" t="s">
        <v>216</v>
      </c>
      <c r="B18" s="238"/>
      <c r="C18" s="238"/>
      <c r="D18" s="239"/>
      <c r="E18" s="239"/>
      <c r="F18" s="239"/>
      <c r="G18" s="239"/>
      <c r="H18" s="239"/>
      <c r="I18" s="239"/>
      <c r="J18" s="239"/>
      <c r="K18" s="238"/>
      <c r="L18" s="238"/>
      <c r="M18" s="238"/>
      <c r="N18" s="238"/>
      <c r="O18" s="238"/>
      <c r="P18" s="239"/>
      <c r="Q18" s="191"/>
      <c r="S18"/>
      <c r="T18"/>
      <c r="U18"/>
      <c r="V18" s="71"/>
    </row>
    <row r="19" spans="1:22" ht="16" x14ac:dyDescent="0.2">
      <c r="A19" s="211" t="s">
        <v>344</v>
      </c>
      <c r="B19" s="109" t="s">
        <v>563</v>
      </c>
      <c r="C19" s="240" t="e">
        <f>C14</f>
        <v>#DIV/0!</v>
      </c>
      <c r="D19" s="111" t="s">
        <v>299</v>
      </c>
      <c r="E19" s="111"/>
      <c r="F19" s="111"/>
      <c r="G19" s="111"/>
      <c r="H19" s="111"/>
      <c r="I19" s="111"/>
      <c r="J19" s="111"/>
      <c r="K19" s="109"/>
      <c r="L19" s="109"/>
      <c r="M19" s="109"/>
      <c r="N19" s="109"/>
      <c r="O19" s="109"/>
      <c r="P19" s="111"/>
      <c r="Q19" s="192"/>
      <c r="S19" s="71"/>
      <c r="T19" s="71"/>
      <c r="U19" s="71"/>
    </row>
    <row r="20" spans="1:22" ht="16" x14ac:dyDescent="0.2">
      <c r="A20" s="133" t="s">
        <v>345</v>
      </c>
      <c r="B20" s="109"/>
      <c r="C20" s="109"/>
      <c r="D20" s="111"/>
      <c r="E20" s="109" t="s">
        <v>74</v>
      </c>
      <c r="F20" s="243" t="e">
        <f>Stoichiometry!G78</f>
        <v>#DIV/0!</v>
      </c>
      <c r="G20" s="111" t="s">
        <v>299</v>
      </c>
      <c r="H20" s="111"/>
      <c r="I20" s="111"/>
      <c r="J20" s="111"/>
      <c r="K20" s="109"/>
      <c r="L20" s="109"/>
      <c r="M20" s="109"/>
      <c r="N20" s="109"/>
      <c r="O20" s="109"/>
      <c r="P20" s="111"/>
      <c r="Q20" s="192"/>
      <c r="S20" s="92"/>
      <c r="T20" s="359"/>
      <c r="U20" s="71"/>
    </row>
    <row r="21" spans="1:22" ht="16" x14ac:dyDescent="0.2">
      <c r="A21" s="133"/>
      <c r="B21" s="109"/>
      <c r="C21" s="109"/>
      <c r="D21" s="111"/>
      <c r="E21" s="109"/>
      <c r="F21" s="243"/>
      <c r="G21" s="111"/>
      <c r="H21" s="111" t="s">
        <v>52</v>
      </c>
      <c r="I21" s="281" t="e">
        <f>Energy!O58</f>
        <v>#DIV/0!</v>
      </c>
      <c r="J21" s="111" t="s">
        <v>233</v>
      </c>
      <c r="K21" s="109"/>
      <c r="L21" s="109"/>
      <c r="M21" s="109"/>
      <c r="N21" s="109"/>
      <c r="O21" s="109"/>
      <c r="P21" s="111" t="s">
        <v>391</v>
      </c>
      <c r="Q21" s="192"/>
    </row>
    <row r="22" spans="1:22" ht="16" x14ac:dyDescent="0.2">
      <c r="A22" s="133"/>
      <c r="B22" s="109"/>
      <c r="C22" s="240"/>
      <c r="D22" s="111"/>
      <c r="E22" s="111"/>
      <c r="F22" s="111"/>
      <c r="G22" s="111"/>
      <c r="H22" s="111"/>
      <c r="I22" s="111"/>
      <c r="J22" s="111"/>
      <c r="K22" s="109" t="s">
        <v>347</v>
      </c>
      <c r="L22" s="240" t="e">
        <f>Stoichiometry!G89</f>
        <v>#DIV/0!</v>
      </c>
      <c r="M22" s="109" t="s">
        <v>299</v>
      </c>
      <c r="N22" s="109"/>
      <c r="O22" s="109"/>
      <c r="P22" s="111" t="s">
        <v>564</v>
      </c>
      <c r="Q22" s="192"/>
    </row>
    <row r="23" spans="1:22" ht="16" x14ac:dyDescent="0.2">
      <c r="A23" s="133"/>
      <c r="B23" s="109"/>
      <c r="C23" s="240"/>
      <c r="D23" s="111"/>
      <c r="E23" s="111"/>
      <c r="F23" s="111"/>
      <c r="G23" s="111"/>
      <c r="H23" s="111"/>
      <c r="I23" s="111"/>
      <c r="J23" s="111"/>
      <c r="K23" s="109" t="s">
        <v>347</v>
      </c>
      <c r="L23" s="240" t="e">
        <f>L22/N23</f>
        <v>#DIV/0!</v>
      </c>
      <c r="M23" s="109" t="s">
        <v>312</v>
      </c>
      <c r="N23" s="511" t="e">
        <f>Stoichiometry!C89</f>
        <v>#DIV/0!</v>
      </c>
      <c r="O23" s="511"/>
      <c r="P23" s="111"/>
      <c r="Q23" s="192"/>
    </row>
    <row r="24" spans="1:22" x14ac:dyDescent="0.2">
      <c r="A24" s="133"/>
      <c r="B24" s="109"/>
      <c r="C24" s="109"/>
      <c r="D24" s="111"/>
      <c r="E24" s="111"/>
      <c r="F24" s="111"/>
      <c r="G24" s="111"/>
      <c r="H24" s="111"/>
      <c r="I24" s="111"/>
      <c r="J24" s="111"/>
      <c r="K24" s="109"/>
      <c r="L24" s="109"/>
      <c r="M24" s="109"/>
      <c r="N24" s="109"/>
      <c r="O24" s="109"/>
      <c r="P24" s="111"/>
      <c r="Q24" s="195"/>
    </row>
    <row r="25" spans="1:22" ht="16" x14ac:dyDescent="0.2">
      <c r="A25" s="387" t="s">
        <v>217</v>
      </c>
      <c r="B25" s="87"/>
      <c r="C25" s="107"/>
      <c r="D25" s="87"/>
      <c r="E25" s="87"/>
      <c r="F25" s="87"/>
      <c r="G25" s="87"/>
      <c r="H25" s="87"/>
      <c r="I25" s="87"/>
      <c r="J25" s="87"/>
      <c r="K25" s="107"/>
      <c r="L25" s="107"/>
      <c r="M25" s="107"/>
      <c r="N25" s="107"/>
      <c r="O25" s="107"/>
      <c r="P25" s="87"/>
      <c r="Q25" s="192"/>
    </row>
    <row r="26" spans="1:22" ht="16" x14ac:dyDescent="0.2">
      <c r="A26" s="211" t="s">
        <v>349</v>
      </c>
      <c r="B26" s="109" t="s">
        <v>347</v>
      </c>
      <c r="C26" s="240" t="e">
        <f>L22</f>
        <v>#DIV/0!</v>
      </c>
      <c r="D26" s="111" t="s">
        <v>299</v>
      </c>
      <c r="E26" s="111"/>
      <c r="F26" s="111"/>
      <c r="G26" s="111"/>
      <c r="H26" s="111"/>
      <c r="I26" s="111"/>
      <c r="J26" s="111"/>
      <c r="K26" s="109"/>
      <c r="L26" s="109"/>
      <c r="M26" s="109"/>
      <c r="N26" s="109"/>
      <c r="O26" s="109"/>
      <c r="P26" s="111"/>
      <c r="Q26" s="192"/>
    </row>
    <row r="27" spans="1:22" ht="16" x14ac:dyDescent="0.2">
      <c r="A27" s="133"/>
      <c r="B27" s="109"/>
      <c r="C27" s="109"/>
      <c r="D27" s="111"/>
      <c r="E27" s="109" t="s">
        <v>226</v>
      </c>
      <c r="F27" s="243" t="e">
        <f>(Stoichiometry!G80/(Stoichiometry!J11/1000)+Stoichiometry!G81/(Stoichiometry!J6/1000)+Stoichiometry!G82/(Stoichiometry!J5/1000)+Stoichiometry!G83/(Stoichiometry!J7/1000)+Stoichiometry!G84/(Stoichiometry!J8/1000)+Stoichiometry!G85/(Stoichiometry!J9/1000)+Stoichiometry!G86/(Stoichiometry!J10/1000))*Q27</f>
        <v>#DIV/0!</v>
      </c>
      <c r="G27" s="111" t="s">
        <v>299</v>
      </c>
      <c r="H27" s="111"/>
      <c r="I27" s="111"/>
      <c r="J27" s="111"/>
      <c r="K27" s="109"/>
      <c r="L27" s="109"/>
      <c r="M27" s="109"/>
      <c r="N27" s="109"/>
      <c r="O27" s="109"/>
      <c r="P27" s="111" t="s">
        <v>565</v>
      </c>
      <c r="Q27" s="818">
        <v>1.2</v>
      </c>
    </row>
    <row r="28" spans="1:22" ht="16" x14ac:dyDescent="0.2">
      <c r="A28" s="133"/>
      <c r="B28" s="109"/>
      <c r="C28" s="109"/>
      <c r="D28" s="111"/>
      <c r="E28" s="109"/>
      <c r="F28" s="243"/>
      <c r="G28" s="111"/>
      <c r="H28" s="111" t="s">
        <v>52</v>
      </c>
      <c r="I28" s="344" t="e">
        <f>Energy!O59</f>
        <v>#DIV/0!</v>
      </c>
      <c r="J28" s="111" t="s">
        <v>233</v>
      </c>
      <c r="K28" s="109"/>
      <c r="L28" s="109"/>
      <c r="M28" s="109"/>
      <c r="N28" s="109"/>
      <c r="O28" s="109"/>
      <c r="P28" s="111"/>
      <c r="Q28" s="469"/>
    </row>
    <row r="29" spans="1:22" ht="15.5" customHeight="1" x14ac:dyDescent="0.2">
      <c r="A29" s="133"/>
      <c r="B29" s="109"/>
      <c r="C29" s="109"/>
      <c r="D29" s="111"/>
      <c r="E29" s="111"/>
      <c r="F29" s="110"/>
      <c r="G29" s="111"/>
      <c r="H29" s="111"/>
      <c r="I29" s="111"/>
      <c r="J29" s="111"/>
      <c r="K29" s="109" t="s">
        <v>351</v>
      </c>
      <c r="L29" s="240" t="e">
        <f>C26+F27</f>
        <v>#DIV/0!</v>
      </c>
      <c r="M29" s="109" t="s">
        <v>299</v>
      </c>
      <c r="N29" s="109"/>
      <c r="O29" s="109"/>
      <c r="P29" s="111"/>
      <c r="Q29" s="192"/>
    </row>
    <row r="30" spans="1:22" ht="15.5" customHeight="1" x14ac:dyDescent="0.2">
      <c r="A30" s="133"/>
      <c r="B30" s="109"/>
      <c r="C30" s="243"/>
      <c r="D30" s="111"/>
      <c r="E30" s="111"/>
      <c r="F30" s="111"/>
      <c r="G30" s="111"/>
      <c r="H30" s="111"/>
      <c r="I30" s="111"/>
      <c r="J30" s="111"/>
      <c r="K30" s="109" t="s">
        <v>351</v>
      </c>
      <c r="L30" s="240" t="e">
        <f>L29/N30</f>
        <v>#DIV/0!</v>
      </c>
      <c r="M30" s="109" t="s">
        <v>312</v>
      </c>
      <c r="N30" s="519" t="e">
        <f>C26*Stoichiometry!C89/L29+F27*1/L29</f>
        <v>#DIV/0!</v>
      </c>
      <c r="O30" s="519"/>
      <c r="P30" s="111"/>
      <c r="Q30" s="192"/>
    </row>
    <row r="31" spans="1:22" x14ac:dyDescent="0.2">
      <c r="A31" s="133"/>
      <c r="B31" s="109"/>
      <c r="C31" s="109"/>
      <c r="D31" s="111"/>
      <c r="E31" s="111"/>
      <c r="F31" s="111"/>
      <c r="G31" s="111"/>
      <c r="H31" s="111"/>
      <c r="I31" s="111"/>
      <c r="J31" s="111"/>
      <c r="K31" s="109"/>
      <c r="L31" s="109"/>
      <c r="M31" s="109"/>
      <c r="N31" s="109"/>
      <c r="O31" s="109"/>
      <c r="P31" s="111"/>
      <c r="Q31" s="195"/>
    </row>
    <row r="32" spans="1:22" ht="16" x14ac:dyDescent="0.2">
      <c r="A32" s="387" t="s">
        <v>566</v>
      </c>
      <c r="B32" s="87"/>
      <c r="C32" s="107"/>
      <c r="D32" s="87"/>
      <c r="E32" s="87"/>
      <c r="F32" s="87"/>
      <c r="G32" s="87"/>
      <c r="H32" s="87"/>
      <c r="I32" s="87"/>
      <c r="J32" s="87"/>
      <c r="K32" s="107"/>
      <c r="L32" s="107"/>
      <c r="M32" s="107"/>
      <c r="N32" s="107"/>
      <c r="O32" s="107"/>
      <c r="P32" s="87"/>
      <c r="Q32" s="192"/>
    </row>
    <row r="33" spans="1:25" ht="16" x14ac:dyDescent="0.2">
      <c r="A33" s="133" t="s">
        <v>567</v>
      </c>
      <c r="B33" s="109" t="s">
        <v>351</v>
      </c>
      <c r="C33" s="240" t="e">
        <f>L29</f>
        <v>#DIV/0!</v>
      </c>
      <c r="D33" s="111" t="s">
        <v>299</v>
      </c>
      <c r="E33" s="111"/>
      <c r="F33" s="111"/>
      <c r="G33" s="111"/>
      <c r="H33" s="111"/>
      <c r="I33" s="111"/>
      <c r="J33" s="111"/>
      <c r="K33" s="109"/>
      <c r="L33" s="109"/>
      <c r="M33" s="109"/>
      <c r="N33" s="109"/>
      <c r="O33" s="109"/>
      <c r="P33" s="111"/>
      <c r="Q33" s="192"/>
    </row>
    <row r="34" spans="1:25" ht="16" x14ac:dyDescent="0.2">
      <c r="A34" s="133"/>
      <c r="B34" s="109"/>
      <c r="C34" s="240"/>
      <c r="D34" s="111"/>
      <c r="E34" s="111"/>
      <c r="F34" s="111"/>
      <c r="G34" s="111"/>
      <c r="H34" s="111" t="s">
        <v>52</v>
      </c>
      <c r="I34" s="344" t="e">
        <f>Energy!O60</f>
        <v>#DIV/0!</v>
      </c>
      <c r="J34" s="111" t="s">
        <v>233</v>
      </c>
      <c r="K34" s="109"/>
      <c r="L34" s="109"/>
      <c r="M34" s="109"/>
      <c r="N34" s="109"/>
      <c r="O34" s="109"/>
      <c r="P34" s="111"/>
      <c r="Q34" s="470"/>
    </row>
    <row r="35" spans="1:25" ht="16" x14ac:dyDescent="0.2">
      <c r="A35" s="133"/>
      <c r="B35" s="109"/>
      <c r="C35" s="109"/>
      <c r="D35" s="111"/>
      <c r="E35" s="111"/>
      <c r="F35" s="111"/>
      <c r="G35" s="111"/>
      <c r="H35" s="111"/>
      <c r="I35" s="111"/>
      <c r="J35" s="111"/>
      <c r="K35" s="109" t="s">
        <v>568</v>
      </c>
      <c r="L35" s="240" t="e">
        <f>C12*Efficiencies!E55</f>
        <v>#DIV/0!</v>
      </c>
      <c r="M35" s="109" t="s">
        <v>299</v>
      </c>
      <c r="N35" s="109"/>
      <c r="O35" s="109"/>
      <c r="P35" s="111"/>
      <c r="Q35" s="192"/>
    </row>
    <row r="36" spans="1:25" ht="16" x14ac:dyDescent="0.2">
      <c r="A36" s="133"/>
      <c r="B36" s="109"/>
      <c r="C36" s="109"/>
      <c r="D36" s="111"/>
      <c r="E36" s="111"/>
      <c r="F36" s="111"/>
      <c r="G36" s="111"/>
      <c r="H36" s="111"/>
      <c r="I36" s="111"/>
      <c r="J36" s="111"/>
      <c r="K36" s="109" t="s">
        <v>351</v>
      </c>
      <c r="L36" s="240" t="e">
        <f>C33-L35</f>
        <v>#DIV/0!</v>
      </c>
      <c r="M36" s="109" t="s">
        <v>299</v>
      </c>
      <c r="N36" s="109"/>
      <c r="O36" s="109"/>
      <c r="P36" s="111"/>
      <c r="Q36" s="192"/>
    </row>
    <row r="37" spans="1:25" x14ac:dyDescent="0.2">
      <c r="A37" s="170"/>
      <c r="B37" s="114"/>
      <c r="C37" s="114"/>
      <c r="D37" s="94"/>
      <c r="E37" s="94"/>
      <c r="F37" s="94"/>
      <c r="G37" s="94"/>
      <c r="H37" s="94"/>
      <c r="I37" s="94"/>
      <c r="J37" s="94"/>
      <c r="K37" s="114"/>
      <c r="L37" s="388"/>
      <c r="M37" s="114"/>
      <c r="N37" s="114"/>
      <c r="O37" s="114"/>
      <c r="P37" s="94"/>
      <c r="Q37" s="195"/>
    </row>
    <row r="38" spans="1:25" ht="16" x14ac:dyDescent="0.2">
      <c r="A38" s="778" t="s">
        <v>569</v>
      </c>
      <c r="B38" s="109"/>
      <c r="C38" s="109"/>
      <c r="D38" s="111"/>
      <c r="E38" s="111"/>
      <c r="F38" s="111"/>
      <c r="G38" s="111"/>
      <c r="H38" s="111"/>
      <c r="I38" s="111"/>
      <c r="J38" s="111"/>
      <c r="K38" s="109"/>
      <c r="L38" s="240"/>
      <c r="M38" s="109"/>
      <c r="N38" s="109"/>
      <c r="O38" s="109"/>
      <c r="P38" s="111"/>
      <c r="Q38" s="192"/>
    </row>
    <row r="39" spans="1:25" ht="16" x14ac:dyDescent="0.2">
      <c r="A39" s="133"/>
      <c r="B39" s="111" t="s">
        <v>59</v>
      </c>
      <c r="C39" s="240" t="e">
        <f>IF(Macro!D12=TRUE,L35,0)</f>
        <v>#DIV/0!</v>
      </c>
      <c r="D39" s="111" t="s">
        <v>299</v>
      </c>
      <c r="E39" s="111"/>
      <c r="F39" s="111"/>
      <c r="G39" s="111"/>
      <c r="H39" s="111"/>
      <c r="I39" s="111"/>
      <c r="J39" s="111"/>
      <c r="K39" s="109"/>
      <c r="L39" s="240"/>
      <c r="M39" s="109"/>
      <c r="N39" s="109"/>
      <c r="O39" s="109"/>
      <c r="P39" s="111" t="s">
        <v>570</v>
      </c>
      <c r="Q39" s="192"/>
    </row>
    <row r="40" spans="1:25" ht="16" x14ac:dyDescent="0.2">
      <c r="A40" s="133"/>
      <c r="B40" s="109"/>
      <c r="C40" s="109"/>
      <c r="D40" s="111"/>
      <c r="E40" s="111" t="s">
        <v>226</v>
      </c>
      <c r="F40" s="281" t="e">
        <f>C39*Q40</f>
        <v>#DIV/0!</v>
      </c>
      <c r="G40" s="111" t="s">
        <v>299</v>
      </c>
      <c r="H40" s="111"/>
      <c r="I40" s="111"/>
      <c r="J40" s="111"/>
      <c r="K40" s="109"/>
      <c r="L40" s="240"/>
      <c r="M40" s="109"/>
      <c r="N40" s="109"/>
      <c r="O40" s="109"/>
      <c r="P40" s="111" t="s">
        <v>571</v>
      </c>
      <c r="Q40" s="818">
        <v>3</v>
      </c>
    </row>
    <row r="41" spans="1:25" ht="16" x14ac:dyDescent="0.2">
      <c r="A41" s="133"/>
      <c r="B41" s="109"/>
      <c r="C41" s="109"/>
      <c r="D41" s="111"/>
      <c r="E41" s="111"/>
      <c r="F41" s="111"/>
      <c r="G41" s="111"/>
      <c r="H41" s="111" t="s">
        <v>52</v>
      </c>
      <c r="I41" s="344" t="e">
        <f>Energy!O61</f>
        <v>#DIV/0!</v>
      </c>
      <c r="J41" s="111" t="s">
        <v>233</v>
      </c>
      <c r="K41" s="109"/>
      <c r="L41" s="240"/>
      <c r="M41" s="109"/>
      <c r="N41" s="109"/>
      <c r="O41" s="109"/>
      <c r="P41" s="111"/>
      <c r="Q41" s="192"/>
      <c r="U41" s="181"/>
      <c r="W41" s="168"/>
      <c r="X41" s="360"/>
      <c r="Y41" s="168"/>
    </row>
    <row r="42" spans="1:25" ht="16" x14ac:dyDescent="0.2">
      <c r="A42" s="133"/>
      <c r="B42" s="109"/>
      <c r="C42" s="109"/>
      <c r="D42" s="111"/>
      <c r="E42" s="111"/>
      <c r="F42" s="111"/>
      <c r="G42" s="111"/>
      <c r="H42" s="111"/>
      <c r="I42" s="111"/>
      <c r="J42" s="111"/>
      <c r="K42" s="109" t="s">
        <v>59</v>
      </c>
      <c r="L42" s="240" t="e">
        <f>C39</f>
        <v>#DIV/0!</v>
      </c>
      <c r="M42" s="109" t="s">
        <v>299</v>
      </c>
      <c r="N42" s="109"/>
      <c r="O42" s="109"/>
      <c r="P42" s="111" t="s">
        <v>572</v>
      </c>
      <c r="Q42" s="192"/>
      <c r="U42" s="181"/>
      <c r="W42" s="168"/>
      <c r="X42" s="360"/>
      <c r="Y42" s="168"/>
    </row>
    <row r="43" spans="1:25" ht="16" x14ac:dyDescent="0.2">
      <c r="A43" s="133"/>
      <c r="B43" s="109"/>
      <c r="C43" s="109"/>
      <c r="D43" s="111"/>
      <c r="E43" s="111"/>
      <c r="F43" s="111"/>
      <c r="G43" s="111"/>
      <c r="H43" s="111"/>
      <c r="I43" s="111"/>
      <c r="J43" s="111"/>
      <c r="K43" s="109" t="s">
        <v>59</v>
      </c>
      <c r="L43" s="240" t="e">
        <f>L42/Stoichiometry!C87</f>
        <v>#DIV/0!</v>
      </c>
      <c r="M43" s="109" t="s">
        <v>312</v>
      </c>
      <c r="N43" s="109"/>
      <c r="O43" s="109"/>
      <c r="P43" s="111"/>
      <c r="Q43" s="192"/>
      <c r="U43" s="181"/>
      <c r="W43" s="168"/>
      <c r="X43" s="360"/>
      <c r="Y43" s="168"/>
    </row>
    <row r="44" spans="1:25" x14ac:dyDescent="0.2">
      <c r="A44" s="133"/>
      <c r="B44" s="109"/>
      <c r="C44" s="109"/>
      <c r="D44" s="111"/>
      <c r="E44" s="111"/>
      <c r="F44" s="111"/>
      <c r="G44" s="111"/>
      <c r="H44" s="111"/>
      <c r="I44" s="111"/>
      <c r="J44" s="111"/>
      <c r="K44" s="109"/>
      <c r="L44" s="109"/>
      <c r="M44" s="109"/>
      <c r="N44" s="109"/>
      <c r="O44" s="109"/>
      <c r="P44" s="111"/>
      <c r="Q44" s="195"/>
    </row>
    <row r="45" spans="1:25" ht="16" x14ac:dyDescent="0.2">
      <c r="A45" s="387" t="s">
        <v>223</v>
      </c>
      <c r="B45" s="87"/>
      <c r="C45" s="107"/>
      <c r="D45" s="87"/>
      <c r="E45" s="87"/>
      <c r="F45" s="87"/>
      <c r="G45" s="87"/>
      <c r="H45" s="87"/>
      <c r="I45" s="87"/>
      <c r="J45" s="87"/>
      <c r="K45" s="107"/>
      <c r="L45" s="107"/>
      <c r="M45" s="107"/>
      <c r="N45" s="107"/>
      <c r="O45" s="107"/>
      <c r="P45" s="87"/>
      <c r="Q45" s="192"/>
    </row>
    <row r="46" spans="1:25" ht="16" x14ac:dyDescent="0.2">
      <c r="A46" s="133" t="s">
        <v>353</v>
      </c>
      <c r="B46" s="109" t="s">
        <v>351</v>
      </c>
      <c r="C46" s="240" t="e">
        <f>L36</f>
        <v>#DIV/0!</v>
      </c>
      <c r="D46" s="111" t="s">
        <v>299</v>
      </c>
      <c r="E46" s="111"/>
      <c r="F46" s="111"/>
      <c r="G46" s="111"/>
      <c r="H46" s="111"/>
      <c r="I46" s="111"/>
      <c r="J46" s="111"/>
      <c r="K46" s="109"/>
      <c r="L46" s="109"/>
      <c r="M46" s="109"/>
      <c r="N46" s="109"/>
      <c r="O46" s="109"/>
      <c r="P46" s="111"/>
      <c r="Q46" s="192"/>
    </row>
    <row r="47" spans="1:25" ht="44" customHeight="1" x14ac:dyDescent="0.2">
      <c r="A47" s="133"/>
      <c r="B47" s="109"/>
      <c r="C47" s="109"/>
      <c r="D47" s="111"/>
      <c r="E47" s="109" t="s">
        <v>49</v>
      </c>
      <c r="F47" s="244" t="e">
        <f>C11*(Stoichiometry!D73/Stoichiometry!D72)*Q47</f>
        <v>#DIV/0!</v>
      </c>
      <c r="G47" s="111" t="s">
        <v>299</v>
      </c>
      <c r="H47" s="111"/>
      <c r="I47" s="111"/>
      <c r="J47" s="111"/>
      <c r="K47" s="109"/>
      <c r="L47" s="109"/>
      <c r="M47" s="109"/>
      <c r="N47" s="109"/>
      <c r="O47" s="109"/>
      <c r="P47" s="111" t="s">
        <v>573</v>
      </c>
      <c r="Q47" s="818">
        <v>1.1000000000000001</v>
      </c>
    </row>
    <row r="48" spans="1:25" ht="16" x14ac:dyDescent="0.2">
      <c r="A48" s="133"/>
      <c r="B48" s="109"/>
      <c r="C48" s="109"/>
      <c r="D48" s="111"/>
      <c r="E48" s="109"/>
      <c r="F48" s="244"/>
      <c r="G48" s="111"/>
      <c r="H48" s="111" t="s">
        <v>52</v>
      </c>
      <c r="I48" s="344" t="e">
        <f>Energy!O62</f>
        <v>#DIV/0!</v>
      </c>
      <c r="J48" s="111" t="s">
        <v>233</v>
      </c>
      <c r="K48" s="109"/>
      <c r="L48" s="109"/>
      <c r="M48" s="109"/>
      <c r="N48" s="109"/>
      <c r="O48" s="109"/>
      <c r="P48" s="111"/>
      <c r="Q48" s="469"/>
      <c r="Y48" s="168"/>
    </row>
    <row r="49" spans="1:17" ht="16" x14ac:dyDescent="0.2">
      <c r="A49" s="133"/>
      <c r="B49" s="109"/>
      <c r="C49" s="109"/>
      <c r="D49" s="111"/>
      <c r="E49" s="111"/>
      <c r="F49" s="111"/>
      <c r="G49" s="111"/>
      <c r="H49" s="111"/>
      <c r="I49" s="111"/>
      <c r="J49" s="111"/>
      <c r="K49" s="109" t="s">
        <v>351</v>
      </c>
      <c r="L49" s="240" t="e">
        <f>C46+F47</f>
        <v>#DIV/0!</v>
      </c>
      <c r="M49" s="109" t="s">
        <v>299</v>
      </c>
      <c r="N49" s="109"/>
      <c r="O49" s="109"/>
      <c r="P49" s="111"/>
      <c r="Q49" s="192"/>
    </row>
    <row r="50" spans="1:17" ht="16.25" customHeight="1" x14ac:dyDescent="0.2">
      <c r="A50" s="133"/>
      <c r="B50" s="109"/>
      <c r="C50" s="109"/>
      <c r="D50" s="111"/>
      <c r="E50" s="111"/>
      <c r="F50" s="111"/>
      <c r="G50" s="111"/>
      <c r="H50" s="111"/>
      <c r="I50" s="111"/>
      <c r="J50" s="111"/>
      <c r="K50" s="109" t="s">
        <v>351</v>
      </c>
      <c r="L50" s="240" t="e">
        <f>L49/N50</f>
        <v>#DIV/0!</v>
      </c>
      <c r="M50" s="109" t="s">
        <v>312</v>
      </c>
      <c r="N50" s="519" t="e">
        <f>N30</f>
        <v>#DIV/0!</v>
      </c>
      <c r="O50" s="519"/>
      <c r="P50" s="111"/>
      <c r="Q50" s="192"/>
    </row>
    <row r="51" spans="1:17" x14ac:dyDescent="0.2">
      <c r="A51" s="133"/>
      <c r="B51" s="109"/>
      <c r="C51" s="109"/>
      <c r="D51" s="111"/>
      <c r="E51" s="111"/>
      <c r="F51" s="111"/>
      <c r="G51" s="111"/>
      <c r="H51" s="111"/>
      <c r="I51" s="111"/>
      <c r="J51" s="111"/>
      <c r="K51" s="109"/>
      <c r="L51" s="109"/>
      <c r="M51" s="109"/>
      <c r="N51" s="109"/>
      <c r="O51" s="109"/>
      <c r="P51" s="111"/>
      <c r="Q51" s="195"/>
    </row>
    <row r="52" spans="1:17" ht="16" x14ac:dyDescent="0.2">
      <c r="A52" s="387" t="s">
        <v>224</v>
      </c>
      <c r="B52" s="87"/>
      <c r="C52" s="107"/>
      <c r="D52" s="87"/>
      <c r="E52" s="87"/>
      <c r="F52" s="87"/>
      <c r="G52" s="87"/>
      <c r="H52" s="87"/>
      <c r="I52" s="87"/>
      <c r="J52" s="87"/>
      <c r="K52" s="107"/>
      <c r="L52" s="107"/>
      <c r="M52" s="107"/>
      <c r="N52" s="107"/>
      <c r="O52" s="107"/>
      <c r="P52" s="87"/>
      <c r="Q52" s="192"/>
    </row>
    <row r="53" spans="1:17" ht="16" x14ac:dyDescent="0.2">
      <c r="A53" s="133" t="s">
        <v>355</v>
      </c>
      <c r="B53" s="109" t="s">
        <v>351</v>
      </c>
      <c r="C53" s="240" t="e">
        <f>L49</f>
        <v>#DIV/0!</v>
      </c>
      <c r="D53" s="111" t="s">
        <v>299</v>
      </c>
      <c r="E53" s="111"/>
      <c r="F53" s="111"/>
      <c r="G53" s="111"/>
      <c r="H53" s="111"/>
      <c r="I53" s="111"/>
      <c r="J53" s="111"/>
      <c r="K53" s="109"/>
      <c r="L53" s="109"/>
      <c r="M53" s="109"/>
      <c r="N53" s="109"/>
      <c r="O53" s="109"/>
      <c r="P53" s="111"/>
      <c r="Q53" s="192"/>
    </row>
    <row r="54" spans="1:17" ht="16" x14ac:dyDescent="0.2">
      <c r="A54" s="133"/>
      <c r="B54" s="109"/>
      <c r="C54" s="240"/>
      <c r="D54" s="111"/>
      <c r="E54" s="111"/>
      <c r="F54" s="111"/>
      <c r="G54" s="111"/>
      <c r="H54" s="111" t="s">
        <v>52</v>
      </c>
      <c r="I54" s="344" t="e">
        <f>Energy!O63</f>
        <v>#DIV/0!</v>
      </c>
      <c r="J54" s="111" t="s">
        <v>233</v>
      </c>
      <c r="K54" s="109"/>
      <c r="L54" s="109"/>
      <c r="M54" s="109"/>
      <c r="N54" s="109"/>
      <c r="O54" s="109"/>
      <c r="P54" s="111"/>
      <c r="Q54" s="470"/>
    </row>
    <row r="55" spans="1:17" ht="16" x14ac:dyDescent="0.2">
      <c r="A55" s="133"/>
      <c r="B55" s="109"/>
      <c r="C55" s="109"/>
      <c r="D55" s="111"/>
      <c r="E55" s="111"/>
      <c r="F55" s="111"/>
      <c r="G55" s="111"/>
      <c r="H55" s="111"/>
      <c r="I55" s="111"/>
      <c r="J55" s="111"/>
      <c r="K55" s="109" t="s">
        <v>574</v>
      </c>
      <c r="L55" s="240" t="e">
        <f>C11*Efficiencies!E56</f>
        <v>#DIV/0!</v>
      </c>
      <c r="M55" s="109" t="s">
        <v>299</v>
      </c>
      <c r="N55" s="109"/>
      <c r="O55" s="109"/>
      <c r="P55" s="111"/>
      <c r="Q55" s="192"/>
    </row>
    <row r="56" spans="1:17" ht="16" x14ac:dyDescent="0.2">
      <c r="A56" s="133"/>
      <c r="B56" s="109"/>
      <c r="C56" s="109"/>
      <c r="D56" s="111"/>
      <c r="E56" s="111"/>
      <c r="F56" s="111"/>
      <c r="G56" s="111"/>
      <c r="H56" s="111"/>
      <c r="I56" s="111"/>
      <c r="J56" s="111"/>
      <c r="K56" s="109" t="s">
        <v>351</v>
      </c>
      <c r="L56" s="240" t="e">
        <f>C53-L55</f>
        <v>#DIV/0!</v>
      </c>
      <c r="M56" s="109" t="s">
        <v>299</v>
      </c>
      <c r="N56" s="109"/>
      <c r="O56" s="109"/>
      <c r="P56" s="111"/>
      <c r="Q56" s="192"/>
    </row>
    <row r="57" spans="1:17" x14ac:dyDescent="0.2">
      <c r="A57" s="133"/>
      <c r="B57" s="109"/>
      <c r="C57" s="109"/>
      <c r="D57" s="111"/>
      <c r="E57" s="111"/>
      <c r="F57" s="111"/>
      <c r="G57" s="111"/>
      <c r="H57" s="111"/>
      <c r="I57" s="111"/>
      <c r="J57" s="111"/>
      <c r="K57" s="109"/>
      <c r="L57" s="109"/>
      <c r="M57" s="109"/>
      <c r="N57" s="109"/>
      <c r="O57" s="109"/>
      <c r="P57" s="111"/>
      <c r="Q57" s="195"/>
    </row>
    <row r="58" spans="1:17" ht="16" x14ac:dyDescent="0.2">
      <c r="A58" s="387" t="s">
        <v>220</v>
      </c>
      <c r="B58" s="87"/>
      <c r="C58" s="107"/>
      <c r="D58" s="87"/>
      <c r="E58" s="87"/>
      <c r="F58" s="87"/>
      <c r="G58" s="87"/>
      <c r="H58" s="87"/>
      <c r="I58" s="87"/>
      <c r="J58" s="87"/>
      <c r="K58" s="107"/>
      <c r="L58" s="107"/>
      <c r="M58" s="107"/>
      <c r="N58" s="107"/>
      <c r="O58" s="107"/>
      <c r="P58" s="87"/>
      <c r="Q58" s="192"/>
    </row>
    <row r="59" spans="1:17" ht="16" x14ac:dyDescent="0.2">
      <c r="A59" s="211" t="s">
        <v>353</v>
      </c>
      <c r="B59" s="109" t="s">
        <v>351</v>
      </c>
      <c r="C59" s="240" t="e">
        <f>L56</f>
        <v>#DIV/0!</v>
      </c>
      <c r="D59" s="111" t="s">
        <v>299</v>
      </c>
      <c r="E59" s="111"/>
      <c r="F59" s="111"/>
      <c r="G59" s="111"/>
      <c r="H59" s="111"/>
      <c r="I59" s="111"/>
      <c r="J59" s="111"/>
      <c r="K59" s="109"/>
      <c r="L59" s="109"/>
      <c r="M59" s="109"/>
      <c r="N59" s="109"/>
      <c r="O59" s="109"/>
      <c r="P59" s="111"/>
      <c r="Q59" s="192"/>
    </row>
    <row r="60" spans="1:17" ht="16" x14ac:dyDescent="0.2">
      <c r="A60" s="211"/>
      <c r="B60" s="109" t="s">
        <v>351</v>
      </c>
      <c r="C60" s="240" t="e">
        <f>C59/N60</f>
        <v>#DIV/0!</v>
      </c>
      <c r="D60" s="111" t="s">
        <v>312</v>
      </c>
      <c r="E60" s="111"/>
      <c r="F60" s="111"/>
      <c r="G60" s="111"/>
      <c r="H60" s="111"/>
      <c r="I60" s="111"/>
      <c r="J60" s="111"/>
      <c r="K60" s="109"/>
      <c r="L60" s="109"/>
      <c r="M60" s="109"/>
      <c r="N60" s="519" t="e">
        <f>N50</f>
        <v>#DIV/0!</v>
      </c>
      <c r="O60" s="519"/>
      <c r="P60" s="111"/>
      <c r="Q60" s="192"/>
    </row>
    <row r="61" spans="1:17" ht="16" x14ac:dyDescent="0.2">
      <c r="A61" s="133"/>
      <c r="B61" s="109"/>
      <c r="C61" s="109"/>
      <c r="D61" s="111"/>
      <c r="E61" s="109" t="s">
        <v>78</v>
      </c>
      <c r="F61" s="240" t="e">
        <f>F62*Stoichiometry!C93</f>
        <v>#DIV/0!</v>
      </c>
      <c r="G61" s="111" t="s">
        <v>299</v>
      </c>
      <c r="H61" s="111"/>
      <c r="I61" s="111"/>
      <c r="J61" s="111"/>
      <c r="K61" s="109"/>
      <c r="L61" s="109"/>
      <c r="M61" s="109"/>
      <c r="N61" s="109"/>
      <c r="O61" s="109"/>
      <c r="P61" s="111" t="s">
        <v>358</v>
      </c>
      <c r="Q61" s="823">
        <v>0.04</v>
      </c>
    </row>
    <row r="62" spans="1:17" ht="16" x14ac:dyDescent="0.2">
      <c r="A62" s="133"/>
      <c r="B62" s="109"/>
      <c r="C62" s="109"/>
      <c r="D62" s="111"/>
      <c r="E62" s="109" t="s">
        <v>78</v>
      </c>
      <c r="F62" s="240" t="e">
        <f>C60*Q61</f>
        <v>#DIV/0!</v>
      </c>
      <c r="G62" s="111" t="s">
        <v>312</v>
      </c>
      <c r="H62" s="111"/>
      <c r="I62" s="111"/>
      <c r="J62" s="111"/>
      <c r="K62" s="109"/>
      <c r="L62" s="109"/>
      <c r="M62" s="109"/>
      <c r="N62" s="109"/>
      <c r="O62" s="109"/>
      <c r="P62" s="111"/>
      <c r="Q62" s="192"/>
    </row>
    <row r="63" spans="1:17" ht="16" x14ac:dyDescent="0.2">
      <c r="A63" s="133"/>
      <c r="B63" s="109"/>
      <c r="C63" s="109"/>
      <c r="D63" s="111"/>
      <c r="E63" s="109"/>
      <c r="F63" s="240"/>
      <c r="H63" s="111" t="s">
        <v>52</v>
      </c>
      <c r="I63" s="344" t="e">
        <f>Energy!O64</f>
        <v>#DIV/0!</v>
      </c>
      <c r="J63" s="111" t="s">
        <v>233</v>
      </c>
      <c r="K63" s="109"/>
      <c r="L63" s="109"/>
      <c r="M63" s="109"/>
      <c r="N63" s="109"/>
      <c r="O63" s="109"/>
      <c r="P63" s="111"/>
      <c r="Q63" s="470"/>
    </row>
    <row r="64" spans="1:17" ht="16" x14ac:dyDescent="0.2">
      <c r="A64" s="133"/>
      <c r="B64" s="109"/>
      <c r="C64" s="109"/>
      <c r="D64" s="111"/>
      <c r="E64" s="111"/>
      <c r="F64" s="111"/>
      <c r="H64" s="111"/>
      <c r="I64" s="111"/>
      <c r="J64" s="111"/>
      <c r="K64" s="109" t="s">
        <v>351</v>
      </c>
      <c r="L64" s="240" t="e">
        <f>C59+F61</f>
        <v>#DIV/0!</v>
      </c>
      <c r="M64" s="109" t="s">
        <v>299</v>
      </c>
      <c r="N64" s="109"/>
      <c r="O64" s="109"/>
      <c r="P64" s="111"/>
      <c r="Q64" s="192"/>
    </row>
    <row r="65" spans="1:17" ht="16" x14ac:dyDescent="0.2">
      <c r="A65" s="133"/>
      <c r="B65" s="109"/>
      <c r="C65" s="109"/>
      <c r="D65" s="111"/>
      <c r="E65" s="111"/>
      <c r="F65" s="111"/>
      <c r="G65" s="111"/>
      <c r="H65" s="111"/>
      <c r="I65" s="111"/>
      <c r="J65" s="111"/>
      <c r="K65" s="109" t="s">
        <v>351</v>
      </c>
      <c r="L65" s="240" t="e">
        <f>C60+F62</f>
        <v>#DIV/0!</v>
      </c>
      <c r="M65" s="109" t="s">
        <v>312</v>
      </c>
      <c r="N65" s="109"/>
      <c r="O65" s="109"/>
      <c r="P65" s="111"/>
      <c r="Q65" s="192"/>
    </row>
    <row r="66" spans="1:17" x14ac:dyDescent="0.2">
      <c r="A66" s="133"/>
      <c r="B66" s="109"/>
      <c r="C66" s="109"/>
      <c r="D66" s="111"/>
      <c r="E66" s="111"/>
      <c r="F66" s="111"/>
      <c r="G66" s="111"/>
      <c r="H66" s="111"/>
      <c r="I66" s="111"/>
      <c r="J66" s="111"/>
      <c r="K66" s="109"/>
      <c r="L66" s="109"/>
      <c r="M66" s="109"/>
      <c r="N66" s="109"/>
      <c r="O66" s="109"/>
      <c r="P66" s="111"/>
      <c r="Q66" s="195"/>
    </row>
    <row r="67" spans="1:17" ht="16" x14ac:dyDescent="0.2">
      <c r="A67" s="387" t="s">
        <v>575</v>
      </c>
      <c r="B67" s="87"/>
      <c r="C67" s="107"/>
      <c r="D67" s="87"/>
      <c r="E67" s="87"/>
      <c r="F67" s="87"/>
      <c r="G67" s="87"/>
      <c r="H67" s="87"/>
      <c r="I67" s="87"/>
      <c r="J67" s="87"/>
      <c r="K67" s="107"/>
      <c r="L67" s="107"/>
      <c r="M67" s="107"/>
      <c r="N67" s="107"/>
      <c r="O67" s="107"/>
      <c r="P67" s="87"/>
      <c r="Q67" s="192"/>
    </row>
    <row r="68" spans="1:17" ht="16" x14ac:dyDescent="0.2">
      <c r="A68" s="211" t="s">
        <v>349</v>
      </c>
      <c r="B68" s="109" t="s">
        <v>351</v>
      </c>
      <c r="C68" s="240" t="e">
        <f>L64</f>
        <v>#DIV/0!</v>
      </c>
      <c r="D68" s="111" t="s">
        <v>299</v>
      </c>
      <c r="E68" s="111"/>
      <c r="F68" s="111"/>
      <c r="G68" s="111"/>
      <c r="H68" s="111"/>
      <c r="I68" s="111"/>
      <c r="J68" s="111"/>
      <c r="K68" s="109"/>
      <c r="L68" s="109"/>
      <c r="M68" s="109"/>
      <c r="N68" s="109"/>
      <c r="O68" s="109"/>
      <c r="P68" s="111"/>
      <c r="Q68" s="192"/>
    </row>
    <row r="69" spans="1:17" ht="16" x14ac:dyDescent="0.2">
      <c r="A69" s="133"/>
      <c r="B69" s="109"/>
      <c r="C69" s="109"/>
      <c r="D69" s="111"/>
      <c r="E69" s="109" t="s">
        <v>70</v>
      </c>
      <c r="F69" s="240" t="e">
        <f>F20*Q69</f>
        <v>#DIV/0!</v>
      </c>
      <c r="G69" s="111" t="s">
        <v>299</v>
      </c>
      <c r="H69" s="111"/>
      <c r="I69" s="111"/>
      <c r="J69" s="111"/>
      <c r="K69" s="109"/>
      <c r="L69" s="109"/>
      <c r="M69" s="109"/>
      <c r="N69" s="109"/>
      <c r="O69" s="109"/>
      <c r="P69" s="111" t="s">
        <v>359</v>
      </c>
      <c r="Q69" s="818">
        <v>2</v>
      </c>
    </row>
    <row r="70" spans="1:17" ht="16" x14ac:dyDescent="0.2">
      <c r="A70" s="133"/>
      <c r="B70" s="109"/>
      <c r="C70" s="109"/>
      <c r="D70" s="111"/>
      <c r="E70" s="109"/>
      <c r="F70" s="240"/>
      <c r="G70" s="111"/>
      <c r="H70" s="111" t="s">
        <v>52</v>
      </c>
      <c r="I70" s="344" t="e">
        <f>Energy!O65</f>
        <v>#DIV/0!</v>
      </c>
      <c r="J70" s="111" t="s">
        <v>233</v>
      </c>
      <c r="K70" s="109"/>
      <c r="L70" s="109"/>
      <c r="M70" s="109"/>
      <c r="N70" s="109"/>
      <c r="O70" s="109"/>
      <c r="P70" s="111"/>
      <c r="Q70" s="470"/>
    </row>
    <row r="71" spans="1:17" ht="16" x14ac:dyDescent="0.2">
      <c r="A71" s="133"/>
      <c r="B71" s="109"/>
      <c r="C71" s="109"/>
      <c r="D71" s="111"/>
      <c r="E71" s="111"/>
      <c r="F71" s="111"/>
      <c r="G71" s="111"/>
      <c r="H71" s="111"/>
      <c r="I71" s="111"/>
      <c r="J71" s="111"/>
      <c r="K71" s="109" t="s">
        <v>351</v>
      </c>
      <c r="L71" s="240" t="e">
        <f>C68+F69</f>
        <v>#DIV/0!</v>
      </c>
      <c r="M71" s="109" t="s">
        <v>299</v>
      </c>
      <c r="N71" s="111"/>
      <c r="O71" s="111"/>
      <c r="Q71" s="192"/>
    </row>
    <row r="72" spans="1:17" ht="16" x14ac:dyDescent="0.2">
      <c r="A72" s="133"/>
      <c r="B72" s="109"/>
      <c r="C72" s="109"/>
      <c r="D72" s="111"/>
      <c r="E72" s="111"/>
      <c r="F72" s="111"/>
      <c r="G72" s="111"/>
      <c r="H72" s="111"/>
      <c r="I72" s="111"/>
      <c r="J72" s="111"/>
      <c r="K72" s="109" t="s">
        <v>351</v>
      </c>
      <c r="L72" s="240" t="e">
        <f>L71/N72</f>
        <v>#DIV/0!</v>
      </c>
      <c r="M72" s="109" t="s">
        <v>312</v>
      </c>
      <c r="N72" s="519" t="e">
        <f>N60*C68/L71+Stoichiometry!C94*F69/L71</f>
        <v>#DIV/0!</v>
      </c>
      <c r="O72" s="519"/>
      <c r="P72" s="112"/>
      <c r="Q72" s="192"/>
    </row>
    <row r="73" spans="1:17" x14ac:dyDescent="0.2">
      <c r="A73" s="133"/>
      <c r="B73" s="109"/>
      <c r="C73" s="109"/>
      <c r="D73" s="111"/>
      <c r="E73" s="111"/>
      <c r="F73" s="111"/>
      <c r="G73" s="111"/>
      <c r="H73" s="111"/>
      <c r="I73" s="111"/>
      <c r="J73" s="111"/>
      <c r="K73" s="109"/>
      <c r="L73" s="109"/>
      <c r="M73" s="109"/>
      <c r="N73" s="109"/>
      <c r="O73" s="109"/>
      <c r="P73" s="111"/>
      <c r="Q73" s="195"/>
    </row>
    <row r="74" spans="1:17" ht="16" x14ac:dyDescent="0.2">
      <c r="A74" s="387" t="s">
        <v>576</v>
      </c>
      <c r="B74" s="87"/>
      <c r="C74" s="107"/>
      <c r="D74" s="87"/>
      <c r="E74" s="87"/>
      <c r="F74" s="87"/>
      <c r="G74" s="87"/>
      <c r="H74" s="87"/>
      <c r="I74" s="87"/>
      <c r="J74" s="87"/>
      <c r="K74" s="107"/>
      <c r="L74" s="107"/>
      <c r="M74" s="107"/>
      <c r="N74" s="107"/>
      <c r="O74" s="107"/>
      <c r="P74" s="87"/>
      <c r="Q74" s="192"/>
    </row>
    <row r="75" spans="1:17" ht="16" x14ac:dyDescent="0.2">
      <c r="A75" s="133" t="s">
        <v>361</v>
      </c>
      <c r="B75" s="109" t="s">
        <v>351</v>
      </c>
      <c r="C75" s="240" t="e">
        <f>L71</f>
        <v>#DIV/0!</v>
      </c>
      <c r="D75" s="111" t="s">
        <v>299</v>
      </c>
      <c r="E75" s="111"/>
      <c r="F75" s="111"/>
      <c r="G75" s="111"/>
      <c r="H75" s="111"/>
      <c r="I75" s="111"/>
      <c r="J75" s="111"/>
      <c r="K75" s="109"/>
      <c r="L75" s="109"/>
      <c r="M75" s="109"/>
      <c r="N75" s="109"/>
      <c r="O75" s="109"/>
      <c r="P75" s="111"/>
      <c r="Q75" s="192"/>
    </row>
    <row r="76" spans="1:17" ht="16" x14ac:dyDescent="0.2">
      <c r="A76" s="133"/>
      <c r="B76" s="109"/>
      <c r="C76" s="240"/>
      <c r="D76" s="111"/>
      <c r="E76" s="111"/>
      <c r="F76" s="111"/>
      <c r="G76" s="111"/>
      <c r="H76" s="111" t="s">
        <v>52</v>
      </c>
      <c r="I76" s="344" t="e">
        <f>Energy!O66</f>
        <v>#DIV/0!</v>
      </c>
      <c r="J76" s="111" t="s">
        <v>233</v>
      </c>
      <c r="K76" s="109"/>
      <c r="L76" s="109"/>
      <c r="M76" s="109"/>
      <c r="N76" s="109"/>
      <c r="O76" s="109"/>
      <c r="P76" s="111"/>
      <c r="Q76" s="470"/>
    </row>
    <row r="77" spans="1:17" ht="16" x14ac:dyDescent="0.2">
      <c r="A77" s="133"/>
      <c r="B77" s="109"/>
      <c r="C77" s="109"/>
      <c r="D77" s="111"/>
      <c r="E77" s="111"/>
      <c r="F77" s="111"/>
      <c r="G77" s="111"/>
      <c r="H77" s="111"/>
      <c r="I77" s="111"/>
      <c r="J77" s="111"/>
      <c r="K77" s="109" t="s">
        <v>351</v>
      </c>
      <c r="L77" s="240" t="e">
        <f>C75-L79-L80</f>
        <v>#DIV/0!</v>
      </c>
      <c r="M77" s="109" t="s">
        <v>299</v>
      </c>
      <c r="N77" s="109"/>
      <c r="O77" s="109"/>
      <c r="P77" s="111"/>
      <c r="Q77" s="192"/>
    </row>
    <row r="78" spans="1:17" ht="16" x14ac:dyDescent="0.2">
      <c r="A78" s="133"/>
      <c r="B78" s="109"/>
      <c r="C78" s="109"/>
      <c r="D78" s="111"/>
      <c r="E78" s="111"/>
      <c r="F78" s="111"/>
      <c r="G78" s="111"/>
      <c r="H78" s="111"/>
      <c r="I78" s="111"/>
      <c r="J78" s="111"/>
      <c r="K78" s="109" t="s">
        <v>351</v>
      </c>
      <c r="L78" s="240" t="e">
        <f>L77/N78</f>
        <v>#DIV/0!</v>
      </c>
      <c r="M78" s="109" t="s">
        <v>312</v>
      </c>
      <c r="N78" s="513">
        <v>2</v>
      </c>
      <c r="O78" s="513"/>
      <c r="P78" s="112"/>
      <c r="Q78" s="192"/>
    </row>
    <row r="79" spans="1:17" ht="16" x14ac:dyDescent="0.2">
      <c r="A79" s="133"/>
      <c r="B79" s="109"/>
      <c r="C79" s="109"/>
      <c r="D79" s="111"/>
      <c r="E79" s="111"/>
      <c r="F79" s="111"/>
      <c r="G79" s="111"/>
      <c r="H79" s="111"/>
      <c r="I79" s="111"/>
      <c r="J79" s="111"/>
      <c r="K79" s="111" t="s">
        <v>50</v>
      </c>
      <c r="L79" s="246" t="e">
        <f>(C13+F47)*(Stoichiometry!D91/Stoichiometry!D73)*Efficiencies!E57</f>
        <v>#DIV/0!</v>
      </c>
      <c r="M79" s="109" t="s">
        <v>299</v>
      </c>
      <c r="N79" s="109"/>
      <c r="O79" s="109"/>
      <c r="P79" s="111" t="s">
        <v>362</v>
      </c>
      <c r="Q79" s="192"/>
    </row>
    <row r="80" spans="1:17" ht="16" x14ac:dyDescent="0.2">
      <c r="A80" s="133"/>
      <c r="B80" s="109"/>
      <c r="C80" s="109"/>
      <c r="D80" s="111"/>
      <c r="E80" s="111"/>
      <c r="F80" s="111"/>
      <c r="G80" s="111"/>
      <c r="H80" s="111"/>
      <c r="I80" s="111"/>
      <c r="J80" s="111"/>
      <c r="K80" s="109" t="s">
        <v>577</v>
      </c>
      <c r="L80" s="246" t="e">
        <f>C6*(Stoichiometry!D92/Stoichiometry!D67)*Efficiencies!E58</f>
        <v>#DIV/0!</v>
      </c>
      <c r="M80" s="109" t="s">
        <v>299</v>
      </c>
      <c r="N80" s="109"/>
      <c r="O80" s="109"/>
      <c r="P80" s="111" t="s">
        <v>578</v>
      </c>
      <c r="Q80" s="192"/>
    </row>
    <row r="81" spans="1:21" x14ac:dyDescent="0.2">
      <c r="A81" s="133"/>
      <c r="B81" s="109"/>
      <c r="C81" s="109"/>
      <c r="D81" s="111"/>
      <c r="E81" s="111"/>
      <c r="F81" s="111"/>
      <c r="G81" s="111"/>
      <c r="H81" s="111"/>
      <c r="I81" s="111"/>
      <c r="J81" s="111"/>
      <c r="K81" s="109"/>
      <c r="L81" s="109"/>
      <c r="M81" s="109"/>
      <c r="N81" s="109"/>
      <c r="O81" s="109"/>
      <c r="P81" s="111"/>
      <c r="Q81" s="195"/>
    </row>
    <row r="82" spans="1:21" ht="16" x14ac:dyDescent="0.2">
      <c r="A82" s="387" t="s">
        <v>579</v>
      </c>
      <c r="B82" s="87"/>
      <c r="C82" s="107"/>
      <c r="D82" s="87"/>
      <c r="E82" s="87"/>
      <c r="F82" s="87"/>
      <c r="G82" s="87"/>
      <c r="H82" s="87"/>
      <c r="I82" s="87"/>
      <c r="J82" s="87"/>
      <c r="K82" s="107"/>
      <c r="L82" s="107"/>
      <c r="M82" s="107"/>
      <c r="N82" s="107"/>
      <c r="O82" s="107"/>
      <c r="P82" s="87"/>
      <c r="Q82" s="192"/>
    </row>
    <row r="83" spans="1:21" ht="16" x14ac:dyDescent="0.2">
      <c r="A83" s="133" t="s">
        <v>353</v>
      </c>
      <c r="B83" s="109" t="s">
        <v>351</v>
      </c>
      <c r="C83" s="240" t="e">
        <f>L77</f>
        <v>#DIV/0!</v>
      </c>
      <c r="D83" s="111" t="s">
        <v>299</v>
      </c>
      <c r="E83" s="111"/>
      <c r="F83" s="111"/>
      <c r="G83" s="111"/>
      <c r="H83" s="111"/>
      <c r="I83" s="111"/>
      <c r="J83" s="111"/>
      <c r="K83" s="109"/>
      <c r="L83" s="109"/>
      <c r="M83" s="109"/>
      <c r="N83" s="109"/>
      <c r="O83" s="243" t="e">
        <f>Energy!Q67</f>
        <v>#DIV/0!</v>
      </c>
      <c r="P83" s="111" t="s">
        <v>277</v>
      </c>
      <c r="Q83" s="192"/>
    </row>
    <row r="84" spans="1:21" ht="32" x14ac:dyDescent="0.2">
      <c r="A84" s="133"/>
      <c r="B84" s="109"/>
      <c r="C84" s="109"/>
      <c r="D84" s="111"/>
      <c r="E84" s="109" t="s">
        <v>580</v>
      </c>
      <c r="F84" s="389" t="e">
        <f>C83/3*1.3*Q84/O83</f>
        <v>#DIV/0!</v>
      </c>
      <c r="G84" s="111" t="s">
        <v>299</v>
      </c>
      <c r="I84" s="111"/>
      <c r="J84" s="111"/>
      <c r="K84" s="109"/>
      <c r="L84" s="109"/>
      <c r="M84" s="109"/>
      <c r="N84" s="109"/>
      <c r="O84" s="109"/>
      <c r="P84" s="111" t="s">
        <v>581</v>
      </c>
      <c r="Q84" s="845">
        <v>0.625</v>
      </c>
    </row>
    <row r="85" spans="1:21" ht="32" x14ac:dyDescent="0.2">
      <c r="A85" s="133"/>
      <c r="B85" s="109"/>
      <c r="C85" s="109"/>
      <c r="D85" s="111"/>
      <c r="E85" s="109" t="s">
        <v>582</v>
      </c>
      <c r="F85" s="244" t="e">
        <f>C83/3*1.3*Q85/O83</f>
        <v>#DIV/0!</v>
      </c>
      <c r="G85" s="111" t="s">
        <v>583</v>
      </c>
      <c r="H85" s="111"/>
      <c r="I85" s="111"/>
      <c r="J85" s="111"/>
      <c r="K85" s="109"/>
      <c r="L85" s="109"/>
      <c r="M85" s="109"/>
      <c r="N85" s="109"/>
      <c r="O85" s="109"/>
      <c r="P85" s="111" t="s">
        <v>584</v>
      </c>
      <c r="Q85" s="845">
        <v>0.375</v>
      </c>
    </row>
    <row r="86" spans="1:21" ht="32" x14ac:dyDescent="0.2">
      <c r="A86" s="133"/>
      <c r="B86" s="109"/>
      <c r="C86" s="109"/>
      <c r="D86" s="111"/>
      <c r="E86" s="109" t="s">
        <v>585</v>
      </c>
      <c r="F86" s="948" t="e">
        <f>F85*Q86</f>
        <v>#DIV/0!</v>
      </c>
      <c r="G86" s="111" t="s">
        <v>337</v>
      </c>
      <c r="H86" s="111"/>
      <c r="I86" s="111"/>
      <c r="J86" s="111"/>
      <c r="K86" s="109"/>
      <c r="L86" s="109"/>
      <c r="M86" s="109"/>
      <c r="N86" s="109"/>
      <c r="O86" s="109"/>
      <c r="P86" s="112" t="s">
        <v>586</v>
      </c>
      <c r="Q86" s="947">
        <v>0.05</v>
      </c>
      <c r="S86" s="237"/>
      <c r="T86" s="237"/>
      <c r="U86" s="237"/>
    </row>
    <row r="87" spans="1:21" ht="16" x14ac:dyDescent="0.2">
      <c r="A87" s="133"/>
      <c r="B87" s="109"/>
      <c r="C87" s="109"/>
      <c r="D87" s="111"/>
      <c r="E87" s="109"/>
      <c r="F87" s="244"/>
      <c r="G87" s="111"/>
      <c r="H87" s="111" t="s">
        <v>52</v>
      </c>
      <c r="I87" s="281" t="e">
        <f>Energy!O67</f>
        <v>#DIV/0!</v>
      </c>
      <c r="J87" s="111" t="s">
        <v>233</v>
      </c>
      <c r="K87" s="109"/>
      <c r="L87" s="109"/>
      <c r="M87" s="109"/>
      <c r="N87" s="109"/>
      <c r="O87" s="109"/>
      <c r="P87" s="111"/>
      <c r="Q87" s="245"/>
    </row>
    <row r="88" spans="1:21" ht="32" x14ac:dyDescent="0.2">
      <c r="A88" s="133"/>
      <c r="B88" s="109"/>
      <c r="C88" s="109"/>
      <c r="D88" s="111"/>
      <c r="E88" s="111"/>
      <c r="F88" s="111"/>
      <c r="G88" s="111"/>
      <c r="H88" s="111"/>
      <c r="I88" s="111"/>
      <c r="J88" s="111"/>
      <c r="K88" s="109" t="s">
        <v>587</v>
      </c>
      <c r="L88" s="240" t="e">
        <f>F84+F85+Stoichiometry!G82+Stoichiometry!G82/(Stoichiometry!J5/1000)+Stoichiometry!G81+Stoichiometry!G81/(Stoichiometry!J6/1000)</f>
        <v>#DIV/0!</v>
      </c>
      <c r="M88" s="109" t="s">
        <v>299</v>
      </c>
      <c r="N88" s="109"/>
      <c r="O88" s="109"/>
      <c r="P88" s="111" t="s">
        <v>588</v>
      </c>
      <c r="Q88" s="192"/>
    </row>
    <row r="89" spans="1:21" ht="16" x14ac:dyDescent="0.2">
      <c r="A89" s="133"/>
      <c r="B89" s="109"/>
      <c r="C89" s="109"/>
      <c r="D89" s="111"/>
      <c r="E89" s="111"/>
      <c r="F89" s="111"/>
      <c r="G89" s="111"/>
      <c r="H89" s="111"/>
      <c r="I89" s="111"/>
      <c r="J89" s="111"/>
      <c r="K89" s="109" t="s">
        <v>587</v>
      </c>
      <c r="L89" s="240" t="e">
        <f>L88/N89</f>
        <v>#DIV/0!</v>
      </c>
      <c r="M89" s="109" t="s">
        <v>312</v>
      </c>
      <c r="N89" s="513">
        <v>2</v>
      </c>
      <c r="O89" s="513"/>
      <c r="P89" s="112"/>
      <c r="Q89" s="192"/>
      <c r="T89" s="168"/>
    </row>
    <row r="90" spans="1:21" ht="45" customHeight="1" x14ac:dyDescent="0.2">
      <c r="A90" s="133"/>
      <c r="B90" s="109"/>
      <c r="C90" s="109"/>
      <c r="D90" s="111"/>
      <c r="E90" s="111"/>
      <c r="F90" s="111"/>
      <c r="G90" s="111"/>
      <c r="H90" s="111"/>
      <c r="I90" s="111"/>
      <c r="J90" s="111"/>
      <c r="K90" s="109" t="s">
        <v>351</v>
      </c>
      <c r="L90" s="240" t="e">
        <f>C83+F84+F85-L88</f>
        <v>#DIV/0!</v>
      </c>
      <c r="M90" s="109" t="s">
        <v>299</v>
      </c>
      <c r="N90" s="109"/>
      <c r="O90" s="109"/>
      <c r="P90" s="111" t="s">
        <v>589</v>
      </c>
      <c r="Q90" s="192"/>
    </row>
    <row r="91" spans="1:21" ht="45" customHeight="1" x14ac:dyDescent="0.2">
      <c r="A91" s="133"/>
      <c r="B91" s="109"/>
      <c r="C91" s="109"/>
      <c r="D91" s="111"/>
      <c r="E91" s="111"/>
      <c r="F91" s="111"/>
      <c r="G91" s="111"/>
      <c r="H91" s="111"/>
      <c r="I91" s="111"/>
      <c r="J91" s="111"/>
      <c r="K91" s="109" t="s">
        <v>351</v>
      </c>
      <c r="L91" s="240" t="e">
        <f>L90/N91</f>
        <v>#DIV/0!</v>
      </c>
      <c r="M91" s="109" t="s">
        <v>312</v>
      </c>
      <c r="N91" s="519">
        <v>1</v>
      </c>
      <c r="O91" s="519"/>
      <c r="P91" s="111"/>
      <c r="Q91" s="529"/>
    </row>
    <row r="92" spans="1:21" x14ac:dyDescent="0.2">
      <c r="A92" s="133"/>
      <c r="B92" s="109"/>
      <c r="C92" s="109"/>
      <c r="D92" s="111"/>
      <c r="E92" s="111"/>
      <c r="F92" s="111"/>
      <c r="G92" s="111"/>
      <c r="H92" s="111"/>
      <c r="I92" s="111"/>
      <c r="J92" s="111"/>
      <c r="K92" s="109"/>
      <c r="L92" s="109"/>
      <c r="M92" s="109"/>
      <c r="N92" s="109"/>
      <c r="O92" s="109"/>
      <c r="P92" s="111"/>
      <c r="Q92" s="195"/>
      <c r="T92" s="168"/>
    </row>
    <row r="93" spans="1:21" ht="16" x14ac:dyDescent="0.2">
      <c r="A93" s="387" t="s">
        <v>590</v>
      </c>
      <c r="B93" s="87"/>
      <c r="C93" s="107"/>
      <c r="D93" s="87"/>
      <c r="E93" s="87"/>
      <c r="F93" s="87"/>
      <c r="G93" s="87"/>
      <c r="H93" s="87"/>
      <c r="I93" s="87"/>
      <c r="J93" s="87"/>
      <c r="K93" s="107"/>
      <c r="L93" s="107"/>
      <c r="M93" s="107"/>
      <c r="N93" s="107"/>
      <c r="O93" s="107"/>
      <c r="P93" s="87"/>
      <c r="Q93" s="192"/>
    </row>
    <row r="94" spans="1:21" ht="16" x14ac:dyDescent="0.2">
      <c r="A94" s="133" t="s">
        <v>353</v>
      </c>
      <c r="B94" s="109" t="s">
        <v>587</v>
      </c>
      <c r="C94" s="240" t="e">
        <f>L88</f>
        <v>#DIV/0!</v>
      </c>
      <c r="D94" s="111" t="s">
        <v>299</v>
      </c>
      <c r="E94" s="111"/>
      <c r="F94" s="111"/>
      <c r="G94" s="111"/>
      <c r="H94" s="111"/>
      <c r="I94" s="111"/>
      <c r="J94" s="111"/>
      <c r="K94" s="109"/>
      <c r="L94" s="109"/>
      <c r="M94" s="109"/>
      <c r="N94" s="109"/>
      <c r="O94" s="109"/>
      <c r="P94" s="111"/>
      <c r="Q94" s="192"/>
      <c r="T94" s="168"/>
    </row>
    <row r="95" spans="1:21" ht="28.25" customHeight="1" x14ac:dyDescent="0.2">
      <c r="A95" s="133"/>
      <c r="B95" s="109"/>
      <c r="C95" s="109"/>
      <c r="D95" s="111"/>
      <c r="E95" s="109" t="s">
        <v>591</v>
      </c>
      <c r="F95" s="109" t="s">
        <v>375</v>
      </c>
      <c r="G95" s="111" t="s">
        <v>299</v>
      </c>
      <c r="H95" s="111"/>
      <c r="I95" s="111"/>
      <c r="J95" s="111"/>
      <c r="K95" s="109"/>
      <c r="L95" s="109"/>
      <c r="M95" s="109"/>
      <c r="N95" s="109"/>
      <c r="O95" s="109"/>
      <c r="P95" s="111"/>
      <c r="Q95" s="192"/>
    </row>
    <row r="96" spans="1:21" ht="16" x14ac:dyDescent="0.2">
      <c r="A96" s="133"/>
      <c r="B96" s="109"/>
      <c r="C96" s="109"/>
      <c r="D96" s="111"/>
      <c r="E96" s="109"/>
      <c r="F96" s="109"/>
      <c r="G96" s="111"/>
      <c r="H96" s="111" t="s">
        <v>52</v>
      </c>
      <c r="I96" s="281" t="e">
        <f>Energy!O68</f>
        <v>#DIV/0!</v>
      </c>
      <c r="J96" s="111" t="s">
        <v>233</v>
      </c>
      <c r="K96" s="109"/>
      <c r="L96" s="109"/>
      <c r="M96" s="109"/>
      <c r="N96" s="109"/>
      <c r="O96" s="109"/>
      <c r="P96" s="111" t="s">
        <v>376</v>
      </c>
      <c r="Q96" s="192"/>
    </row>
    <row r="97" spans="1:21" ht="16" x14ac:dyDescent="0.2">
      <c r="A97" s="133"/>
      <c r="B97" s="109"/>
      <c r="C97" s="109"/>
      <c r="D97" s="111"/>
      <c r="E97" s="111"/>
      <c r="F97" s="111"/>
      <c r="G97" s="111"/>
      <c r="H97" s="111"/>
      <c r="I97" s="111"/>
      <c r="J97" s="111"/>
      <c r="K97" s="109" t="s">
        <v>587</v>
      </c>
      <c r="L97" s="240" t="e">
        <f>C94</f>
        <v>#DIV/0!</v>
      </c>
      <c r="M97" s="109" t="s">
        <v>299</v>
      </c>
      <c r="N97" s="109"/>
      <c r="O97" s="109"/>
      <c r="P97" s="111"/>
      <c r="Q97" s="192"/>
    </row>
    <row r="98" spans="1:21" ht="16" x14ac:dyDescent="0.2">
      <c r="A98" s="133"/>
      <c r="B98" s="109"/>
      <c r="C98" s="109"/>
      <c r="D98" s="111"/>
      <c r="E98" s="111"/>
      <c r="F98" s="111"/>
      <c r="G98" s="111"/>
      <c r="H98" s="111"/>
      <c r="I98" s="111"/>
      <c r="J98" s="111"/>
      <c r="K98" s="109" t="s">
        <v>587</v>
      </c>
      <c r="L98" s="240" t="e">
        <f>L97/N98</f>
        <v>#DIV/0!</v>
      </c>
      <c r="M98" s="109" t="s">
        <v>312</v>
      </c>
      <c r="N98" s="109">
        <v>2</v>
      </c>
      <c r="O98" s="109"/>
      <c r="P98" s="111"/>
      <c r="Q98" s="195"/>
      <c r="S98" s="247"/>
    </row>
    <row r="99" spans="1:21" ht="16" x14ac:dyDescent="0.2">
      <c r="A99" s="387" t="s">
        <v>592</v>
      </c>
      <c r="B99" s="87"/>
      <c r="C99" s="107"/>
      <c r="D99" s="87"/>
      <c r="E99" s="87"/>
      <c r="F99" s="87"/>
      <c r="G99" s="87"/>
      <c r="H99" s="87"/>
      <c r="I99" s="87"/>
      <c r="J99" s="87"/>
      <c r="K99" s="107"/>
      <c r="L99" s="107"/>
      <c r="M99" s="107"/>
      <c r="N99" s="107"/>
      <c r="O99" s="107"/>
      <c r="P99" s="87"/>
      <c r="Q99" s="192"/>
    </row>
    <row r="100" spans="1:21" ht="16" x14ac:dyDescent="0.2">
      <c r="A100" s="133" t="s">
        <v>353</v>
      </c>
      <c r="B100" s="109" t="s">
        <v>587</v>
      </c>
      <c r="C100" s="240" t="e">
        <f>L97</f>
        <v>#DIV/0!</v>
      </c>
      <c r="D100" s="111" t="s">
        <v>299</v>
      </c>
      <c r="E100" s="111"/>
      <c r="F100" s="111"/>
      <c r="G100" s="111"/>
      <c r="H100" s="111"/>
      <c r="I100" s="111"/>
      <c r="J100" s="111"/>
      <c r="K100" s="109"/>
      <c r="L100" s="109"/>
      <c r="M100" s="109"/>
      <c r="N100" s="109"/>
      <c r="O100" s="109"/>
      <c r="P100" s="112" t="s">
        <v>378</v>
      </c>
      <c r="Q100" s="818">
        <v>2</v>
      </c>
    </row>
    <row r="101" spans="1:21" ht="16" x14ac:dyDescent="0.2">
      <c r="A101" s="133"/>
      <c r="B101" s="109"/>
      <c r="C101" s="109"/>
      <c r="D101" s="111"/>
      <c r="E101" s="109" t="s">
        <v>74</v>
      </c>
      <c r="F101" s="240" t="e">
        <f>Stoichiometry!E96*Q101/Q100*Stoichiometry!C78/1000</f>
        <v>#DIV/0!</v>
      </c>
      <c r="G101" s="111" t="s">
        <v>299</v>
      </c>
      <c r="H101" s="111"/>
      <c r="I101" s="111"/>
      <c r="J101" s="111"/>
      <c r="K101" s="109"/>
      <c r="L101" s="109"/>
      <c r="M101" s="109"/>
      <c r="N101" s="109"/>
      <c r="O101" s="109"/>
      <c r="P101" s="112" t="s">
        <v>379</v>
      </c>
      <c r="Q101" s="818">
        <v>3</v>
      </c>
      <c r="S101" s="247"/>
    </row>
    <row r="102" spans="1:21" ht="16" x14ac:dyDescent="0.2">
      <c r="A102" s="133"/>
      <c r="B102" s="109"/>
      <c r="C102" s="109"/>
      <c r="D102" s="111"/>
      <c r="E102" s="109"/>
      <c r="F102" s="240"/>
      <c r="G102" s="111"/>
      <c r="H102" s="111" t="s">
        <v>52</v>
      </c>
      <c r="I102" s="281" t="e">
        <f>Energy!O69</f>
        <v>#DIV/0!</v>
      </c>
      <c r="J102" s="111" t="s">
        <v>233</v>
      </c>
      <c r="K102" s="109"/>
      <c r="L102" s="109"/>
      <c r="M102" s="109"/>
      <c r="N102" s="109"/>
      <c r="O102" s="109"/>
      <c r="P102" s="111" t="s">
        <v>376</v>
      </c>
      <c r="Q102" s="192"/>
      <c r="S102" s="247"/>
    </row>
    <row r="103" spans="1:21" ht="16" x14ac:dyDescent="0.2">
      <c r="A103" s="133"/>
      <c r="B103" s="109"/>
      <c r="C103" s="109"/>
      <c r="D103" s="111"/>
      <c r="E103" s="111"/>
      <c r="F103" s="111"/>
      <c r="G103" s="111"/>
      <c r="H103" s="111"/>
      <c r="I103" s="111"/>
      <c r="J103" s="111"/>
      <c r="K103" s="109" t="s">
        <v>587</v>
      </c>
      <c r="L103" s="240" t="e">
        <f>C100+F101-L105-L106</f>
        <v>#DIV/0!</v>
      </c>
      <c r="M103" s="109" t="s">
        <v>299</v>
      </c>
      <c r="N103" s="109"/>
      <c r="O103" s="109"/>
      <c r="P103" s="111"/>
      <c r="Q103" s="192"/>
      <c r="S103" s="247"/>
    </row>
    <row r="104" spans="1:21" ht="16" x14ac:dyDescent="0.2">
      <c r="A104" s="133"/>
      <c r="B104" s="109"/>
      <c r="C104" s="109"/>
      <c r="D104" s="111"/>
      <c r="E104" s="111"/>
      <c r="F104" s="111"/>
      <c r="G104" s="111"/>
      <c r="H104" s="111"/>
      <c r="I104" s="111"/>
      <c r="J104" s="111"/>
      <c r="K104" s="109" t="s">
        <v>587</v>
      </c>
      <c r="L104" s="240" t="e">
        <f>L103/N104</f>
        <v>#DIV/0!</v>
      </c>
      <c r="M104" s="109" t="s">
        <v>312</v>
      </c>
      <c r="N104" s="513">
        <v>2</v>
      </c>
      <c r="O104" s="513"/>
      <c r="P104" s="111"/>
      <c r="Q104" s="529"/>
      <c r="S104" s="247"/>
    </row>
    <row r="105" spans="1:21" ht="16" x14ac:dyDescent="0.2">
      <c r="A105" s="133"/>
      <c r="B105" s="109"/>
      <c r="C105" s="109"/>
      <c r="D105" s="111"/>
      <c r="E105" s="111"/>
      <c r="F105" s="111"/>
      <c r="G105" s="111"/>
      <c r="H105" s="111"/>
      <c r="I105" s="111"/>
      <c r="J105" s="111"/>
      <c r="K105" s="109" t="s">
        <v>44</v>
      </c>
      <c r="L105" s="244" t="e">
        <f>F85</f>
        <v>#DIV/0!</v>
      </c>
      <c r="M105" s="109" t="s">
        <v>299</v>
      </c>
      <c r="N105" s="109"/>
      <c r="O105" s="109"/>
      <c r="P105" s="111" t="s">
        <v>593</v>
      </c>
      <c r="Q105" s="192"/>
      <c r="T105" s="248"/>
      <c r="U105" s="168"/>
    </row>
    <row r="106" spans="1:21" ht="16" x14ac:dyDescent="0.2">
      <c r="A106" s="133"/>
      <c r="B106" s="109"/>
      <c r="C106" s="109"/>
      <c r="D106" s="111"/>
      <c r="E106" s="111"/>
      <c r="F106" s="111"/>
      <c r="G106" s="111"/>
      <c r="H106" s="111"/>
      <c r="I106" s="111"/>
      <c r="J106" s="111"/>
      <c r="K106" s="109" t="s">
        <v>63</v>
      </c>
      <c r="L106" s="244" t="e">
        <f>F84</f>
        <v>#DIV/0!</v>
      </c>
      <c r="M106" s="109" t="s">
        <v>299</v>
      </c>
      <c r="N106" s="109"/>
      <c r="O106" s="109"/>
      <c r="P106" s="111" t="s">
        <v>593</v>
      </c>
      <c r="Q106" s="192"/>
      <c r="T106" s="248"/>
      <c r="U106" s="168"/>
    </row>
    <row r="107" spans="1:21" x14ac:dyDescent="0.2">
      <c r="A107" s="133"/>
      <c r="B107" s="109"/>
      <c r="C107" s="109"/>
      <c r="D107" s="111"/>
      <c r="E107" s="111"/>
      <c r="F107" s="111"/>
      <c r="G107" s="111"/>
      <c r="H107" s="111"/>
      <c r="I107" s="111"/>
      <c r="J107" s="111"/>
      <c r="K107" s="109"/>
      <c r="L107" s="109"/>
      <c r="M107" s="109"/>
      <c r="N107" s="109"/>
      <c r="O107" s="109"/>
      <c r="P107" s="111"/>
      <c r="Q107" s="195"/>
      <c r="T107" s="168"/>
    </row>
    <row r="108" spans="1:21" ht="16" x14ac:dyDescent="0.2">
      <c r="A108" s="387" t="s">
        <v>484</v>
      </c>
      <c r="B108" s="87"/>
      <c r="C108" s="107"/>
      <c r="D108" s="87"/>
      <c r="E108" s="87"/>
      <c r="F108" s="87"/>
      <c r="G108" s="87"/>
      <c r="H108" s="87"/>
      <c r="I108" s="87"/>
      <c r="J108" s="87"/>
      <c r="K108" s="107"/>
      <c r="L108" s="107"/>
      <c r="M108" s="107"/>
      <c r="N108" s="107"/>
      <c r="O108" s="107"/>
      <c r="P108" s="87"/>
      <c r="Q108" s="192"/>
    </row>
    <row r="109" spans="1:21" ht="16" x14ac:dyDescent="0.2">
      <c r="A109" s="133" t="s">
        <v>353</v>
      </c>
      <c r="B109" s="109" t="s">
        <v>587</v>
      </c>
      <c r="C109" s="240" t="e">
        <f>L103</f>
        <v>#DIV/0!</v>
      </c>
      <c r="D109" s="111" t="s">
        <v>299</v>
      </c>
      <c r="E109" s="111"/>
      <c r="F109" s="111"/>
      <c r="G109" s="111"/>
      <c r="H109" s="111"/>
      <c r="I109" s="111"/>
      <c r="J109" s="111"/>
      <c r="K109" s="109"/>
      <c r="L109" s="109"/>
      <c r="M109" s="109"/>
      <c r="N109" s="109"/>
      <c r="O109" s="243" t="e">
        <f>Energy!Q68</f>
        <v>#DIV/0!</v>
      </c>
      <c r="P109" s="111" t="s">
        <v>277</v>
      </c>
      <c r="Q109" s="192"/>
    </row>
    <row r="110" spans="1:21" ht="16" x14ac:dyDescent="0.2">
      <c r="A110" s="133"/>
      <c r="B110" s="109"/>
      <c r="C110" s="109"/>
      <c r="D110" s="111"/>
      <c r="E110" s="109" t="s">
        <v>594</v>
      </c>
      <c r="F110" s="244" t="e">
        <f>C109/3*1.3*0.7/O109</f>
        <v>#DIV/0!</v>
      </c>
      <c r="G110" s="111" t="s">
        <v>299</v>
      </c>
      <c r="H110" s="111"/>
      <c r="I110" s="111"/>
      <c r="J110" s="111"/>
      <c r="K110" s="109"/>
      <c r="L110" s="109"/>
      <c r="M110" s="109"/>
      <c r="N110" s="109"/>
      <c r="O110" s="109"/>
      <c r="P110" s="850" t="s">
        <v>364</v>
      </c>
      <c r="Q110" s="192"/>
    </row>
    <row r="111" spans="1:21" ht="32" x14ac:dyDescent="0.2">
      <c r="A111" s="133"/>
      <c r="B111" s="109"/>
      <c r="C111" s="109"/>
      <c r="D111" s="111"/>
      <c r="E111" s="109" t="s">
        <v>595</v>
      </c>
      <c r="F111" s="244" t="e">
        <f>C109/3*1.3*0.3/O109</f>
        <v>#DIV/0!</v>
      </c>
      <c r="G111" s="111" t="s">
        <v>583</v>
      </c>
      <c r="H111" s="111"/>
      <c r="I111" s="111"/>
      <c r="J111" s="111"/>
      <c r="K111" s="109"/>
      <c r="L111" s="109"/>
      <c r="M111" s="109"/>
      <c r="N111" s="109"/>
      <c r="O111" s="109"/>
      <c r="P111" s="850" t="s">
        <v>596</v>
      </c>
      <c r="Q111" s="192"/>
    </row>
    <row r="112" spans="1:21" ht="32" x14ac:dyDescent="0.2">
      <c r="A112" s="133"/>
      <c r="B112" s="109"/>
      <c r="C112" s="109"/>
      <c r="D112" s="111"/>
      <c r="E112" s="109" t="s">
        <v>597</v>
      </c>
      <c r="F112" s="948" t="e">
        <f>F111*Q112</f>
        <v>#DIV/0!</v>
      </c>
      <c r="G112" s="111" t="s">
        <v>337</v>
      </c>
      <c r="H112" s="111"/>
      <c r="I112" s="111"/>
      <c r="J112" s="111"/>
      <c r="K112" s="109"/>
      <c r="L112" s="109"/>
      <c r="M112" s="109"/>
      <c r="N112" s="109"/>
      <c r="O112" s="109"/>
      <c r="P112" s="111" t="s">
        <v>369</v>
      </c>
      <c r="Q112" s="947">
        <v>0.05</v>
      </c>
    </row>
    <row r="113" spans="1:20" ht="16" x14ac:dyDescent="0.2">
      <c r="A113" s="133"/>
      <c r="B113" s="109"/>
      <c r="C113" s="109"/>
      <c r="D113" s="111"/>
      <c r="E113" s="109"/>
      <c r="F113" s="244"/>
      <c r="G113" s="111"/>
      <c r="H113" s="111" t="s">
        <v>52</v>
      </c>
      <c r="I113" s="281" t="e">
        <f>Energy!O70</f>
        <v>#DIV/0!</v>
      </c>
      <c r="J113" s="111" t="s">
        <v>233</v>
      </c>
      <c r="K113" s="109"/>
      <c r="L113" s="109"/>
      <c r="M113" s="109"/>
      <c r="N113" s="109"/>
      <c r="O113" s="109"/>
      <c r="P113" s="111"/>
      <c r="Q113" s="245"/>
      <c r="T113" s="168"/>
    </row>
    <row r="114" spans="1:20" ht="32" x14ac:dyDescent="0.2">
      <c r="A114" s="133"/>
      <c r="B114" s="109"/>
      <c r="C114" s="109"/>
      <c r="D114" s="111"/>
      <c r="E114" s="111"/>
      <c r="F114" s="111"/>
      <c r="G114" s="111"/>
      <c r="H114" s="111"/>
      <c r="I114" s="111"/>
      <c r="J114" s="111"/>
      <c r="K114" s="109" t="s">
        <v>370</v>
      </c>
      <c r="L114" s="249" t="e">
        <f>F110+F111+Stoichiometry!G82+Stoichiometry!G82/(Stoichiometry!J5/1000)</f>
        <v>#DIV/0!</v>
      </c>
      <c r="M114" s="109" t="s">
        <v>299</v>
      </c>
      <c r="N114" s="109"/>
      <c r="O114" s="109"/>
      <c r="P114" s="111" t="s">
        <v>598</v>
      </c>
      <c r="Q114" s="192"/>
    </row>
    <row r="115" spans="1:20" ht="18" x14ac:dyDescent="0.2">
      <c r="A115" s="133"/>
      <c r="B115" s="109"/>
      <c r="C115" s="109"/>
      <c r="D115" s="111"/>
      <c r="E115" s="111"/>
      <c r="F115" s="111"/>
      <c r="G115" s="111"/>
      <c r="H115" s="111"/>
      <c r="I115" s="111"/>
      <c r="J115" s="111"/>
      <c r="K115" s="109" t="s">
        <v>383</v>
      </c>
      <c r="L115" s="240" t="e">
        <f>C109+F110+F111-L114</f>
        <v>#DIV/0!</v>
      </c>
      <c r="M115" s="109" t="s">
        <v>299</v>
      </c>
      <c r="N115" s="109"/>
      <c r="O115" s="109"/>
      <c r="P115" s="111" t="s">
        <v>599</v>
      </c>
      <c r="Q115" s="192"/>
      <c r="T115" s="168"/>
    </row>
    <row r="116" spans="1:20" ht="18" x14ac:dyDescent="0.2">
      <c r="A116" s="133"/>
      <c r="B116" s="109"/>
      <c r="C116" s="109"/>
      <c r="D116" s="111"/>
      <c r="E116" s="111"/>
      <c r="F116" s="111"/>
      <c r="G116" s="111"/>
      <c r="H116" s="111"/>
      <c r="I116" s="111"/>
      <c r="J116" s="111"/>
      <c r="K116" s="109" t="s">
        <v>383</v>
      </c>
      <c r="L116" s="240" t="e">
        <f>L115/N116</f>
        <v>#DIV/0!</v>
      </c>
      <c r="M116" s="109" t="s">
        <v>312</v>
      </c>
      <c r="N116" s="513">
        <v>2</v>
      </c>
      <c r="O116" s="513"/>
      <c r="P116" s="111"/>
      <c r="Q116" s="529"/>
      <c r="T116" s="168"/>
    </row>
    <row r="117" spans="1:20" x14ac:dyDescent="0.2">
      <c r="A117" s="133"/>
      <c r="B117" s="109"/>
      <c r="C117" s="109"/>
      <c r="D117" s="111"/>
      <c r="E117" s="111"/>
      <c r="F117" s="111"/>
      <c r="G117" s="111"/>
      <c r="H117" s="111"/>
      <c r="I117" s="111"/>
      <c r="J117" s="111"/>
      <c r="K117" s="109"/>
      <c r="L117" s="240"/>
      <c r="M117" s="109"/>
      <c r="N117" s="109"/>
      <c r="O117" s="109"/>
      <c r="P117" s="111"/>
      <c r="Q117" s="195"/>
    </row>
    <row r="118" spans="1:20" ht="16" x14ac:dyDescent="0.2">
      <c r="A118" s="387" t="s">
        <v>373</v>
      </c>
      <c r="B118" s="87"/>
      <c r="C118" s="107"/>
      <c r="D118" s="87"/>
      <c r="E118" s="87"/>
      <c r="F118" s="87"/>
      <c r="G118" s="87"/>
      <c r="H118" s="87"/>
      <c r="I118" s="87"/>
      <c r="J118" s="87"/>
      <c r="K118" s="107"/>
      <c r="L118" s="107"/>
      <c r="M118" s="107"/>
      <c r="N118" s="107"/>
      <c r="O118" s="107"/>
      <c r="P118" s="87"/>
      <c r="Q118" s="192"/>
    </row>
    <row r="119" spans="1:20" ht="16" x14ac:dyDescent="0.2">
      <c r="A119" s="133" t="s">
        <v>353</v>
      </c>
      <c r="B119" s="109" t="s">
        <v>370</v>
      </c>
      <c r="C119" s="249" t="e">
        <f>L114</f>
        <v>#DIV/0!</v>
      </c>
      <c r="D119" s="111" t="s">
        <v>299</v>
      </c>
      <c r="E119" s="111"/>
      <c r="F119" s="111"/>
      <c r="G119" s="111"/>
      <c r="H119" s="111"/>
      <c r="I119" s="111"/>
      <c r="J119" s="111"/>
      <c r="K119" s="109"/>
      <c r="L119" s="109"/>
      <c r="M119" s="109"/>
      <c r="N119" s="109"/>
      <c r="O119" s="109"/>
      <c r="P119" s="111"/>
      <c r="Q119" s="192"/>
      <c r="S119" s="168"/>
    </row>
    <row r="120" spans="1:20" ht="16" x14ac:dyDescent="0.2">
      <c r="A120" s="133"/>
      <c r="B120" s="109"/>
      <c r="C120" s="109"/>
      <c r="D120" s="111"/>
      <c r="E120" s="109" t="s">
        <v>374</v>
      </c>
      <c r="F120" s="109" t="s">
        <v>375</v>
      </c>
      <c r="G120" s="111" t="s">
        <v>299</v>
      </c>
      <c r="H120" s="111"/>
      <c r="I120" s="111"/>
      <c r="J120" s="111"/>
      <c r="K120" s="109"/>
      <c r="L120" s="109"/>
      <c r="M120" s="109"/>
      <c r="N120" s="109"/>
      <c r="O120" s="109"/>
      <c r="P120" s="111"/>
      <c r="Q120" s="192"/>
    </row>
    <row r="121" spans="1:20" ht="16" x14ac:dyDescent="0.2">
      <c r="A121" s="133"/>
      <c r="B121" s="109"/>
      <c r="C121" s="109"/>
      <c r="D121" s="111"/>
      <c r="E121" s="109"/>
      <c r="F121" s="109"/>
      <c r="G121" s="111"/>
      <c r="H121" s="111" t="s">
        <v>52</v>
      </c>
      <c r="I121" s="575" t="e">
        <f>Energy!O71</f>
        <v>#DIV/0!</v>
      </c>
      <c r="J121" s="111" t="s">
        <v>233</v>
      </c>
      <c r="K121" s="109"/>
      <c r="L121" s="109"/>
      <c r="M121" s="109"/>
      <c r="N121" s="109"/>
      <c r="O121" s="109"/>
      <c r="P121" s="111" t="s">
        <v>376</v>
      </c>
      <c r="Q121" s="192"/>
    </row>
    <row r="122" spans="1:20" ht="16" x14ac:dyDescent="0.2">
      <c r="A122" s="133"/>
      <c r="B122" s="109"/>
      <c r="C122" s="109"/>
      <c r="D122" s="111"/>
      <c r="E122" s="111"/>
      <c r="F122" s="111"/>
      <c r="G122" s="111"/>
      <c r="H122" s="111"/>
      <c r="I122" s="111"/>
      <c r="J122" s="111"/>
      <c r="K122" s="109" t="s">
        <v>370</v>
      </c>
      <c r="L122" s="249" t="e">
        <f>C119</f>
        <v>#DIV/0!</v>
      </c>
      <c r="M122" s="109" t="s">
        <v>299</v>
      </c>
      <c r="N122" s="109"/>
      <c r="O122" s="109"/>
      <c r="P122" s="111"/>
      <c r="Q122" s="192"/>
      <c r="S122" s="168"/>
    </row>
    <row r="123" spans="1:20" ht="16" x14ac:dyDescent="0.2">
      <c r="A123" s="133"/>
      <c r="B123" s="109"/>
      <c r="C123" s="109"/>
      <c r="D123" s="111"/>
      <c r="E123" s="111"/>
      <c r="F123" s="111"/>
      <c r="G123" s="111"/>
      <c r="H123" s="111"/>
      <c r="I123" s="111"/>
      <c r="J123" s="111"/>
      <c r="K123" s="109" t="s">
        <v>370</v>
      </c>
      <c r="L123" s="249" t="e">
        <f>L122/N123</f>
        <v>#DIV/0!</v>
      </c>
      <c r="M123" s="109" t="s">
        <v>312</v>
      </c>
      <c r="N123" s="109">
        <v>2</v>
      </c>
      <c r="O123" s="109"/>
      <c r="P123" s="111"/>
      <c r="Q123" s="195"/>
      <c r="S123" s="250"/>
    </row>
    <row r="124" spans="1:20" ht="16" x14ac:dyDescent="0.2">
      <c r="A124" s="387" t="s">
        <v>377</v>
      </c>
      <c r="B124" s="87"/>
      <c r="C124" s="107"/>
      <c r="D124" s="87"/>
      <c r="E124" s="87"/>
      <c r="F124" s="87"/>
      <c r="G124" s="87"/>
      <c r="H124" s="87"/>
      <c r="I124" s="87"/>
      <c r="J124" s="87"/>
      <c r="K124" s="107"/>
      <c r="L124" s="107"/>
      <c r="M124" s="107"/>
      <c r="N124" s="107"/>
      <c r="O124" s="107"/>
      <c r="P124" s="87"/>
      <c r="Q124" s="192"/>
    </row>
    <row r="125" spans="1:20" ht="16" x14ac:dyDescent="0.2">
      <c r="A125" s="133" t="s">
        <v>353</v>
      </c>
      <c r="B125" s="109" t="s">
        <v>370</v>
      </c>
      <c r="C125" s="249" t="e">
        <f>L122</f>
        <v>#DIV/0!</v>
      </c>
      <c r="D125" s="111" t="s">
        <v>299</v>
      </c>
      <c r="E125" s="111"/>
      <c r="F125" s="111"/>
      <c r="G125" s="111"/>
      <c r="H125" s="111"/>
      <c r="I125" s="111"/>
      <c r="J125" s="111"/>
      <c r="K125" s="109"/>
      <c r="L125" s="109"/>
      <c r="M125" s="109"/>
      <c r="N125" s="109"/>
      <c r="O125" s="109"/>
      <c r="P125" s="112" t="s">
        <v>378</v>
      </c>
      <c r="Q125" s="818">
        <v>2</v>
      </c>
    </row>
    <row r="126" spans="1:20" ht="16" x14ac:dyDescent="0.2">
      <c r="A126" s="133"/>
      <c r="B126" s="109"/>
      <c r="C126" s="109"/>
      <c r="D126" s="111"/>
      <c r="E126" s="109" t="s">
        <v>74</v>
      </c>
      <c r="F126" s="251" t="e">
        <f>Stoichiometry!E97*Q126/Q125*Stoichiometry!C78/1000</f>
        <v>#DIV/0!</v>
      </c>
      <c r="G126" s="111" t="s">
        <v>299</v>
      </c>
      <c r="H126" s="111"/>
      <c r="I126" s="111"/>
      <c r="J126" s="111"/>
      <c r="K126" s="109"/>
      <c r="L126" s="240"/>
      <c r="M126" s="109"/>
      <c r="N126" s="109"/>
      <c r="O126" s="109"/>
      <c r="P126" s="112" t="s">
        <v>379</v>
      </c>
      <c r="Q126" s="818">
        <v>3</v>
      </c>
    </row>
    <row r="127" spans="1:20" ht="16" x14ac:dyDescent="0.2">
      <c r="A127" s="133"/>
      <c r="B127" s="109"/>
      <c r="C127" s="109"/>
      <c r="D127" s="111"/>
      <c r="E127" s="109"/>
      <c r="F127" s="251"/>
      <c r="G127" s="111"/>
      <c r="H127" s="111" t="s">
        <v>52</v>
      </c>
      <c r="I127" s="575" t="e">
        <f>Energy!O72</f>
        <v>#DIV/0!</v>
      </c>
      <c r="J127" s="111" t="s">
        <v>233</v>
      </c>
      <c r="K127" s="109"/>
      <c r="L127" s="240"/>
      <c r="M127" s="109"/>
      <c r="N127" s="109"/>
      <c r="O127" s="109"/>
      <c r="P127" s="111" t="s">
        <v>376</v>
      </c>
      <c r="Q127" s="192"/>
    </row>
    <row r="128" spans="1:20" ht="18" x14ac:dyDescent="0.2">
      <c r="A128" s="133"/>
      <c r="B128" s="109"/>
      <c r="C128" s="109"/>
      <c r="D128" s="111"/>
      <c r="E128" s="111"/>
      <c r="F128" s="111"/>
      <c r="G128" s="111"/>
      <c r="H128" s="111"/>
      <c r="I128" s="111"/>
      <c r="J128" s="111"/>
      <c r="K128" s="109" t="s">
        <v>380</v>
      </c>
      <c r="L128" s="240" t="e">
        <f>C125+F126-L130-L131</f>
        <v>#DIV/0!</v>
      </c>
      <c r="M128" s="109" t="s">
        <v>299</v>
      </c>
      <c r="N128" s="109"/>
      <c r="O128" s="109"/>
      <c r="P128" s="111"/>
      <c r="Q128" s="192"/>
    </row>
    <row r="129" spans="1:20" ht="18" x14ac:dyDescent="0.2">
      <c r="A129" s="133"/>
      <c r="B129" s="109"/>
      <c r="C129" s="109"/>
      <c r="D129" s="111"/>
      <c r="E129" s="111"/>
      <c r="F129" s="111"/>
      <c r="G129" s="111"/>
      <c r="H129" s="111"/>
      <c r="I129" s="111"/>
      <c r="J129" s="111"/>
      <c r="K129" s="109" t="s">
        <v>380</v>
      </c>
      <c r="L129" s="240" t="e">
        <f>L128/N129</f>
        <v>#DIV/0!</v>
      </c>
      <c r="M129" s="109" t="s">
        <v>312</v>
      </c>
      <c r="N129" s="513">
        <v>2</v>
      </c>
      <c r="O129" s="513"/>
      <c r="P129" s="111"/>
      <c r="Q129" s="529"/>
    </row>
    <row r="130" spans="1:20" ht="16" x14ac:dyDescent="0.2">
      <c r="A130" s="133"/>
      <c r="B130" s="109"/>
      <c r="C130" s="109"/>
      <c r="D130" s="111"/>
      <c r="E130" s="111"/>
      <c r="F130" s="111"/>
      <c r="G130" s="111"/>
      <c r="H130" s="111"/>
      <c r="I130" s="111"/>
      <c r="J130" s="111"/>
      <c r="K130" s="109" t="s">
        <v>41</v>
      </c>
      <c r="L130" s="244" t="e">
        <f>F111</f>
        <v>#DIV/0!</v>
      </c>
      <c r="M130" s="109" t="s">
        <v>299</v>
      </c>
      <c r="N130" s="109"/>
      <c r="O130" s="109"/>
      <c r="P130" s="111" t="s">
        <v>381</v>
      </c>
      <c r="Q130" s="192"/>
    </row>
    <row r="131" spans="1:20" ht="16" x14ac:dyDescent="0.2">
      <c r="A131" s="133"/>
      <c r="B131" s="109"/>
      <c r="C131" s="109"/>
      <c r="D131" s="111"/>
      <c r="E131" s="111"/>
      <c r="F131" s="111"/>
      <c r="G131" s="111"/>
      <c r="H131" s="111"/>
      <c r="I131" s="111"/>
      <c r="J131" s="111"/>
      <c r="K131" s="109" t="s">
        <v>63</v>
      </c>
      <c r="L131" s="244" t="e">
        <f>F110</f>
        <v>#DIV/0!</v>
      </c>
      <c r="M131" s="109" t="s">
        <v>299</v>
      </c>
      <c r="N131" s="109"/>
      <c r="O131" s="109"/>
      <c r="P131" s="111" t="s">
        <v>381</v>
      </c>
      <c r="Q131" s="192"/>
    </row>
    <row r="132" spans="1:20" x14ac:dyDescent="0.2">
      <c r="A132" s="133"/>
      <c r="B132" s="109"/>
      <c r="C132" s="109"/>
      <c r="D132" s="111"/>
      <c r="E132" s="111"/>
      <c r="F132" s="111"/>
      <c r="G132" s="111"/>
      <c r="H132" s="111"/>
      <c r="I132" s="111"/>
      <c r="J132" s="111"/>
      <c r="K132" s="109"/>
      <c r="L132" s="109"/>
      <c r="M132" s="109"/>
      <c r="N132" s="109"/>
      <c r="O132" s="109"/>
      <c r="P132" s="111"/>
      <c r="Q132" s="195"/>
    </row>
    <row r="133" spans="1:20" ht="16" x14ac:dyDescent="0.2">
      <c r="A133" s="387" t="s">
        <v>206</v>
      </c>
      <c r="B133" s="87"/>
      <c r="C133" s="107"/>
      <c r="D133" s="87"/>
      <c r="E133" s="87"/>
      <c r="F133" s="87"/>
      <c r="G133" s="87"/>
      <c r="H133" s="87"/>
      <c r="I133" s="87"/>
      <c r="J133" s="87"/>
      <c r="K133" s="107"/>
      <c r="L133" s="107"/>
      <c r="M133" s="107"/>
      <c r="N133" s="107"/>
      <c r="O133" s="107"/>
      <c r="P133" s="87"/>
      <c r="Q133" s="192"/>
    </row>
    <row r="134" spans="1:20" ht="32" x14ac:dyDescent="0.2">
      <c r="A134" s="211" t="s">
        <v>382</v>
      </c>
      <c r="B134" s="109" t="s">
        <v>383</v>
      </c>
      <c r="C134" s="240" t="e">
        <f>L115</f>
        <v>#DIV/0!</v>
      </c>
      <c r="D134" s="111" t="s">
        <v>299</v>
      </c>
      <c r="E134" s="111"/>
      <c r="F134" s="111"/>
      <c r="G134" s="111"/>
      <c r="H134" s="111"/>
      <c r="I134" s="111"/>
      <c r="J134" s="111"/>
      <c r="K134" s="109"/>
      <c r="L134" s="109"/>
      <c r="M134" s="109"/>
      <c r="N134" s="109"/>
      <c r="O134" s="109"/>
      <c r="P134" s="111"/>
      <c r="Q134" s="192"/>
      <c r="T134" s="168"/>
    </row>
    <row r="135" spans="1:20" ht="16" x14ac:dyDescent="0.2">
      <c r="A135" s="133"/>
      <c r="B135" s="109"/>
      <c r="C135" s="240"/>
      <c r="D135" s="111"/>
      <c r="E135" s="111"/>
      <c r="F135" s="111"/>
      <c r="G135" s="111"/>
      <c r="H135" s="111" t="s">
        <v>52</v>
      </c>
      <c r="I135" s="281" t="e">
        <f>Energy!O73</f>
        <v>#DIV/0!</v>
      </c>
      <c r="J135" s="111" t="s">
        <v>233</v>
      </c>
      <c r="K135" s="109"/>
      <c r="L135" s="109"/>
      <c r="M135" s="109"/>
      <c r="N135" s="109"/>
      <c r="O135" s="109"/>
      <c r="P135" s="164" t="s">
        <v>384</v>
      </c>
      <c r="Q135" s="192"/>
    </row>
    <row r="136" spans="1:20" ht="18" x14ac:dyDescent="0.2">
      <c r="A136" s="133"/>
      <c r="B136" s="109"/>
      <c r="C136" s="109"/>
      <c r="D136" s="111"/>
      <c r="E136" s="111"/>
      <c r="F136" s="111"/>
      <c r="G136" s="111"/>
      <c r="H136" s="111"/>
      <c r="I136" s="111"/>
      <c r="J136" s="111"/>
      <c r="K136" s="109" t="s">
        <v>162</v>
      </c>
      <c r="L136" s="240" t="e">
        <f>(Stoichiometry!G81+Stoichiometry!G100)*Efficiencies!E62</f>
        <v>#DIV/0!</v>
      </c>
      <c r="M136" s="109" t="s">
        <v>299</v>
      </c>
      <c r="N136" s="109"/>
      <c r="O136" s="109"/>
      <c r="P136" s="111"/>
      <c r="Q136" s="192"/>
    </row>
    <row r="137" spans="1:20" ht="16" x14ac:dyDescent="0.2">
      <c r="A137" s="133"/>
      <c r="B137" s="109"/>
      <c r="C137" s="109"/>
      <c r="D137" s="111"/>
      <c r="E137" s="111"/>
      <c r="F137" s="111"/>
      <c r="G137" s="111"/>
      <c r="H137" s="111"/>
      <c r="I137" s="111"/>
      <c r="J137" s="111"/>
      <c r="K137" s="109" t="s">
        <v>226</v>
      </c>
      <c r="L137" s="240" t="e">
        <f>C134-L136</f>
        <v>#DIV/0!</v>
      </c>
      <c r="M137" s="109" t="s">
        <v>299</v>
      </c>
      <c r="N137" s="109"/>
      <c r="O137" s="109"/>
      <c r="P137" s="111" t="s">
        <v>385</v>
      </c>
      <c r="Q137" s="192"/>
      <c r="T137" s="168"/>
    </row>
    <row r="138" spans="1:20" x14ac:dyDescent="0.2">
      <c r="A138" s="133"/>
      <c r="B138" s="94"/>
      <c r="C138" s="109"/>
      <c r="D138" s="111"/>
      <c r="E138" s="111"/>
      <c r="F138" s="111"/>
      <c r="G138" s="111"/>
      <c r="H138" s="111"/>
      <c r="I138" s="111"/>
      <c r="J138" s="111"/>
      <c r="K138" s="109"/>
      <c r="L138" s="109"/>
      <c r="M138" s="109"/>
      <c r="N138" s="109"/>
      <c r="O138" s="109"/>
      <c r="P138" s="111"/>
      <c r="Q138" s="195"/>
    </row>
    <row r="139" spans="1:20" ht="16" x14ac:dyDescent="0.2">
      <c r="A139" s="387" t="s">
        <v>207</v>
      </c>
      <c r="B139" s="109"/>
      <c r="C139" s="107"/>
      <c r="D139" s="87"/>
      <c r="E139" s="87"/>
      <c r="F139" s="87"/>
      <c r="G139" s="87"/>
      <c r="H139" s="87"/>
      <c r="I139" s="87"/>
      <c r="J139" s="87"/>
      <c r="K139" s="107"/>
      <c r="L139" s="107"/>
      <c r="M139" s="107"/>
      <c r="N139" s="107"/>
      <c r="O139" s="107"/>
      <c r="P139" s="87"/>
      <c r="Q139" s="192"/>
    </row>
    <row r="140" spans="1:20" ht="32" x14ac:dyDescent="0.2">
      <c r="A140" s="211" t="s">
        <v>382</v>
      </c>
      <c r="B140" s="109" t="s">
        <v>380</v>
      </c>
      <c r="C140" s="240" t="e">
        <f>L128</f>
        <v>#DIV/0!</v>
      </c>
      <c r="D140" s="111" t="s">
        <v>299</v>
      </c>
      <c r="E140" s="111"/>
      <c r="F140" s="111"/>
      <c r="G140" s="111"/>
      <c r="H140" s="111"/>
      <c r="I140" s="111"/>
      <c r="J140" s="111"/>
      <c r="K140" s="109"/>
      <c r="L140" s="109"/>
      <c r="M140" s="109"/>
      <c r="N140" s="109"/>
      <c r="O140" s="109"/>
      <c r="P140" s="111"/>
      <c r="Q140" s="192"/>
      <c r="T140" s="168"/>
    </row>
    <row r="141" spans="1:20" ht="16" x14ac:dyDescent="0.2">
      <c r="A141" s="133"/>
      <c r="B141" s="109"/>
      <c r="C141" s="240"/>
      <c r="D141" s="111"/>
      <c r="E141" s="111"/>
      <c r="F141" s="111"/>
      <c r="G141" s="111"/>
      <c r="H141" s="111" t="s">
        <v>52</v>
      </c>
      <c r="I141" s="281" t="e">
        <f>Energy!O74</f>
        <v>#DIV/0!</v>
      </c>
      <c r="J141" s="111" t="s">
        <v>233</v>
      </c>
      <c r="K141" s="109"/>
      <c r="L141" s="109"/>
      <c r="M141" s="109"/>
      <c r="N141" s="109"/>
      <c r="O141" s="109"/>
      <c r="P141" s="164" t="s">
        <v>384</v>
      </c>
      <c r="Q141" s="192"/>
    </row>
    <row r="142" spans="1:20" ht="18" x14ac:dyDescent="0.2">
      <c r="A142" s="133"/>
      <c r="B142" s="109"/>
      <c r="C142" s="109"/>
      <c r="D142" s="111"/>
      <c r="E142" s="111"/>
      <c r="F142" s="111"/>
      <c r="G142" s="111"/>
      <c r="H142" s="111"/>
      <c r="I142" s="111"/>
      <c r="J142" s="111"/>
      <c r="K142" s="109" t="s">
        <v>147</v>
      </c>
      <c r="L142" s="240" t="e">
        <f>(Stoichiometry!G82+Stoichiometry!G101)*Efficiencies!E61</f>
        <v>#DIV/0!</v>
      </c>
      <c r="M142" s="109" t="s">
        <v>299</v>
      </c>
      <c r="N142" s="109"/>
      <c r="O142" s="109"/>
      <c r="P142" s="111"/>
      <c r="Q142" s="192"/>
    </row>
    <row r="143" spans="1:20" ht="16" x14ac:dyDescent="0.2">
      <c r="A143" s="133"/>
      <c r="B143" s="109"/>
      <c r="C143" s="109"/>
      <c r="D143" s="111"/>
      <c r="E143" s="111"/>
      <c r="F143" s="111"/>
      <c r="G143" s="111"/>
      <c r="H143" s="111"/>
      <c r="I143" s="111"/>
      <c r="J143" s="111"/>
      <c r="K143" s="109" t="s">
        <v>226</v>
      </c>
      <c r="L143" s="240" t="e">
        <f>C140-L142</f>
        <v>#DIV/0!</v>
      </c>
      <c r="M143" s="109" t="s">
        <v>299</v>
      </c>
      <c r="N143" s="109"/>
      <c r="O143" s="109"/>
      <c r="P143" s="111" t="s">
        <v>385</v>
      </c>
      <c r="Q143" s="192"/>
      <c r="T143" s="168"/>
    </row>
    <row r="144" spans="1:20" x14ac:dyDescent="0.2">
      <c r="A144" s="133"/>
      <c r="B144" s="94"/>
      <c r="C144" s="109"/>
      <c r="D144" s="111"/>
      <c r="E144" s="111"/>
      <c r="F144" s="111"/>
      <c r="G144" s="111"/>
      <c r="H144" s="111"/>
      <c r="I144" s="111"/>
      <c r="J144" s="111"/>
      <c r="K144" s="109"/>
      <c r="L144" s="109"/>
      <c r="M144" s="109"/>
      <c r="N144" s="109"/>
      <c r="O144" s="109"/>
      <c r="P144" s="111"/>
      <c r="Q144" s="195"/>
    </row>
    <row r="145" spans="1:20" ht="16" x14ac:dyDescent="0.2">
      <c r="A145" s="387" t="s">
        <v>405</v>
      </c>
      <c r="B145" s="109"/>
      <c r="C145" s="107"/>
      <c r="D145" s="87"/>
      <c r="E145" s="87"/>
      <c r="F145" s="87"/>
      <c r="G145" s="87"/>
      <c r="H145" s="87"/>
      <c r="I145" s="87"/>
      <c r="J145" s="87"/>
      <c r="K145" s="107"/>
      <c r="L145" s="107"/>
      <c r="M145" s="107"/>
      <c r="N145" s="107"/>
      <c r="O145" s="107"/>
      <c r="P145" s="87"/>
      <c r="Q145" s="192"/>
    </row>
    <row r="146" spans="1:20" ht="16" x14ac:dyDescent="0.2">
      <c r="A146" s="133" t="s">
        <v>353</v>
      </c>
      <c r="B146" s="109" t="s">
        <v>351</v>
      </c>
      <c r="C146" s="240" t="e">
        <f>L90</f>
        <v>#DIV/0!</v>
      </c>
      <c r="D146" s="111" t="s">
        <v>299</v>
      </c>
      <c r="E146" s="111"/>
      <c r="F146" s="111"/>
      <c r="G146" s="111"/>
      <c r="H146" s="111"/>
      <c r="I146" s="111"/>
      <c r="J146" s="111"/>
      <c r="K146" s="109"/>
      <c r="L146" s="109"/>
      <c r="M146" s="109"/>
      <c r="N146" s="109"/>
      <c r="O146" s="243" t="e">
        <f>Energy!Q75</f>
        <v>#DIV/0!</v>
      </c>
      <c r="P146" s="111" t="s">
        <v>277</v>
      </c>
      <c r="Q146" s="192"/>
    </row>
    <row r="147" spans="1:20" ht="16" x14ac:dyDescent="0.2">
      <c r="A147" s="133"/>
      <c r="B147" s="109"/>
      <c r="C147" s="109"/>
      <c r="D147" s="111"/>
      <c r="E147" s="109" t="s">
        <v>594</v>
      </c>
      <c r="F147" s="244" t="e">
        <f>C146/3*1.3*0.7/O146</f>
        <v>#DIV/0!</v>
      </c>
      <c r="G147" s="111" t="s">
        <v>299</v>
      </c>
      <c r="H147" s="111"/>
      <c r="I147" s="111"/>
      <c r="J147" s="111"/>
      <c r="K147" s="109"/>
      <c r="L147" s="109"/>
      <c r="M147" s="109"/>
      <c r="N147" s="109"/>
      <c r="O147" s="109"/>
      <c r="P147" s="111" t="s">
        <v>364</v>
      </c>
      <c r="Q147" s="192"/>
    </row>
    <row r="148" spans="1:20" ht="32" x14ac:dyDescent="0.2">
      <c r="A148" s="133"/>
      <c r="B148" s="109"/>
      <c r="C148" s="109"/>
      <c r="D148" s="111"/>
      <c r="E148" s="109" t="s">
        <v>600</v>
      </c>
      <c r="F148" s="244" t="e">
        <f>C146/3*1.3*0.3/O146</f>
        <v>#DIV/0!</v>
      </c>
      <c r="G148" s="111" t="s">
        <v>583</v>
      </c>
      <c r="H148" s="111"/>
      <c r="I148" s="111"/>
      <c r="J148" s="111"/>
      <c r="K148" s="109"/>
      <c r="L148" s="109"/>
      <c r="M148" s="109"/>
      <c r="N148" s="109"/>
      <c r="O148" s="109"/>
      <c r="P148" s="111" t="s">
        <v>601</v>
      </c>
      <c r="Q148" s="192"/>
    </row>
    <row r="149" spans="1:20" ht="32" x14ac:dyDescent="0.2">
      <c r="A149" s="133"/>
      <c r="B149" s="109"/>
      <c r="C149" s="109"/>
      <c r="D149" s="111"/>
      <c r="E149" s="109" t="s">
        <v>602</v>
      </c>
      <c r="F149" s="948" t="e">
        <f>F148*Q149</f>
        <v>#DIV/0!</v>
      </c>
      <c r="G149" s="111" t="s">
        <v>337</v>
      </c>
      <c r="H149" s="111"/>
      <c r="I149" s="111"/>
      <c r="J149" s="111"/>
      <c r="K149" s="109"/>
      <c r="L149" s="109"/>
      <c r="M149" s="109"/>
      <c r="N149" s="109"/>
      <c r="O149" s="109"/>
      <c r="P149" s="111" t="s">
        <v>586</v>
      </c>
      <c r="Q149" s="947">
        <v>0.05</v>
      </c>
    </row>
    <row r="150" spans="1:20" ht="16" x14ac:dyDescent="0.2">
      <c r="A150" s="133"/>
      <c r="B150" s="109"/>
      <c r="C150" s="109"/>
      <c r="D150" s="111"/>
      <c r="E150" s="109"/>
      <c r="F150" s="244"/>
      <c r="G150" s="111"/>
      <c r="H150" s="111" t="s">
        <v>52</v>
      </c>
      <c r="I150" s="281" t="e">
        <f>Energy!O75</f>
        <v>#DIV/0!</v>
      </c>
      <c r="J150" s="111" t="s">
        <v>233</v>
      </c>
      <c r="K150" s="109"/>
      <c r="L150" s="109"/>
      <c r="M150" s="109"/>
      <c r="N150" s="109"/>
      <c r="O150" s="109"/>
      <c r="P150" s="111"/>
      <c r="Q150" s="245"/>
      <c r="T150" s="168"/>
    </row>
    <row r="151" spans="1:20" ht="32" x14ac:dyDescent="0.2">
      <c r="A151" s="133"/>
      <c r="B151" s="109"/>
      <c r="C151" s="109"/>
      <c r="D151" s="111"/>
      <c r="E151" s="111"/>
      <c r="F151" s="111"/>
      <c r="G151" s="111"/>
      <c r="H151" s="111"/>
      <c r="I151" s="111"/>
      <c r="J151" s="111"/>
      <c r="K151" s="109" t="s">
        <v>409</v>
      </c>
      <c r="L151" s="249" t="e">
        <f>F147+F148+Stoichiometry!G83+Stoichiometry!G83/(Stoichiometry!J7/1000)</f>
        <v>#DIV/0!</v>
      </c>
      <c r="M151" s="109" t="s">
        <v>299</v>
      </c>
      <c r="N151" s="109"/>
      <c r="O151" s="109"/>
      <c r="P151" s="111" t="s">
        <v>603</v>
      </c>
      <c r="Q151" s="192"/>
    </row>
    <row r="152" spans="1:20" ht="16" x14ac:dyDescent="0.2">
      <c r="A152" s="133"/>
      <c r="B152" s="109"/>
      <c r="C152" s="109"/>
      <c r="D152" s="111"/>
      <c r="E152" s="111"/>
      <c r="F152" s="111"/>
      <c r="G152" s="111"/>
      <c r="H152" s="111"/>
      <c r="I152" s="111"/>
      <c r="J152" s="111"/>
      <c r="K152" s="109" t="s">
        <v>351</v>
      </c>
      <c r="L152" s="240" t="e">
        <f>C146+F147+F148-L151</f>
        <v>#DIV/0!</v>
      </c>
      <c r="M152" s="109" t="s">
        <v>299</v>
      </c>
      <c r="N152" s="109"/>
      <c r="O152" s="109"/>
      <c r="P152" s="111"/>
      <c r="Q152" s="192"/>
      <c r="T152" s="168"/>
    </row>
    <row r="153" spans="1:20" x14ac:dyDescent="0.2">
      <c r="A153" s="133"/>
      <c r="B153" s="94"/>
      <c r="C153" s="109"/>
      <c r="D153" s="111"/>
      <c r="E153" s="111"/>
      <c r="F153" s="111"/>
      <c r="G153" s="111"/>
      <c r="H153" s="111"/>
      <c r="I153" s="111"/>
      <c r="J153" s="111"/>
      <c r="K153" s="109"/>
      <c r="L153" s="109"/>
      <c r="M153" s="109"/>
      <c r="N153" s="109"/>
      <c r="O153" s="109"/>
      <c r="P153" s="111"/>
      <c r="Q153" s="195"/>
    </row>
    <row r="154" spans="1:20" ht="16" x14ac:dyDescent="0.2">
      <c r="A154" s="387" t="s">
        <v>411</v>
      </c>
      <c r="B154" s="109"/>
      <c r="C154" s="107"/>
      <c r="D154" s="87"/>
      <c r="E154" s="87"/>
      <c r="F154" s="87"/>
      <c r="G154" s="87"/>
      <c r="H154" s="87"/>
      <c r="I154" s="87"/>
      <c r="J154" s="87"/>
      <c r="K154" s="107"/>
      <c r="L154" s="107"/>
      <c r="M154" s="107"/>
      <c r="N154" s="107"/>
      <c r="O154" s="107"/>
      <c r="P154" s="87"/>
      <c r="Q154" s="192"/>
    </row>
    <row r="155" spans="1:20" ht="16" x14ac:dyDescent="0.2">
      <c r="A155" s="133" t="s">
        <v>353</v>
      </c>
      <c r="B155" s="109" t="s">
        <v>409</v>
      </c>
      <c r="C155" s="249" t="e">
        <f>L151</f>
        <v>#DIV/0!</v>
      </c>
      <c r="D155" s="111" t="s">
        <v>299</v>
      </c>
      <c r="E155" s="111"/>
      <c r="F155" s="111"/>
      <c r="G155" s="111"/>
      <c r="H155" s="111"/>
      <c r="I155" s="111"/>
      <c r="J155" s="111"/>
      <c r="K155" s="109"/>
      <c r="L155" s="109"/>
      <c r="M155" s="109"/>
      <c r="N155" s="109"/>
      <c r="O155" s="109"/>
      <c r="P155" s="111"/>
      <c r="Q155" s="192"/>
    </row>
    <row r="156" spans="1:20" ht="16" x14ac:dyDescent="0.2">
      <c r="A156" s="133"/>
      <c r="B156" s="109"/>
      <c r="C156" s="109"/>
      <c r="D156" s="111"/>
      <c r="E156" s="109" t="s">
        <v>413</v>
      </c>
      <c r="F156" s="109" t="s">
        <v>375</v>
      </c>
      <c r="G156" s="111" t="s">
        <v>299</v>
      </c>
      <c r="H156" s="111"/>
      <c r="I156" s="111"/>
      <c r="J156" s="111"/>
      <c r="K156" s="109"/>
      <c r="L156" s="109"/>
      <c r="M156" s="109"/>
      <c r="N156" s="109"/>
      <c r="O156" s="109"/>
      <c r="P156" s="111"/>
      <c r="Q156" s="192"/>
    </row>
    <row r="157" spans="1:20" ht="16" x14ac:dyDescent="0.2">
      <c r="A157" s="133"/>
      <c r="B157" s="109"/>
      <c r="C157" s="109"/>
      <c r="D157" s="111"/>
      <c r="E157" s="109"/>
      <c r="F157" s="109"/>
      <c r="G157" s="111"/>
      <c r="H157" s="111" t="s">
        <v>52</v>
      </c>
      <c r="I157" s="281" t="e">
        <f>Energy!O76</f>
        <v>#DIV/0!</v>
      </c>
      <c r="J157" s="111" t="s">
        <v>233</v>
      </c>
      <c r="K157" s="109"/>
      <c r="L157" s="109"/>
      <c r="M157" s="109"/>
      <c r="N157" s="109"/>
      <c r="O157" s="109"/>
      <c r="P157" s="111" t="s">
        <v>376</v>
      </c>
      <c r="Q157" s="192"/>
    </row>
    <row r="158" spans="1:20" ht="16" x14ac:dyDescent="0.2">
      <c r="A158" s="133"/>
      <c r="B158" s="109"/>
      <c r="C158" s="109"/>
      <c r="D158" s="111"/>
      <c r="E158" s="111"/>
      <c r="F158" s="111"/>
      <c r="G158" s="111"/>
      <c r="H158" s="111"/>
      <c r="I158" s="111"/>
      <c r="J158" s="111"/>
      <c r="K158" s="109" t="s">
        <v>409</v>
      </c>
      <c r="L158" s="249" t="e">
        <f>C155</f>
        <v>#DIV/0!</v>
      </c>
      <c r="M158" s="109" t="s">
        <v>299</v>
      </c>
      <c r="N158" s="109"/>
      <c r="O158" s="109"/>
      <c r="P158" s="111"/>
      <c r="Q158" s="192"/>
    </row>
    <row r="159" spans="1:20" ht="16" x14ac:dyDescent="0.2">
      <c r="A159" s="133"/>
      <c r="B159" s="94"/>
      <c r="C159" s="109"/>
      <c r="D159" s="111"/>
      <c r="E159" s="111"/>
      <c r="F159" s="111"/>
      <c r="G159" s="111"/>
      <c r="H159" s="111"/>
      <c r="I159" s="111"/>
      <c r="J159" s="111"/>
      <c r="K159" s="109" t="s">
        <v>409</v>
      </c>
      <c r="L159" s="249" t="e">
        <f>L158/N159</f>
        <v>#DIV/0!</v>
      </c>
      <c r="M159" s="109"/>
      <c r="N159" s="109">
        <v>2</v>
      </c>
      <c r="O159" s="109"/>
      <c r="P159" s="111"/>
      <c r="Q159" s="195"/>
    </row>
    <row r="160" spans="1:20" ht="16" x14ac:dyDescent="0.2">
      <c r="A160" s="387" t="s">
        <v>414</v>
      </c>
      <c r="B160" s="109"/>
      <c r="C160" s="107"/>
      <c r="D160" s="87"/>
      <c r="E160" s="87"/>
      <c r="F160" s="87"/>
      <c r="G160" s="87"/>
      <c r="H160" s="87"/>
      <c r="I160" s="87"/>
      <c r="J160" s="87"/>
      <c r="K160" s="107"/>
      <c r="L160" s="107"/>
      <c r="M160" s="107"/>
      <c r="N160" s="107"/>
      <c r="O160" s="107"/>
      <c r="P160" s="87"/>
      <c r="Q160" s="192"/>
    </row>
    <row r="161" spans="1:21" ht="16" x14ac:dyDescent="0.2">
      <c r="A161" s="133" t="s">
        <v>353</v>
      </c>
      <c r="B161" s="109" t="s">
        <v>409</v>
      </c>
      <c r="C161" s="249" t="e">
        <f>L158</f>
        <v>#DIV/0!</v>
      </c>
      <c r="D161" s="111" t="s">
        <v>299</v>
      </c>
      <c r="E161" s="111"/>
      <c r="F161" s="111"/>
      <c r="G161" s="111"/>
      <c r="H161" s="111"/>
      <c r="I161" s="111"/>
      <c r="J161" s="111"/>
      <c r="K161" s="109"/>
      <c r="L161" s="109"/>
      <c r="M161" s="109"/>
      <c r="N161" s="109"/>
      <c r="O161" s="109"/>
      <c r="P161" s="112" t="s">
        <v>378</v>
      </c>
      <c r="Q161" s="818">
        <v>2</v>
      </c>
    </row>
    <row r="162" spans="1:21" ht="16" x14ac:dyDescent="0.2">
      <c r="A162" s="133"/>
      <c r="B162" s="109"/>
      <c r="C162" s="109"/>
      <c r="D162" s="111"/>
      <c r="E162" s="109" t="s">
        <v>74</v>
      </c>
      <c r="F162" s="251" t="e">
        <f>Stoichiometry!E98*Q162/Q161*Stoichiometry!C78/1000</f>
        <v>#DIV/0!</v>
      </c>
      <c r="G162" s="111" t="s">
        <v>299</v>
      </c>
      <c r="H162" s="111"/>
      <c r="I162" s="111"/>
      <c r="J162" s="111"/>
      <c r="K162" s="109"/>
      <c r="L162" s="109"/>
      <c r="M162" s="109"/>
      <c r="N162" s="109"/>
      <c r="O162" s="109"/>
      <c r="P162" s="112" t="s">
        <v>379</v>
      </c>
      <c r="Q162" s="818">
        <v>3</v>
      </c>
    </row>
    <row r="163" spans="1:21" ht="16" x14ac:dyDescent="0.2">
      <c r="A163" s="133"/>
      <c r="B163" s="109"/>
      <c r="C163" s="109"/>
      <c r="D163" s="111"/>
      <c r="E163" s="109"/>
      <c r="F163" s="251"/>
      <c r="G163" s="111"/>
      <c r="H163" s="111" t="s">
        <v>52</v>
      </c>
      <c r="I163" s="281" t="e">
        <f>Energy!O77</f>
        <v>#DIV/0!</v>
      </c>
      <c r="J163" s="111" t="s">
        <v>233</v>
      </c>
      <c r="K163" s="109"/>
      <c r="L163" s="109"/>
      <c r="M163" s="109"/>
      <c r="N163" s="109"/>
      <c r="O163" s="109"/>
      <c r="P163" s="111" t="s">
        <v>376</v>
      </c>
      <c r="Q163" s="192"/>
    </row>
    <row r="164" spans="1:21" ht="18" x14ac:dyDescent="0.2">
      <c r="A164" s="133"/>
      <c r="B164" s="109"/>
      <c r="C164" s="109"/>
      <c r="D164" s="111"/>
      <c r="E164" s="111"/>
      <c r="F164" s="111"/>
      <c r="G164" s="111"/>
      <c r="H164" s="111"/>
      <c r="I164" s="111"/>
      <c r="J164" s="111"/>
      <c r="K164" s="109" t="s">
        <v>604</v>
      </c>
      <c r="L164" s="240" t="e">
        <f>C161+F162-L166-L167</f>
        <v>#DIV/0!</v>
      </c>
      <c r="M164" s="109" t="s">
        <v>299</v>
      </c>
      <c r="N164" s="109"/>
      <c r="O164" s="109"/>
      <c r="P164" s="111"/>
      <c r="Q164" s="192"/>
    </row>
    <row r="165" spans="1:21" ht="18" x14ac:dyDescent="0.2">
      <c r="A165" s="133"/>
      <c r="B165" s="109"/>
      <c r="C165" s="109"/>
      <c r="D165" s="111"/>
      <c r="E165" s="111"/>
      <c r="F165" s="111"/>
      <c r="G165" s="111"/>
      <c r="H165" s="111"/>
      <c r="I165" s="111"/>
      <c r="J165" s="111"/>
      <c r="K165" s="109" t="s">
        <v>604</v>
      </c>
      <c r="L165" s="240" t="e">
        <f>L164/N165</f>
        <v>#DIV/0!</v>
      </c>
      <c r="M165" s="109" t="s">
        <v>312</v>
      </c>
      <c r="N165" s="513">
        <v>2</v>
      </c>
      <c r="O165" s="513"/>
      <c r="P165" s="111"/>
      <c r="Q165" s="529"/>
    </row>
    <row r="166" spans="1:21" ht="16" x14ac:dyDescent="0.2">
      <c r="A166" s="133"/>
      <c r="B166" s="109"/>
      <c r="C166" s="109"/>
      <c r="D166" s="111"/>
      <c r="E166" s="111"/>
      <c r="F166" s="111"/>
      <c r="G166" s="111"/>
      <c r="H166" s="111"/>
      <c r="I166" s="111"/>
      <c r="J166" s="111"/>
      <c r="K166" s="109" t="s">
        <v>45</v>
      </c>
      <c r="L166" s="244" t="e">
        <f>F148</f>
        <v>#DIV/0!</v>
      </c>
      <c r="M166" s="109" t="s">
        <v>299</v>
      </c>
      <c r="N166" s="109"/>
      <c r="O166" s="109"/>
      <c r="P166" s="111" t="s">
        <v>381</v>
      </c>
      <c r="Q166" s="192"/>
    </row>
    <row r="167" spans="1:21" ht="16" x14ac:dyDescent="0.2">
      <c r="A167" s="133"/>
      <c r="B167" s="109"/>
      <c r="C167" s="109"/>
      <c r="D167" s="111"/>
      <c r="E167" s="111"/>
      <c r="F167" s="111"/>
      <c r="G167" s="111"/>
      <c r="H167" s="111"/>
      <c r="I167" s="111"/>
      <c r="J167" s="111"/>
      <c r="K167" s="109" t="s">
        <v>63</v>
      </c>
      <c r="L167" s="244" t="e">
        <f>F147</f>
        <v>#DIV/0!</v>
      </c>
      <c r="M167" s="109" t="s">
        <v>299</v>
      </c>
      <c r="N167" s="109"/>
      <c r="O167" s="109"/>
      <c r="P167" s="111" t="s">
        <v>381</v>
      </c>
      <c r="Q167" s="192"/>
    </row>
    <row r="168" spans="1:21" x14ac:dyDescent="0.2">
      <c r="A168" s="133"/>
      <c r="B168" s="94"/>
      <c r="C168" s="109"/>
      <c r="D168" s="111"/>
      <c r="E168" s="111"/>
      <c r="F168" s="111"/>
      <c r="G168" s="111"/>
      <c r="H168" s="111"/>
      <c r="I168" s="111"/>
      <c r="J168" s="111"/>
      <c r="K168" s="109"/>
      <c r="L168" s="109"/>
      <c r="M168" s="109"/>
      <c r="N168" s="109"/>
      <c r="O168" s="109"/>
      <c r="P168" s="111"/>
      <c r="Q168" s="195"/>
    </row>
    <row r="169" spans="1:21" ht="16" x14ac:dyDescent="0.2">
      <c r="A169" s="387" t="s">
        <v>212</v>
      </c>
      <c r="B169" s="109"/>
      <c r="C169" s="107"/>
      <c r="D169" s="87"/>
      <c r="E169" s="87"/>
      <c r="F169" s="87"/>
      <c r="G169" s="87"/>
      <c r="H169" s="87"/>
      <c r="I169" s="87"/>
      <c r="J169" s="87"/>
      <c r="K169" s="107"/>
      <c r="L169" s="107"/>
      <c r="M169" s="107"/>
      <c r="N169" s="107"/>
      <c r="O169" s="107"/>
      <c r="P169" s="87"/>
      <c r="Q169" s="192"/>
    </row>
    <row r="170" spans="1:21" ht="32" x14ac:dyDescent="0.2">
      <c r="A170" s="211" t="s">
        <v>382</v>
      </c>
      <c r="B170" s="109" t="s">
        <v>604</v>
      </c>
      <c r="C170" s="240" t="e">
        <f>L164</f>
        <v>#DIV/0!</v>
      </c>
      <c r="D170" s="111" t="s">
        <v>299</v>
      </c>
      <c r="E170" s="111"/>
      <c r="F170" s="111"/>
      <c r="G170" s="111"/>
      <c r="H170" s="111"/>
      <c r="I170" s="111"/>
      <c r="J170" s="111"/>
      <c r="K170" s="109"/>
      <c r="L170" s="109"/>
      <c r="M170" s="109"/>
      <c r="N170" s="109"/>
      <c r="O170" s="109"/>
      <c r="P170" s="111"/>
      <c r="Q170" s="192"/>
      <c r="T170" s="168"/>
    </row>
    <row r="171" spans="1:21" ht="16" x14ac:dyDescent="0.2">
      <c r="A171" s="133"/>
      <c r="B171" s="109"/>
      <c r="C171" s="240"/>
      <c r="D171" s="111"/>
      <c r="E171" s="111"/>
      <c r="F171" s="111"/>
      <c r="G171" s="111"/>
      <c r="H171" s="111" t="s">
        <v>52</v>
      </c>
      <c r="I171" s="281" t="e">
        <f>Energy!O78</f>
        <v>#DIV/0!</v>
      </c>
      <c r="J171" s="111" t="s">
        <v>233</v>
      </c>
      <c r="K171" s="109"/>
      <c r="L171" s="109"/>
      <c r="M171" s="109"/>
      <c r="N171" s="109"/>
      <c r="O171" s="109"/>
      <c r="P171" s="164" t="s">
        <v>384</v>
      </c>
      <c r="Q171" s="192"/>
    </row>
    <row r="172" spans="1:21" ht="18" x14ac:dyDescent="0.2">
      <c r="A172" s="133"/>
      <c r="B172" s="109"/>
      <c r="C172" s="109"/>
      <c r="D172" s="111"/>
      <c r="E172" s="111"/>
      <c r="F172" s="111"/>
      <c r="G172" s="111"/>
      <c r="H172" s="111"/>
      <c r="I172" s="111"/>
      <c r="J172" s="111"/>
      <c r="K172" s="109" t="s">
        <v>158</v>
      </c>
      <c r="L172" s="240" t="e">
        <f>(Stoichiometry!G83+Stoichiometry!G102)*Efficiencies!E64</f>
        <v>#DIV/0!</v>
      </c>
      <c r="M172" s="109" t="s">
        <v>299</v>
      </c>
      <c r="N172" s="109"/>
      <c r="O172" s="109"/>
      <c r="P172" s="111"/>
      <c r="Q172" s="192"/>
    </row>
    <row r="173" spans="1:21" ht="16" x14ac:dyDescent="0.2">
      <c r="A173" s="133"/>
      <c r="B173" s="109"/>
      <c r="C173" s="109"/>
      <c r="D173" s="111"/>
      <c r="E173" s="111"/>
      <c r="F173" s="111"/>
      <c r="G173" s="111"/>
      <c r="H173" s="111"/>
      <c r="I173" s="111"/>
      <c r="J173" s="111"/>
      <c r="K173" s="109" t="s">
        <v>226</v>
      </c>
      <c r="L173" s="240" t="e">
        <f>C170-L172</f>
        <v>#DIV/0!</v>
      </c>
      <c r="M173" s="109" t="s">
        <v>299</v>
      </c>
      <c r="N173" s="109"/>
      <c r="O173" s="109"/>
      <c r="P173" s="111" t="s">
        <v>385</v>
      </c>
      <c r="Q173" s="192"/>
      <c r="T173" s="168"/>
    </row>
    <row r="174" spans="1:21" x14ac:dyDescent="0.2">
      <c r="A174" s="133"/>
      <c r="B174" s="94"/>
      <c r="C174" s="109"/>
      <c r="D174" s="111"/>
      <c r="E174" s="111"/>
      <c r="F174" s="111"/>
      <c r="G174" s="111"/>
      <c r="H174" s="111"/>
      <c r="I174" s="111"/>
      <c r="J174" s="111"/>
      <c r="K174" s="109"/>
      <c r="L174" s="109"/>
      <c r="M174" s="109"/>
      <c r="N174" s="109"/>
      <c r="O174" s="109"/>
      <c r="P174" s="111"/>
      <c r="Q174" s="195"/>
    </row>
    <row r="175" spans="1:21" ht="30.5" customHeight="1" x14ac:dyDescent="0.2">
      <c r="A175" s="387" t="s">
        <v>605</v>
      </c>
      <c r="B175" s="109"/>
      <c r="C175" s="107"/>
      <c r="D175" s="87"/>
      <c r="E175" s="87"/>
      <c r="F175" s="87"/>
      <c r="G175" s="87"/>
      <c r="H175" s="87"/>
      <c r="I175" s="87"/>
      <c r="J175" s="87"/>
      <c r="K175" s="107"/>
      <c r="L175" s="107"/>
      <c r="M175" s="107"/>
      <c r="N175" s="107"/>
      <c r="O175" s="107"/>
      <c r="P175" s="87"/>
      <c r="Q175" s="192"/>
    </row>
    <row r="176" spans="1:21" ht="16" x14ac:dyDescent="0.2">
      <c r="A176" s="390" t="s">
        <v>417</v>
      </c>
      <c r="B176" s="109" t="s">
        <v>351</v>
      </c>
      <c r="C176" s="240" t="e">
        <f>L152</f>
        <v>#DIV/0!</v>
      </c>
      <c r="D176" s="111" t="s">
        <v>299</v>
      </c>
      <c r="E176" s="111"/>
      <c r="F176" s="111"/>
      <c r="G176" s="111"/>
      <c r="H176" s="111"/>
      <c r="I176" s="111"/>
      <c r="J176" s="111"/>
      <c r="K176" s="109"/>
      <c r="L176" s="109"/>
      <c r="M176" s="109"/>
      <c r="N176" s="109"/>
      <c r="O176" s="109"/>
      <c r="P176" s="111"/>
      <c r="Q176" s="192"/>
      <c r="S176" s="124"/>
      <c r="T176" s="124" t="s">
        <v>262</v>
      </c>
      <c r="U176" s="124" t="s">
        <v>263</v>
      </c>
    </row>
    <row r="177" spans="1:28" ht="16" x14ac:dyDescent="0.2">
      <c r="A177" s="390"/>
      <c r="B177" s="109" t="s">
        <v>351</v>
      </c>
      <c r="C177" s="240" t="e">
        <f>C176/N177</f>
        <v>#DIV/0!</v>
      </c>
      <c r="D177" s="111" t="s">
        <v>312</v>
      </c>
      <c r="E177" s="111"/>
      <c r="F177" s="111"/>
      <c r="G177" s="111"/>
      <c r="H177" s="111"/>
      <c r="I177" s="111"/>
      <c r="J177" s="111"/>
      <c r="K177" s="109"/>
      <c r="L177" s="109"/>
      <c r="M177" s="109"/>
      <c r="N177" s="513">
        <v>1</v>
      </c>
      <c r="O177" s="513"/>
      <c r="P177" s="112"/>
      <c r="Q177" s="192"/>
      <c r="S177" s="74" t="s">
        <v>606</v>
      </c>
      <c r="T177" s="525" t="e">
        <f>Stoichiometry!G71</f>
        <v>#DIV/0!</v>
      </c>
      <c r="U177" s="77" t="s">
        <v>299</v>
      </c>
    </row>
    <row r="178" spans="1:28" ht="16" x14ac:dyDescent="0.2">
      <c r="A178" s="390"/>
      <c r="B178" s="109"/>
      <c r="C178" s="240"/>
      <c r="D178" s="111"/>
      <c r="E178" s="111"/>
      <c r="F178" s="111"/>
      <c r="G178" s="111"/>
      <c r="H178" s="111" t="s">
        <v>52</v>
      </c>
      <c r="I178" s="281" t="e">
        <f>Energy!O79</f>
        <v>#DIV/0!</v>
      </c>
      <c r="J178" s="111" t="s">
        <v>233</v>
      </c>
      <c r="K178" s="109"/>
      <c r="L178" s="109"/>
      <c r="M178" s="109"/>
      <c r="N178" s="109"/>
      <c r="O178" s="109"/>
      <c r="P178" s="112" t="s">
        <v>391</v>
      </c>
      <c r="Q178" s="192"/>
      <c r="S178" s="74" t="s">
        <v>420</v>
      </c>
      <c r="T178" s="526" t="e">
        <f>T177/C177*1000</f>
        <v>#DIV/0!</v>
      </c>
      <c r="U178" s="77" t="s">
        <v>421</v>
      </c>
      <c r="V178" t="s">
        <v>422</v>
      </c>
    </row>
    <row r="179" spans="1:28" ht="32" x14ac:dyDescent="0.2">
      <c r="A179" s="133"/>
      <c r="B179" s="109"/>
      <c r="C179" s="109"/>
      <c r="D179" s="111"/>
      <c r="E179" s="111"/>
      <c r="F179" s="111"/>
      <c r="G179" s="111"/>
      <c r="H179" s="111"/>
      <c r="I179" s="111"/>
      <c r="J179" s="111"/>
      <c r="K179" s="109" t="s">
        <v>351</v>
      </c>
      <c r="L179" s="240" t="e">
        <f>L180*N177</f>
        <v>#DIV/0!</v>
      </c>
      <c r="M179" s="109" t="s">
        <v>299</v>
      </c>
      <c r="N179" s="109"/>
      <c r="O179" s="109"/>
      <c r="P179" s="111" t="s">
        <v>607</v>
      </c>
      <c r="Q179" s="818">
        <v>20</v>
      </c>
      <c r="S179" s="74" t="s">
        <v>423</v>
      </c>
      <c r="T179" s="810">
        <v>3</v>
      </c>
      <c r="U179" s="77" t="s">
        <v>421</v>
      </c>
    </row>
    <row r="180" spans="1:28" ht="16" x14ac:dyDescent="0.2">
      <c r="A180" s="133"/>
      <c r="B180" s="109"/>
      <c r="C180" s="109"/>
      <c r="D180" s="111"/>
      <c r="E180" s="111"/>
      <c r="F180" s="111"/>
      <c r="G180" s="111"/>
      <c r="H180" s="111"/>
      <c r="I180" s="111"/>
      <c r="J180" s="111"/>
      <c r="K180" s="109" t="s">
        <v>351</v>
      </c>
      <c r="L180" s="240" t="e">
        <f>T181</f>
        <v>#DIV/0!</v>
      </c>
      <c r="M180" s="109" t="s">
        <v>312</v>
      </c>
      <c r="N180" s="109"/>
      <c r="O180" s="109"/>
      <c r="P180" s="111"/>
      <c r="Q180" s="192"/>
      <c r="S180" s="74" t="s">
        <v>424</v>
      </c>
      <c r="T180" s="498">
        <f>Q179</f>
        <v>20</v>
      </c>
      <c r="U180" s="498" t="s">
        <v>421</v>
      </c>
    </row>
    <row r="181" spans="1:28" ht="16" x14ac:dyDescent="0.2">
      <c r="A181" s="133"/>
      <c r="B181" s="109"/>
      <c r="C181" s="109"/>
      <c r="D181" s="111"/>
      <c r="E181" s="111"/>
      <c r="F181" s="111"/>
      <c r="G181" s="111"/>
      <c r="H181" s="111"/>
      <c r="I181" s="111"/>
      <c r="J181" s="111"/>
      <c r="K181" s="109" t="s">
        <v>226</v>
      </c>
      <c r="L181" s="240" t="e">
        <f>C176-L179</f>
        <v>#DIV/0!</v>
      </c>
      <c r="M181" s="109" t="s">
        <v>299</v>
      </c>
      <c r="N181" s="109"/>
      <c r="O181" s="109"/>
      <c r="P181" s="111" t="s">
        <v>385</v>
      </c>
      <c r="Q181" s="192"/>
      <c r="S181" s="74" t="s">
        <v>425</v>
      </c>
      <c r="T181" s="527" t="e">
        <f>T177/(T180/1000)</f>
        <v>#DIV/0!</v>
      </c>
      <c r="U181" s="77" t="s">
        <v>312</v>
      </c>
    </row>
    <row r="182" spans="1:28" x14ac:dyDescent="0.2">
      <c r="A182" s="133"/>
      <c r="B182" s="94"/>
      <c r="C182" s="109"/>
      <c r="D182" s="111"/>
      <c r="E182" s="111"/>
      <c r="F182" s="111"/>
      <c r="G182" s="111"/>
      <c r="H182" s="111"/>
      <c r="I182" s="111"/>
      <c r="J182" s="111"/>
      <c r="K182" s="109"/>
      <c r="L182" s="109"/>
      <c r="M182" s="109"/>
      <c r="N182" s="109"/>
      <c r="O182" s="109"/>
      <c r="P182" s="111"/>
      <c r="Q182" s="195"/>
    </row>
    <row r="183" spans="1:28" ht="16" x14ac:dyDescent="0.2">
      <c r="A183" s="387" t="s">
        <v>426</v>
      </c>
      <c r="B183" s="109"/>
      <c r="C183" s="107"/>
      <c r="D183" s="87"/>
      <c r="E183" s="87"/>
      <c r="F183" s="87"/>
      <c r="G183" s="87"/>
      <c r="H183" s="87"/>
      <c r="I183" s="87"/>
      <c r="J183" s="87"/>
      <c r="K183" s="107"/>
      <c r="L183" s="107"/>
      <c r="M183" s="107"/>
      <c r="N183" s="107"/>
      <c r="O183" s="107"/>
      <c r="P183" s="87"/>
      <c r="Q183" s="192"/>
    </row>
    <row r="184" spans="1:28" ht="16" x14ac:dyDescent="0.2">
      <c r="A184" s="211" t="s">
        <v>349</v>
      </c>
      <c r="B184" s="109" t="s">
        <v>351</v>
      </c>
      <c r="C184" s="240" t="e">
        <f>L179</f>
        <v>#DIV/0!</v>
      </c>
      <c r="D184" s="111" t="s">
        <v>299</v>
      </c>
      <c r="E184" s="111"/>
      <c r="F184" s="111"/>
      <c r="G184" s="111"/>
      <c r="H184" s="111"/>
      <c r="I184" s="111"/>
      <c r="J184" s="111"/>
      <c r="K184" s="109"/>
      <c r="L184" s="109"/>
      <c r="M184" s="109"/>
      <c r="N184" s="109"/>
      <c r="O184" s="109"/>
      <c r="P184" s="112"/>
      <c r="Q184" s="192"/>
      <c r="T184" t="s">
        <v>427</v>
      </c>
    </row>
    <row r="185" spans="1:28" ht="16" x14ac:dyDescent="0.2">
      <c r="A185" s="133"/>
      <c r="B185" s="109"/>
      <c r="C185" s="109"/>
      <c r="D185" s="111"/>
      <c r="E185" s="109" t="s">
        <v>69</v>
      </c>
      <c r="F185" s="240" t="e">
        <f>AA187*Q185</f>
        <v>#DIV/0!</v>
      </c>
      <c r="G185" s="111" t="s">
        <v>299</v>
      </c>
      <c r="H185" s="111"/>
      <c r="I185" s="111"/>
      <c r="J185" s="111"/>
      <c r="K185" s="109"/>
      <c r="L185" s="109"/>
      <c r="M185" s="109"/>
      <c r="N185" s="109"/>
      <c r="O185" s="109"/>
      <c r="P185" s="112" t="s">
        <v>385</v>
      </c>
      <c r="Q185" s="818">
        <v>1.1000000000000001</v>
      </c>
      <c r="T185" s="1023" t="s">
        <v>102</v>
      </c>
      <c r="U185" s="1024"/>
      <c r="V185" s="1024"/>
      <c r="W185" s="1025"/>
      <c r="X185" s="1023" t="s">
        <v>428</v>
      </c>
      <c r="Y185" s="1024"/>
      <c r="Z185" s="1025"/>
      <c r="AA185" s="1026" t="s">
        <v>429</v>
      </c>
      <c r="AB185" s="1026"/>
    </row>
    <row r="186" spans="1:28" ht="48" x14ac:dyDescent="0.2">
      <c r="A186" s="133"/>
      <c r="B186" s="109"/>
      <c r="C186" s="109"/>
      <c r="D186" s="111"/>
      <c r="E186" s="109"/>
      <c r="F186" s="240"/>
      <c r="G186" s="111"/>
      <c r="H186" s="111" t="s">
        <v>52</v>
      </c>
      <c r="I186" s="344" t="e">
        <f>Energy!O80</f>
        <v>#DIV/0!</v>
      </c>
      <c r="J186" s="111" t="s">
        <v>233</v>
      </c>
      <c r="K186" s="109"/>
      <c r="L186" s="109"/>
      <c r="M186" s="109"/>
      <c r="N186" s="109"/>
      <c r="O186" s="109"/>
      <c r="P186" s="112"/>
      <c r="Q186" s="470"/>
      <c r="S186" s="124"/>
      <c r="T186" s="124" t="s">
        <v>431</v>
      </c>
      <c r="U186" s="700" t="s">
        <v>608</v>
      </c>
      <c r="V186" s="124" t="s">
        <v>433</v>
      </c>
      <c r="W186" s="700" t="s">
        <v>609</v>
      </c>
      <c r="X186" s="124" t="s">
        <v>610</v>
      </c>
      <c r="Y186" s="124" t="s">
        <v>608</v>
      </c>
      <c r="Z186" s="124" t="s">
        <v>431</v>
      </c>
      <c r="AA186" s="124" t="s">
        <v>431</v>
      </c>
      <c r="AB186" s="700" t="s">
        <v>611</v>
      </c>
    </row>
    <row r="187" spans="1:28" ht="16" x14ac:dyDescent="0.2">
      <c r="A187" s="133"/>
      <c r="B187" s="109"/>
      <c r="C187" s="109"/>
      <c r="D187" s="111"/>
      <c r="E187" s="111"/>
      <c r="F187" s="111"/>
      <c r="G187" s="111"/>
      <c r="H187" s="111"/>
      <c r="I187" s="111"/>
      <c r="J187" s="111"/>
      <c r="K187" s="109" t="s">
        <v>351</v>
      </c>
      <c r="L187" s="240" t="e">
        <f>C184+F185</f>
        <v>#DIV/0!</v>
      </c>
      <c r="M187" s="109" t="s">
        <v>299</v>
      </c>
      <c r="N187" s="109"/>
      <c r="O187" s="109"/>
      <c r="P187" s="111"/>
      <c r="Q187" s="192"/>
      <c r="S187" s="124" t="s">
        <v>435</v>
      </c>
      <c r="T187" s="524" t="e">
        <f>C10</f>
        <v>#DIV/0!</v>
      </c>
      <c r="U187" s="498">
        <v>6.94</v>
      </c>
      <c r="V187" s="524" t="e">
        <f>T187*1000000/U187</f>
        <v>#DIV/0!</v>
      </c>
      <c r="W187" s="702">
        <v>0.5</v>
      </c>
      <c r="X187" s="396" t="e">
        <f>V187*W187</f>
        <v>#DIV/0!</v>
      </c>
      <c r="Y187" s="701">
        <v>60.01</v>
      </c>
      <c r="Z187" s="396" t="e">
        <f>X187*Y187/1000000</f>
        <v>#DIV/0!</v>
      </c>
      <c r="AA187" s="136" t="e">
        <f>Z187+T187</f>
        <v>#DIV/0!</v>
      </c>
      <c r="AB187" s="124">
        <v>73.89</v>
      </c>
    </row>
    <row r="188" spans="1:28" ht="32" x14ac:dyDescent="0.2">
      <c r="A188" s="133"/>
      <c r="B188" s="109"/>
      <c r="C188" s="109"/>
      <c r="D188" s="111"/>
      <c r="E188" s="111"/>
      <c r="F188" s="111"/>
      <c r="G188" s="111"/>
      <c r="H188" s="111"/>
      <c r="I188" s="111"/>
      <c r="J188" s="111"/>
      <c r="K188" s="109" t="s">
        <v>351</v>
      </c>
      <c r="L188" s="240" t="e">
        <f>L187/N188</f>
        <v>#DIV/0!</v>
      </c>
      <c r="M188" s="109" t="s">
        <v>312</v>
      </c>
      <c r="N188" s="513">
        <v>1</v>
      </c>
      <c r="O188" s="513"/>
      <c r="P188" s="112"/>
      <c r="Q188" s="529"/>
      <c r="AA188" s="700" t="s">
        <v>612</v>
      </c>
      <c r="AB188" s="524" t="e">
        <f>AA187*Efficiencies!E65</f>
        <v>#DIV/0!</v>
      </c>
    </row>
    <row r="189" spans="1:28" x14ac:dyDescent="0.2">
      <c r="A189" s="133"/>
      <c r="B189" s="94"/>
      <c r="C189" s="109"/>
      <c r="D189" s="111"/>
      <c r="E189" s="111"/>
      <c r="F189" s="111"/>
      <c r="G189" s="111"/>
      <c r="H189" s="111"/>
      <c r="I189" s="111"/>
      <c r="J189" s="111"/>
      <c r="K189" s="109"/>
      <c r="L189" s="109"/>
      <c r="M189" s="109"/>
      <c r="N189" s="109"/>
      <c r="O189" s="109"/>
      <c r="P189" s="111"/>
      <c r="Q189" s="195"/>
      <c r="T189" s="1026" t="s">
        <v>102</v>
      </c>
      <c r="U189" s="1026"/>
      <c r="V189" s="1026"/>
      <c r="W189" s="1023" t="s">
        <v>69</v>
      </c>
      <c r="X189" s="1025"/>
    </row>
    <row r="190" spans="1:28" ht="48" x14ac:dyDescent="0.2">
      <c r="A190" s="685" t="s">
        <v>613</v>
      </c>
      <c r="B190" s="109"/>
      <c r="C190" s="107"/>
      <c r="D190" s="87"/>
      <c r="E190" s="87"/>
      <c r="F190" s="87"/>
      <c r="G190" s="87"/>
      <c r="H190" s="87"/>
      <c r="I190" s="87"/>
      <c r="J190" s="87"/>
      <c r="K190" s="107"/>
      <c r="L190" s="107"/>
      <c r="M190" s="107"/>
      <c r="N190" s="107"/>
      <c r="O190" s="107"/>
      <c r="P190" s="87"/>
      <c r="Q190" s="192"/>
      <c r="S190" s="124"/>
      <c r="T190" s="124" t="s">
        <v>431</v>
      </c>
      <c r="U190" s="700" t="s">
        <v>608</v>
      </c>
      <c r="V190" s="700" t="s">
        <v>433</v>
      </c>
      <c r="W190" s="700" t="s">
        <v>433</v>
      </c>
      <c r="X190" s="124" t="s">
        <v>431</v>
      </c>
    </row>
    <row r="191" spans="1:28" ht="16" x14ac:dyDescent="0.2">
      <c r="A191" s="133" t="s">
        <v>438</v>
      </c>
      <c r="B191" s="109" t="s">
        <v>351</v>
      </c>
      <c r="C191" s="240" t="e">
        <f>L187</f>
        <v>#DIV/0!</v>
      </c>
      <c r="D191" s="111" t="s">
        <v>299</v>
      </c>
      <c r="E191" s="111"/>
      <c r="F191" s="111"/>
      <c r="G191" s="111"/>
      <c r="H191" s="111"/>
      <c r="I191" s="111"/>
      <c r="J191" s="111"/>
      <c r="K191" s="109"/>
      <c r="L191" s="109"/>
      <c r="M191" s="109"/>
      <c r="N191" s="109"/>
      <c r="O191" s="109"/>
      <c r="P191" s="111"/>
      <c r="Q191" s="192"/>
      <c r="S191" s="124" t="s">
        <v>435</v>
      </c>
      <c r="T191" s="524" t="e">
        <f>C10</f>
        <v>#DIV/0!</v>
      </c>
      <c r="U191" s="498">
        <v>6.94</v>
      </c>
      <c r="V191" s="524" t="e">
        <f>T191*1000000/U191</f>
        <v>#DIV/0!</v>
      </c>
      <c r="W191" s="701">
        <v>105.99</v>
      </c>
      <c r="X191" s="396" t="e">
        <f>AA187/AB187*W191</f>
        <v>#DIV/0!</v>
      </c>
    </row>
    <row r="192" spans="1:28" ht="16" x14ac:dyDescent="0.2">
      <c r="A192" s="133"/>
      <c r="B192" s="109"/>
      <c r="C192" s="240"/>
      <c r="D192" s="111"/>
      <c r="E192" s="111"/>
      <c r="F192" s="111"/>
      <c r="G192" s="111"/>
      <c r="H192" s="111" t="s">
        <v>52</v>
      </c>
      <c r="I192" s="344" t="e">
        <f>Energy!O81</f>
        <v>#DIV/0!</v>
      </c>
      <c r="J192" s="111" t="s">
        <v>233</v>
      </c>
      <c r="K192" s="109"/>
      <c r="L192" s="109"/>
      <c r="M192" s="109"/>
      <c r="N192" s="109"/>
      <c r="O192" s="109"/>
      <c r="P192" s="112"/>
      <c r="Q192" s="470"/>
      <c r="T192" s="703"/>
      <c r="U192" s="358"/>
      <c r="V192" s="358"/>
    </row>
    <row r="193" spans="1:20" ht="18" x14ac:dyDescent="0.2">
      <c r="A193" s="133"/>
      <c r="B193" s="109"/>
      <c r="C193" s="109"/>
      <c r="D193" s="111"/>
      <c r="E193" s="111"/>
      <c r="F193" s="111"/>
      <c r="G193" s="111"/>
      <c r="H193" s="111"/>
      <c r="I193" s="111"/>
      <c r="J193" s="111"/>
      <c r="K193" s="109" t="s">
        <v>555</v>
      </c>
      <c r="L193" s="240" t="e">
        <f>AB188</f>
        <v>#DIV/0!</v>
      </c>
      <c r="M193" s="109" t="s">
        <v>299</v>
      </c>
      <c r="N193" s="109"/>
      <c r="O193" s="109"/>
      <c r="P193" s="111"/>
      <c r="Q193" s="192"/>
    </row>
    <row r="194" spans="1:20" x14ac:dyDescent="0.2">
      <c r="A194" s="133"/>
      <c r="B194" s="109"/>
      <c r="C194" s="109"/>
      <c r="D194" s="111"/>
      <c r="E194" s="111"/>
      <c r="F194" s="111"/>
      <c r="G194" s="111"/>
      <c r="H194" s="111"/>
      <c r="I194" s="111"/>
      <c r="J194" s="111"/>
      <c r="K194" s="109"/>
      <c r="L194" s="240"/>
      <c r="M194" s="109"/>
      <c r="N194" s="109"/>
      <c r="O194" s="109"/>
      <c r="P194" s="111"/>
      <c r="Q194" s="192"/>
    </row>
    <row r="195" spans="1:20" ht="16" x14ac:dyDescent="0.2">
      <c r="A195" s="133"/>
      <c r="B195" s="109"/>
      <c r="C195" s="109"/>
      <c r="D195" s="111"/>
      <c r="E195" s="111"/>
      <c r="F195" s="111"/>
      <c r="G195" s="111"/>
      <c r="H195" s="111"/>
      <c r="I195" s="111"/>
      <c r="J195" s="111"/>
      <c r="K195" s="109" t="s">
        <v>24</v>
      </c>
      <c r="L195" s="240" t="e">
        <f>C191-L193</f>
        <v>#DIV/0!</v>
      </c>
      <c r="M195" s="109" t="s">
        <v>299</v>
      </c>
      <c r="N195" s="109"/>
      <c r="O195" s="109"/>
      <c r="P195" s="111"/>
      <c r="Q195" s="192"/>
    </row>
    <row r="196" spans="1:20" x14ac:dyDescent="0.2">
      <c r="A196" s="170"/>
      <c r="B196" s="114"/>
      <c r="C196" s="114"/>
      <c r="D196" s="94"/>
      <c r="E196" s="94"/>
      <c r="F196" s="94"/>
      <c r="G196" s="94"/>
      <c r="H196" s="94"/>
      <c r="I196" s="94"/>
      <c r="J196" s="94"/>
      <c r="K196" s="94"/>
      <c r="L196" s="94"/>
      <c r="M196" s="94"/>
      <c r="N196" s="94"/>
      <c r="O196" s="94"/>
      <c r="P196" s="94"/>
      <c r="Q196" s="195"/>
    </row>
    <row r="197" spans="1:20" x14ac:dyDescent="0.2">
      <c r="A197" s="159" t="s">
        <v>440</v>
      </c>
      <c r="B197" s="87"/>
      <c r="C197" s="87"/>
      <c r="D197" s="87"/>
      <c r="E197" s="87"/>
      <c r="F197" s="87"/>
      <c r="G197" s="87"/>
      <c r="H197" s="87"/>
      <c r="I197" s="87"/>
      <c r="J197" s="87"/>
      <c r="K197" s="87"/>
      <c r="L197" s="87"/>
      <c r="M197" s="87"/>
      <c r="N197" s="87"/>
      <c r="O197" s="87"/>
      <c r="P197" s="87"/>
      <c r="Q197" s="399"/>
    </row>
    <row r="198" spans="1:20" ht="16" x14ac:dyDescent="0.2">
      <c r="A198" s="133" t="s">
        <v>417</v>
      </c>
      <c r="B198" s="111" t="s">
        <v>24</v>
      </c>
      <c r="C198" s="281">
        <f>IF(Macro!D22=TRUE,L195,0)</f>
        <v>0</v>
      </c>
      <c r="D198" s="111" t="s">
        <v>299</v>
      </c>
      <c r="E198" s="111"/>
      <c r="F198" s="111"/>
      <c r="G198" s="111"/>
      <c r="H198" s="111"/>
      <c r="I198" s="111"/>
      <c r="J198" s="111"/>
      <c r="K198" s="111"/>
      <c r="L198" s="111"/>
      <c r="M198" s="111"/>
      <c r="N198" s="111"/>
      <c r="O198" s="111"/>
      <c r="P198" s="111"/>
      <c r="Q198" s="192"/>
    </row>
    <row r="199" spans="1:20" ht="16" x14ac:dyDescent="0.2">
      <c r="A199" s="133"/>
      <c r="B199" s="111" t="s">
        <v>24</v>
      </c>
      <c r="C199" s="281">
        <f>C198*N199</f>
        <v>0</v>
      </c>
      <c r="D199" s="111" t="s">
        <v>312</v>
      </c>
      <c r="E199" s="111"/>
      <c r="F199" s="111"/>
      <c r="G199" s="111"/>
      <c r="H199" s="111"/>
      <c r="I199" s="111"/>
      <c r="J199" s="111"/>
      <c r="K199" s="111"/>
      <c r="L199" s="111"/>
      <c r="M199" s="111"/>
      <c r="N199" s="513">
        <f>N177</f>
        <v>1</v>
      </c>
      <c r="O199" s="513"/>
      <c r="P199" s="111"/>
      <c r="Q199" s="192"/>
    </row>
    <row r="200" spans="1:20" ht="16" x14ac:dyDescent="0.2">
      <c r="A200" s="133"/>
      <c r="B200" s="111"/>
      <c r="C200" s="281">
        <f>C199/Macro!$D$16/Q200</f>
        <v>0</v>
      </c>
      <c r="D200" s="111" t="s">
        <v>441</v>
      </c>
      <c r="E200" s="111"/>
      <c r="F200" s="111"/>
      <c r="G200" s="111"/>
      <c r="H200" s="111"/>
      <c r="I200" s="111"/>
      <c r="J200" s="111"/>
      <c r="K200" s="111"/>
      <c r="L200" s="111"/>
      <c r="M200" s="111"/>
      <c r="N200" s="111"/>
      <c r="O200" s="111"/>
      <c r="P200" s="111" t="s">
        <v>442</v>
      </c>
      <c r="Q200" s="818">
        <v>24</v>
      </c>
      <c r="T200" s="168"/>
    </row>
    <row r="201" spans="1:20" ht="16" x14ac:dyDescent="0.2">
      <c r="A201" s="133"/>
      <c r="B201" s="111"/>
      <c r="C201" s="281">
        <f>C200*1000/60</f>
        <v>0</v>
      </c>
      <c r="D201" s="111" t="s">
        <v>443</v>
      </c>
      <c r="E201" s="111"/>
      <c r="F201" s="111"/>
      <c r="G201" s="111"/>
      <c r="H201" s="111"/>
      <c r="I201" s="111"/>
      <c r="J201" s="111"/>
      <c r="K201" s="111"/>
      <c r="L201" s="111"/>
      <c r="M201" s="111"/>
      <c r="N201" s="111"/>
      <c r="O201" s="111"/>
      <c r="P201" s="111"/>
      <c r="Q201" s="192"/>
    </row>
    <row r="202" spans="1:20" ht="16" x14ac:dyDescent="0.2">
      <c r="A202" s="133"/>
      <c r="B202" s="111"/>
      <c r="C202" s="111"/>
      <c r="D202" s="111"/>
      <c r="E202" s="111"/>
      <c r="F202" s="111"/>
      <c r="G202" s="111"/>
      <c r="H202" s="111" t="s">
        <v>52</v>
      </c>
      <c r="I202" s="281">
        <f>Energy!O82</f>
        <v>0</v>
      </c>
      <c r="J202" s="111" t="s">
        <v>233</v>
      </c>
      <c r="K202" s="111"/>
      <c r="L202" s="111"/>
      <c r="M202" s="111"/>
      <c r="N202" s="111"/>
      <c r="O202" s="111"/>
      <c r="P202" s="111"/>
      <c r="Q202" s="192"/>
    </row>
    <row r="203" spans="1:20" ht="16" x14ac:dyDescent="0.2">
      <c r="A203" s="133"/>
      <c r="B203" s="111"/>
      <c r="C203" s="111"/>
      <c r="D203" s="111"/>
      <c r="E203" s="111"/>
      <c r="F203" s="111"/>
      <c r="G203" s="111"/>
      <c r="H203" s="111"/>
      <c r="I203" s="111"/>
      <c r="J203" s="111"/>
      <c r="K203" s="111" t="s">
        <v>226</v>
      </c>
      <c r="L203" s="281">
        <f>C198-L204</f>
        <v>0</v>
      </c>
      <c r="M203" s="111" t="s">
        <v>299</v>
      </c>
      <c r="N203" s="111"/>
      <c r="O203" s="111"/>
      <c r="P203" s="111" t="s">
        <v>444</v>
      </c>
      <c r="Q203" s="192"/>
      <c r="T203" s="168"/>
    </row>
    <row r="204" spans="1:20" ht="32.5" customHeight="1" x14ac:dyDescent="0.2">
      <c r="A204" s="133"/>
      <c r="B204" s="111"/>
      <c r="C204" s="111"/>
      <c r="D204" s="111"/>
      <c r="E204" s="111"/>
      <c r="F204" s="111"/>
      <c r="G204" s="111"/>
      <c r="H204" s="111"/>
      <c r="I204" s="111"/>
      <c r="J204" s="111"/>
      <c r="K204" s="111" t="s">
        <v>64</v>
      </c>
      <c r="L204" s="344">
        <f>C198/Q204</f>
        <v>0</v>
      </c>
      <c r="M204" s="111" t="s">
        <v>299</v>
      </c>
      <c r="N204" s="111"/>
      <c r="O204" s="111"/>
      <c r="P204" s="111" t="s">
        <v>445</v>
      </c>
      <c r="Q204" s="818">
        <v>10</v>
      </c>
    </row>
    <row r="205" spans="1:20" x14ac:dyDescent="0.2">
      <c r="A205" s="170"/>
      <c r="B205" s="94"/>
      <c r="C205" s="94"/>
      <c r="D205" s="94"/>
      <c r="E205" s="94"/>
      <c r="F205" s="94"/>
      <c r="G205" s="94"/>
      <c r="H205" s="94"/>
      <c r="I205" s="94"/>
      <c r="J205" s="94"/>
      <c r="K205" s="94"/>
      <c r="L205" s="94"/>
      <c r="M205" s="94"/>
      <c r="N205" s="94"/>
      <c r="O205" s="94"/>
      <c r="P205" s="94"/>
      <c r="Q205" s="195"/>
    </row>
  </sheetData>
  <mergeCells count="5">
    <mergeCell ref="T185:W185"/>
    <mergeCell ref="X185:Z185"/>
    <mergeCell ref="AA185:AB185"/>
    <mergeCell ref="T189:V189"/>
    <mergeCell ref="W189:X189"/>
  </mergeCells>
  <pageMargins left="0.7" right="0.7" top="0.78740157499999996" bottom="0.78740157499999996" header="0.3" footer="0.3"/>
  <pageSetup paperSize="9"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Tabelle16">
    <tabColor theme="0" tint="-0.499984740745262"/>
  </sheetPr>
  <dimension ref="A1:P59"/>
  <sheetViews>
    <sheetView zoomScaleNormal="100" workbookViewId="0">
      <selection activeCell="D53" sqref="D53:D54"/>
    </sheetView>
  </sheetViews>
  <sheetFormatPr baseColWidth="10" defaultColWidth="11.5" defaultRowHeight="15" x14ac:dyDescent="0.2"/>
  <cols>
    <col min="1" max="1" width="14.1640625" customWidth="1"/>
    <col min="2" max="2" width="28.83203125" bestFit="1" customWidth="1"/>
    <col min="3" max="3" width="51.33203125" bestFit="1" customWidth="1"/>
    <col min="4" max="4" width="15.5" bestFit="1" customWidth="1"/>
    <col min="5" max="5" width="9.1640625" bestFit="1" customWidth="1"/>
    <col min="6" max="6" width="14" customWidth="1"/>
    <col min="7" max="7" width="14.6640625" customWidth="1"/>
    <col min="8" max="8" width="14.5" customWidth="1"/>
    <col min="9" max="9" width="22.5" bestFit="1" customWidth="1"/>
    <col min="10" max="10" width="17.5" customWidth="1"/>
    <col min="11" max="11" width="13.83203125" bestFit="1" customWidth="1"/>
    <col min="12" max="12" width="13.5" bestFit="1" customWidth="1"/>
    <col min="13" max="14" width="13.5" customWidth="1"/>
    <col min="15" max="16" width="40.6640625" customWidth="1"/>
    <col min="17" max="25" width="20.6640625" customWidth="1"/>
  </cols>
  <sheetData>
    <row r="1" spans="1:16" ht="22" thickBot="1" x14ac:dyDescent="0.25">
      <c r="A1" s="64" t="s">
        <v>614</v>
      </c>
    </row>
    <row r="2" spans="1:16" ht="15" customHeight="1" x14ac:dyDescent="0.2">
      <c r="A2" s="64"/>
      <c r="C2" s="848" t="s">
        <v>258</v>
      </c>
      <c r="D2" s="68" t="s">
        <v>259</v>
      </c>
      <c r="E2" s="69"/>
      <c r="F2" s="70"/>
    </row>
    <row r="3" spans="1:16" ht="15" customHeight="1" x14ac:dyDescent="0.2">
      <c r="A3" s="64"/>
      <c r="C3" s="71"/>
      <c r="D3" s="73" t="s">
        <v>261</v>
      </c>
      <c r="E3" s="74" t="s">
        <v>262</v>
      </c>
      <c r="F3" s="75" t="s">
        <v>263</v>
      </c>
    </row>
    <row r="4" spans="1:16" ht="15" customHeight="1" x14ac:dyDescent="0.2">
      <c r="A4" s="64"/>
      <c r="C4" s="71"/>
      <c r="D4" s="86"/>
      <c r="E4" s="87"/>
      <c r="F4" s="88"/>
    </row>
    <row r="5" spans="1:16" ht="15" customHeight="1" x14ac:dyDescent="0.2">
      <c r="A5" s="64"/>
      <c r="C5" s="71"/>
      <c r="D5" s="86" t="s">
        <v>447</v>
      </c>
      <c r="E5" s="477">
        <f>IF(Macro!$D$8=1,2500,IF(Macro!$D$8=2,25000,75000))</f>
        <v>25000</v>
      </c>
      <c r="F5" s="88" t="s">
        <v>274</v>
      </c>
    </row>
    <row r="6" spans="1:16" ht="15" customHeight="1" x14ac:dyDescent="0.2">
      <c r="A6" s="64"/>
      <c r="C6" s="71"/>
      <c r="D6" s="86" t="s">
        <v>268</v>
      </c>
      <c r="E6" s="477" t="e">
        <f>E5/Battery!C3*1000</f>
        <v>#DIV/0!</v>
      </c>
      <c r="F6" s="88" t="s">
        <v>615</v>
      </c>
    </row>
    <row r="7" spans="1:16" ht="15" customHeight="1" x14ac:dyDescent="0.2">
      <c r="A7" s="64"/>
      <c r="C7" s="71"/>
      <c r="D7" s="86" t="s">
        <v>259</v>
      </c>
      <c r="E7" s="824" t="e">
        <f>E6/Macro!D16/Macro!D18/8</f>
        <v>#DIV/0!</v>
      </c>
      <c r="F7" s="88" t="s">
        <v>449</v>
      </c>
    </row>
    <row r="8" spans="1:16" ht="15" customHeight="1" x14ac:dyDescent="0.2">
      <c r="A8" s="64"/>
      <c r="C8" s="71"/>
      <c r="D8" s="86" t="s">
        <v>450</v>
      </c>
      <c r="E8" s="824" t="e">
        <f>E6/Macro!D16/Macro!D20/8</f>
        <v>#DIV/0!</v>
      </c>
      <c r="F8" s="88" t="s">
        <v>449</v>
      </c>
    </row>
    <row r="9" spans="1:16" ht="15" customHeight="1" thickBot="1" x14ac:dyDescent="0.25">
      <c r="A9" s="64"/>
      <c r="C9" s="71"/>
      <c r="D9" s="79" t="s">
        <v>518</v>
      </c>
      <c r="E9" s="847">
        <f>Macro!D16-1+1</f>
        <v>330</v>
      </c>
      <c r="F9" s="80" t="s">
        <v>616</v>
      </c>
    </row>
    <row r="10" spans="1:16" ht="15" customHeight="1" thickBot="1" x14ac:dyDescent="0.25"/>
    <row r="11" spans="1:16" ht="33" thickBot="1" x14ac:dyDescent="0.25">
      <c r="A11" s="780" t="s">
        <v>86</v>
      </c>
      <c r="B11" s="381" t="s">
        <v>292</v>
      </c>
      <c r="C11" s="287" t="s">
        <v>453</v>
      </c>
      <c r="D11" s="287" t="s">
        <v>617</v>
      </c>
      <c r="E11" s="287" t="s">
        <v>447</v>
      </c>
      <c r="F11" s="287" t="s">
        <v>618</v>
      </c>
      <c r="G11" s="381" t="s">
        <v>456</v>
      </c>
      <c r="H11" s="287" t="s">
        <v>106</v>
      </c>
      <c r="I11" s="287" t="s">
        <v>458</v>
      </c>
      <c r="J11" s="381" t="s">
        <v>619</v>
      </c>
      <c r="K11" s="381" t="s">
        <v>459</v>
      </c>
      <c r="L11" s="287" t="s">
        <v>620</v>
      </c>
      <c r="M11" s="381" t="s">
        <v>461</v>
      </c>
      <c r="N11" s="287" t="s">
        <v>462</v>
      </c>
      <c r="O11" s="287" t="s">
        <v>621</v>
      </c>
      <c r="P11" s="382" t="s">
        <v>622</v>
      </c>
    </row>
    <row r="12" spans="1:16" ht="16" x14ac:dyDescent="0.2">
      <c r="A12" s="1028" t="s">
        <v>259</v>
      </c>
      <c r="B12" s="751" t="s">
        <v>176</v>
      </c>
      <c r="C12" s="288" t="s">
        <v>464</v>
      </c>
      <c r="D12" s="288" t="s">
        <v>1085</v>
      </c>
      <c r="E12" s="832">
        <v>0.33333333333333331</v>
      </c>
      <c r="F12" s="826">
        <f>(107.7/100.6)*14500</f>
        <v>15523.359840954276</v>
      </c>
      <c r="G12" s="829">
        <v>0</v>
      </c>
      <c r="H12" s="274">
        <f t="shared" ref="H12:H23" si="0">(1+G12)*F12</f>
        <v>15523.359840954276</v>
      </c>
      <c r="I12" s="816">
        <v>1</v>
      </c>
      <c r="J12" s="274" t="e">
        <f>H12*(E7/E12)^I12</f>
        <v>#DIV/0!</v>
      </c>
      <c r="K12" s="829">
        <v>0</v>
      </c>
      <c r="L12" s="274" t="e">
        <f t="shared" ref="L12:L16" si="1">K12*J12</f>
        <v>#DIV/0!</v>
      </c>
      <c r="M12" s="656">
        <f>IF(IF(Macro!$H$14=1,5,Macro!T42)=0,5,IF(Macro!$H$14=1,5,Macro!T42))</f>
        <v>5</v>
      </c>
      <c r="N12" s="274" t="e">
        <f>J12/M12</f>
        <v>#DIV/0!</v>
      </c>
      <c r="O12" t="s">
        <v>465</v>
      </c>
      <c r="P12" s="785" t="s">
        <v>1088</v>
      </c>
    </row>
    <row r="13" spans="1:16" ht="16" x14ac:dyDescent="0.2">
      <c r="A13" s="1028"/>
      <c r="B13" s="751" t="s">
        <v>177</v>
      </c>
      <c r="C13" s="751" t="s">
        <v>466</v>
      </c>
      <c r="D13" s="288" t="s">
        <v>1086</v>
      </c>
      <c r="E13" s="832">
        <v>6</v>
      </c>
      <c r="F13" s="826">
        <f>(107.7/100.6)*29000</f>
        <v>31046.719681908551</v>
      </c>
      <c r="G13" s="829">
        <v>0</v>
      </c>
      <c r="H13" s="274">
        <f t="shared" si="0"/>
        <v>31046.719681908551</v>
      </c>
      <c r="I13" s="816">
        <v>1</v>
      </c>
      <c r="J13" s="274">
        <f>H13</f>
        <v>31046.719681908551</v>
      </c>
      <c r="K13" s="829">
        <v>0</v>
      </c>
      <c r="L13" s="274">
        <f t="shared" si="1"/>
        <v>0</v>
      </c>
      <c r="M13" s="656">
        <f>IF(IF(Macro!$H$14=1,5,Macro!T43)=0,5,IF(Macro!$H$14=1,5,Macro!T43))</f>
        <v>5</v>
      </c>
      <c r="N13" s="274">
        <f t="shared" ref="N13:N49" si="2">J13/M13</f>
        <v>6209.3439363817106</v>
      </c>
      <c r="O13" t="s">
        <v>467</v>
      </c>
      <c r="P13" s="785" t="s">
        <v>468</v>
      </c>
    </row>
    <row r="14" spans="1:16" ht="16" x14ac:dyDescent="0.2">
      <c r="A14" s="1028"/>
      <c r="B14" s="751" t="s">
        <v>297</v>
      </c>
      <c r="C14" s="288" t="s">
        <v>469</v>
      </c>
      <c r="D14" s="288" t="s">
        <v>1085</v>
      </c>
      <c r="E14" s="832">
        <f>8/'R2_MEFA'!C7</f>
        <v>1.6</v>
      </c>
      <c r="F14" s="826">
        <f>(107.7/100.6)*12000</f>
        <v>12846.918489065607</v>
      </c>
      <c r="G14" s="829">
        <v>0</v>
      </c>
      <c r="H14" s="274">
        <f t="shared" si="0"/>
        <v>12846.918489065607</v>
      </c>
      <c r="I14" s="816">
        <v>1</v>
      </c>
      <c r="J14" s="274" t="e">
        <f>H14*(E7/E14)^I14</f>
        <v>#DIV/0!</v>
      </c>
      <c r="K14" s="829">
        <v>0.02</v>
      </c>
      <c r="L14" s="274" t="e">
        <f t="shared" si="1"/>
        <v>#DIV/0!</v>
      </c>
      <c r="M14" s="656">
        <f>IF(IF(Macro!$H$14=1,5,Macro!T44)=0,5,IF(Macro!$H$14=1,5,Macro!T44))</f>
        <v>5</v>
      </c>
      <c r="N14" s="274" t="e">
        <f>J14/M14</f>
        <v>#DIV/0!</v>
      </c>
      <c r="O14" t="s">
        <v>467</v>
      </c>
      <c r="P14" s="785" t="s">
        <v>470</v>
      </c>
    </row>
    <row r="15" spans="1:16" ht="16" thickBot="1" x14ac:dyDescent="0.25">
      <c r="A15" s="1028"/>
      <c r="B15" s="288" t="s">
        <v>259</v>
      </c>
      <c r="C15" s="288" t="s">
        <v>471</v>
      </c>
      <c r="D15" s="288" t="s">
        <v>1085</v>
      </c>
      <c r="E15" s="832">
        <f>1/'R2_MEFA'!C8</f>
        <v>0.5</v>
      </c>
      <c r="F15" s="826">
        <f>(107.7/100.6)*3000</f>
        <v>3211.7296222664017</v>
      </c>
      <c r="G15" s="829">
        <v>0</v>
      </c>
      <c r="H15" s="274">
        <f t="shared" si="0"/>
        <v>3211.7296222664017</v>
      </c>
      <c r="I15" s="816">
        <v>1</v>
      </c>
      <c r="J15" s="274" t="e">
        <f>H15*(E7/E15)^I15</f>
        <v>#DIV/0!</v>
      </c>
      <c r="K15" s="829">
        <v>0.02</v>
      </c>
      <c r="L15" s="274" t="e">
        <f t="shared" si="1"/>
        <v>#DIV/0!</v>
      </c>
      <c r="M15" s="657">
        <f>IF(IF(Macro!$H$14=1,5,Macro!T45)=0,5,IF(Macro!$H$14=1,5,Macro!T45))</f>
        <v>5</v>
      </c>
      <c r="N15" s="276" t="e">
        <f t="shared" si="2"/>
        <v>#DIV/0!</v>
      </c>
      <c r="O15" t="s">
        <v>467</v>
      </c>
      <c r="P15" s="264"/>
    </row>
    <row r="16" spans="1:16" x14ac:dyDescent="0.2">
      <c r="A16" s="1030" t="s">
        <v>512</v>
      </c>
      <c r="B16" s="270" t="s">
        <v>188</v>
      </c>
      <c r="C16" s="270" t="s">
        <v>199</v>
      </c>
      <c r="D16" s="269" t="s">
        <v>1087</v>
      </c>
      <c r="E16" s="834">
        <v>1.5</v>
      </c>
      <c r="F16" s="828">
        <f>(107.7/100.6)*420000</f>
        <v>449642.14711729623</v>
      </c>
      <c r="G16" s="831">
        <v>0.6</v>
      </c>
      <c r="H16" s="271">
        <f t="shared" si="0"/>
        <v>719427.43538767402</v>
      </c>
      <c r="I16" s="834">
        <v>0.8</v>
      </c>
      <c r="J16" s="271">
        <f>H16*($E$5/(Macro!$D$16*Macro!$D$20*8)/(E16))^I16</f>
        <v>1304625.4613501837</v>
      </c>
      <c r="K16" s="831">
        <v>0.05</v>
      </c>
      <c r="L16" s="271">
        <f t="shared" si="1"/>
        <v>65231.273067509188</v>
      </c>
      <c r="M16" s="656">
        <f>IF(IF(Macro!$H$14=1,5,Macro!T46)=0,5,IF(Macro!$H$14=1,5,Macro!T46))</f>
        <v>5</v>
      </c>
      <c r="N16" s="274">
        <f t="shared" si="2"/>
        <v>260925.09227003675</v>
      </c>
      <c r="O16" s="270" t="s">
        <v>467</v>
      </c>
      <c r="P16" s="273"/>
    </row>
    <row r="17" spans="1:16" x14ac:dyDescent="0.2">
      <c r="A17" s="1031"/>
      <c r="B17" t="s">
        <v>189</v>
      </c>
      <c r="C17" s="288" t="s">
        <v>623</v>
      </c>
      <c r="D17" s="288" t="s">
        <v>1087</v>
      </c>
      <c r="E17" s="846">
        <v>1.5</v>
      </c>
      <c r="F17" s="826">
        <f>(107.7/100.6)*800000</f>
        <v>856461.23260437383</v>
      </c>
      <c r="G17" s="829">
        <v>0.6</v>
      </c>
      <c r="H17" s="274">
        <f t="shared" si="0"/>
        <v>1370337.9721669983</v>
      </c>
      <c r="I17" s="816">
        <v>0.63</v>
      </c>
      <c r="J17" s="284">
        <f>H17*($E$5/(Macro!$D$16*Macro!$D$20*8)/(E17))^I17</f>
        <v>2189755.0676466282</v>
      </c>
      <c r="K17" s="829">
        <v>0.05</v>
      </c>
      <c r="L17" s="274">
        <f t="shared" ref="L17:L49" si="3">K17*J17</f>
        <v>109487.75338233142</v>
      </c>
      <c r="M17" s="656">
        <f>IF(IF(Macro!$H$14=1,5,Macro!T47)=0,5,IF(Macro!$H$14=1,5,Macro!T47))</f>
        <v>5</v>
      </c>
      <c r="N17" s="274">
        <f t="shared" si="2"/>
        <v>437951.01352932566</v>
      </c>
      <c r="O17" t="s">
        <v>467</v>
      </c>
      <c r="P17" s="264"/>
    </row>
    <row r="18" spans="1:16" ht="16" x14ac:dyDescent="0.2">
      <c r="A18" s="1031"/>
      <c r="B18" s="288" t="s">
        <v>197</v>
      </c>
      <c r="C18" s="751" t="s">
        <v>473</v>
      </c>
      <c r="D18" s="288" t="s">
        <v>1087</v>
      </c>
      <c r="E18" s="816">
        <v>1.5</v>
      </c>
      <c r="F18" s="826">
        <f>(107.7/100.6)*420000</f>
        <v>449642.14711729623</v>
      </c>
      <c r="G18" s="829">
        <v>0.6</v>
      </c>
      <c r="H18" s="274">
        <f t="shared" si="0"/>
        <v>719427.43538767402</v>
      </c>
      <c r="I18" s="816">
        <v>0.8</v>
      </c>
      <c r="J18" s="284">
        <f>H18*($E$5/(Macro!$D$16*Macro!$D$20*8)/(E18))^I18</f>
        <v>1304625.4613501837</v>
      </c>
      <c r="K18" s="829">
        <v>0.05</v>
      </c>
      <c r="L18" s="274">
        <f t="shared" si="3"/>
        <v>65231.273067509188</v>
      </c>
      <c r="M18" s="656">
        <f>IF(IF(Macro!$H$14=1,5,Macro!T48)=0,5,IF(Macro!$H$14=1,5,Macro!T48))</f>
        <v>5</v>
      </c>
      <c r="N18" s="274">
        <f t="shared" si="2"/>
        <v>260925.09227003675</v>
      </c>
      <c r="O18" t="s">
        <v>467</v>
      </c>
      <c r="P18" s="264"/>
    </row>
    <row r="19" spans="1:16" ht="16" x14ac:dyDescent="0.2">
      <c r="A19" s="1031"/>
      <c r="B19" t="s">
        <v>190</v>
      </c>
      <c r="C19" s="751" t="s">
        <v>624</v>
      </c>
      <c r="D19" s="288" t="s">
        <v>1087</v>
      </c>
      <c r="E19" s="846">
        <v>1.5</v>
      </c>
      <c r="F19" s="826">
        <f>(107.7/100.6)*50000</f>
        <v>53528.827037773364</v>
      </c>
      <c r="G19" s="829">
        <v>0.6</v>
      </c>
      <c r="H19" s="274">
        <f t="shared" si="0"/>
        <v>85646.123260437394</v>
      </c>
      <c r="I19" s="816">
        <v>0.6</v>
      </c>
      <c r="J19" s="274">
        <f>H19*($E$5/(Macro!$D$16*Macro!$D$20*8)/(E19))^I19</f>
        <v>133838.74338913072</v>
      </c>
      <c r="K19" s="829">
        <v>0.05</v>
      </c>
      <c r="L19" s="274">
        <f t="shared" si="3"/>
        <v>6691.9371694565361</v>
      </c>
      <c r="M19" s="656">
        <f>IF(IF(Macro!$H$14=1,5,Macro!T49)=0,5,IF(Macro!$H$14=1,5,Macro!T49))</f>
        <v>5</v>
      </c>
      <c r="N19" s="274">
        <f t="shared" si="2"/>
        <v>26767.748677826145</v>
      </c>
      <c r="O19" t="s">
        <v>467</v>
      </c>
      <c r="P19" s="264"/>
    </row>
    <row r="20" spans="1:16" ht="16" x14ac:dyDescent="0.2">
      <c r="A20" s="1031"/>
      <c r="B20" t="s">
        <v>191</v>
      </c>
      <c r="C20" s="751" t="s">
        <v>625</v>
      </c>
      <c r="D20" s="288" t="s">
        <v>1087</v>
      </c>
      <c r="E20" s="846">
        <v>1.5</v>
      </c>
      <c r="F20" s="826">
        <f>(107.7/100.6)*40000</f>
        <v>42823.06163021869</v>
      </c>
      <c r="G20" s="829">
        <v>0.6</v>
      </c>
      <c r="H20" s="274">
        <f t="shared" si="0"/>
        <v>68516.898608349904</v>
      </c>
      <c r="I20" s="816">
        <v>0.6</v>
      </c>
      <c r="J20" s="274">
        <f>H20*($E$5/(Macro!$D$16*Macro!$D$20*8)/(E20))^I20</f>
        <v>107070.99471130455</v>
      </c>
      <c r="K20" s="829">
        <v>0.05</v>
      </c>
      <c r="L20" s="274">
        <f t="shared" si="3"/>
        <v>5353.5497355652278</v>
      </c>
      <c r="M20" s="656">
        <f>IF(IF(Macro!$H$14=1,5,Macro!T50)=0,5,IF(Macro!$H$14=1,5,Macro!T50))</f>
        <v>5</v>
      </c>
      <c r="N20" s="274">
        <f t="shared" si="2"/>
        <v>21414.198942260911</v>
      </c>
      <c r="O20" t="s">
        <v>467</v>
      </c>
      <c r="P20" s="264"/>
    </row>
    <row r="21" spans="1:16" ht="16" x14ac:dyDescent="0.2">
      <c r="A21" s="1031"/>
      <c r="B21" t="s">
        <v>192</v>
      </c>
      <c r="C21" s="751" t="s">
        <v>626</v>
      </c>
      <c r="D21" s="288" t="s">
        <v>1087</v>
      </c>
      <c r="E21" s="846">
        <v>1.5</v>
      </c>
      <c r="F21" s="826">
        <f>(107.7/100.6)*100000</f>
        <v>107057.65407554673</v>
      </c>
      <c r="G21" s="829">
        <v>0.6</v>
      </c>
      <c r="H21" s="274">
        <f t="shared" si="0"/>
        <v>171292.24652087479</v>
      </c>
      <c r="I21" s="816">
        <v>0.8</v>
      </c>
      <c r="J21" s="274">
        <f>H21*($E$5/(Macro!$D$16*Macro!$D$20*8)/(E21))^I21</f>
        <v>310625.10984528187</v>
      </c>
      <c r="K21" s="829">
        <v>0.05</v>
      </c>
      <c r="L21" s="274">
        <f t="shared" si="3"/>
        <v>15531.255492264094</v>
      </c>
      <c r="M21" s="656">
        <f>IF(IF(Macro!$H$14=1,5,Macro!T51)=0,5,IF(Macro!$H$14=1,5,Macro!T51))</f>
        <v>5</v>
      </c>
      <c r="N21" s="274">
        <f t="shared" si="2"/>
        <v>62125.021969056375</v>
      </c>
      <c r="O21" t="s">
        <v>467</v>
      </c>
      <c r="P21" s="264"/>
    </row>
    <row r="22" spans="1:16" x14ac:dyDescent="0.2">
      <c r="A22" s="1031"/>
      <c r="B22" t="s">
        <v>1060</v>
      </c>
      <c r="C22" s="288" t="s">
        <v>1080</v>
      </c>
      <c r="D22" s="288" t="s">
        <v>1087</v>
      </c>
      <c r="E22" s="846">
        <v>1.5</v>
      </c>
      <c r="F22" s="826">
        <f>(107.7/100.6)*40000</f>
        <v>42823.06163021869</v>
      </c>
      <c r="G22" s="829">
        <v>0.6</v>
      </c>
      <c r="H22" s="274">
        <f>(1+G22)*F22</f>
        <v>68516.898608349904</v>
      </c>
      <c r="I22" s="816">
        <v>0.6</v>
      </c>
      <c r="J22" s="274">
        <f>H22*($E$5/(Macro!$D$16*Macro!$D$20*8)/(E22))^I22</f>
        <v>107070.99471130455</v>
      </c>
      <c r="K22" s="829">
        <v>0.05</v>
      </c>
      <c r="L22" s="274">
        <f t="shared" si="3"/>
        <v>5353.5497355652278</v>
      </c>
      <c r="M22" s="656">
        <f>IF(IF(Macro!$H$14=1,5,Macro!T52)=0,5,IF(Macro!$H$14=1,5,Macro!T52))</f>
        <v>5</v>
      </c>
      <c r="N22" s="274">
        <f t="shared" si="2"/>
        <v>21414.198942260911</v>
      </c>
      <c r="O22" t="s">
        <v>467</v>
      </c>
      <c r="P22" s="264"/>
    </row>
    <row r="23" spans="1:16" ht="16" x14ac:dyDescent="0.2">
      <c r="A23" s="1031"/>
      <c r="B23" s="122" t="s">
        <v>550</v>
      </c>
      <c r="C23" s="751" t="s">
        <v>625</v>
      </c>
      <c r="D23" s="288" t="s">
        <v>1087</v>
      </c>
      <c r="E23" s="846">
        <v>1.5</v>
      </c>
      <c r="F23" s="826">
        <f>(107.7/100.6)*40000</f>
        <v>42823.06163021869</v>
      </c>
      <c r="G23" s="829">
        <v>0.6</v>
      </c>
      <c r="H23" s="284">
        <f t="shared" si="0"/>
        <v>68516.898608349904</v>
      </c>
      <c r="I23" s="816">
        <v>0.6</v>
      </c>
      <c r="J23" s="284">
        <f>H23*($E$5/(Macro!$D$16*Macro!$D$20*8)/(E23))^I23</f>
        <v>107070.99471130455</v>
      </c>
      <c r="K23" s="829">
        <v>0.05</v>
      </c>
      <c r="L23" s="284">
        <f t="shared" si="3"/>
        <v>5353.5497355652278</v>
      </c>
      <c r="M23" s="656">
        <f>IF(IF(Macro!$H$14=1,5,Macro!T53)=0,5,IF(Macro!$H$14=1,5,Macro!T53))</f>
        <v>5</v>
      </c>
      <c r="N23" s="274">
        <f t="shared" si="2"/>
        <v>21414.198942260911</v>
      </c>
      <c r="O23" t="s">
        <v>467</v>
      </c>
      <c r="P23" s="264"/>
    </row>
    <row r="24" spans="1:16" ht="17" thickBot="1" x14ac:dyDescent="0.25">
      <c r="A24" s="1031"/>
      <c r="B24" t="s">
        <v>193</v>
      </c>
      <c r="C24" s="122" t="s">
        <v>627</v>
      </c>
      <c r="D24" s="288" t="s">
        <v>1087</v>
      </c>
      <c r="E24" s="816">
        <v>2.5</v>
      </c>
      <c r="F24" s="826">
        <f>(107.7/100.6)*1500000</f>
        <v>1605864.811133201</v>
      </c>
      <c r="G24" s="829">
        <v>1</v>
      </c>
      <c r="H24" s="284">
        <f t="shared" ref="H24:H49" si="4">(1+G24)*F24</f>
        <v>3211729.622266402</v>
      </c>
      <c r="I24" s="816">
        <v>0.7</v>
      </c>
      <c r="J24" s="284">
        <f>IF(Macro!D14=TRUE,H24*($E$5/(Macro!$D$16*Macro!$D$20*8)/(E24))^I24,0)</f>
        <v>0</v>
      </c>
      <c r="K24" s="829">
        <v>0.05</v>
      </c>
      <c r="L24" s="284">
        <f t="shared" si="3"/>
        <v>0</v>
      </c>
      <c r="M24" s="657">
        <f>IF(IF(Macro!$H$14=1,5,Macro!T54)=0,5,IF(Macro!$H$14=1,5,Macro!T54))</f>
        <v>5</v>
      </c>
      <c r="N24" s="276">
        <f t="shared" si="2"/>
        <v>0</v>
      </c>
      <c r="O24" t="s">
        <v>467</v>
      </c>
      <c r="P24" s="264"/>
    </row>
    <row r="25" spans="1:16" ht="17" x14ac:dyDescent="0.2">
      <c r="A25" s="1030" t="s">
        <v>628</v>
      </c>
      <c r="B25" s="270" t="s">
        <v>216</v>
      </c>
      <c r="C25" s="784" t="s">
        <v>344</v>
      </c>
      <c r="D25" s="269" t="s">
        <v>478</v>
      </c>
      <c r="E25" s="834">
        <v>2</v>
      </c>
      <c r="F25" s="828">
        <v>420000</v>
      </c>
      <c r="G25" s="831">
        <v>1</v>
      </c>
      <c r="H25" s="587">
        <f t="shared" si="4"/>
        <v>840000</v>
      </c>
      <c r="I25" s="834">
        <v>0.6</v>
      </c>
      <c r="J25" s="587" t="e">
        <f>H25*(('R2_Hydro_MEFA'!L23/Macro!$D$16/Macro!$D$20/8/E25)^I25)</f>
        <v>#DIV/0!</v>
      </c>
      <c r="K25" s="831">
        <v>0.05</v>
      </c>
      <c r="L25" s="587" t="e">
        <f t="shared" si="3"/>
        <v>#DIV/0!</v>
      </c>
      <c r="M25" s="656">
        <f>IF(IF(Macro!$H$14=1,5,Macro!T55)=0,5,IF(Macro!$H$14=1,5,Macro!T55))</f>
        <v>5</v>
      </c>
      <c r="N25" s="274" t="e">
        <f t="shared" si="2"/>
        <v>#DIV/0!</v>
      </c>
      <c r="O25" s="270" t="s">
        <v>148</v>
      </c>
      <c r="P25" s="273"/>
    </row>
    <row r="26" spans="1:16" ht="17" x14ac:dyDescent="0.2">
      <c r="A26" s="1031"/>
      <c r="B26" t="s">
        <v>217</v>
      </c>
      <c r="C26" t="s">
        <v>485</v>
      </c>
      <c r="D26" s="288" t="s">
        <v>478</v>
      </c>
      <c r="E26" s="816">
        <v>10</v>
      </c>
      <c r="F26" s="826">
        <v>175000</v>
      </c>
      <c r="G26" s="829">
        <v>1</v>
      </c>
      <c r="H26" s="284">
        <f t="shared" si="4"/>
        <v>350000</v>
      </c>
      <c r="I26" s="816">
        <v>0.52</v>
      </c>
      <c r="J26" s="284" t="e">
        <f>H26*(('R2_Hydro_MEFA'!L30/Macro!$D$16/Macro!$D$20/8/E26)^I26)</f>
        <v>#DIV/0!</v>
      </c>
      <c r="K26" s="829">
        <v>0.05</v>
      </c>
      <c r="L26" s="284" t="e">
        <f t="shared" si="3"/>
        <v>#DIV/0!</v>
      </c>
      <c r="M26" s="656">
        <f>IF(IF(Macro!$H$14=1,5,Macro!T56)=0,5,IF(Macro!$H$14=1,5,Macro!T56))</f>
        <v>5</v>
      </c>
      <c r="N26" s="274" t="e">
        <f t="shared" si="2"/>
        <v>#DIV/0!</v>
      </c>
      <c r="O26" t="s">
        <v>148</v>
      </c>
      <c r="P26" s="264"/>
    </row>
    <row r="27" spans="1:16" ht="17" x14ac:dyDescent="0.2">
      <c r="A27" s="1031"/>
      <c r="B27" t="s">
        <v>566</v>
      </c>
      <c r="C27" s="122" t="s">
        <v>491</v>
      </c>
      <c r="D27" s="288" t="s">
        <v>478</v>
      </c>
      <c r="E27" s="816">
        <v>10</v>
      </c>
      <c r="F27" s="826">
        <v>100000</v>
      </c>
      <c r="G27" s="829">
        <v>1</v>
      </c>
      <c r="H27" s="284">
        <f t="shared" si="4"/>
        <v>200000</v>
      </c>
      <c r="I27" s="816">
        <v>0.75</v>
      </c>
      <c r="J27" s="284" t="e">
        <f>H27*(('R2_Hydro_MEFA'!L30/Macro!$D$16/Macro!$D$20/8/E27)^I27)</f>
        <v>#DIV/0!</v>
      </c>
      <c r="K27" s="829">
        <v>0.05</v>
      </c>
      <c r="L27" s="284" t="e">
        <f t="shared" si="3"/>
        <v>#DIV/0!</v>
      </c>
      <c r="M27" s="656">
        <f>IF(IF(Macro!$H$14=1,5,Macro!T57)=0,5,IF(Macro!$H$14=1,5,Macro!T57))</f>
        <v>5</v>
      </c>
      <c r="N27" s="274" t="e">
        <f t="shared" si="2"/>
        <v>#DIV/0!</v>
      </c>
      <c r="O27" t="s">
        <v>148</v>
      </c>
      <c r="P27" s="264"/>
    </row>
    <row r="28" spans="1:16" x14ac:dyDescent="0.2">
      <c r="A28" s="1031"/>
      <c r="B28" t="s">
        <v>569</v>
      </c>
      <c r="C28" t="s">
        <v>629</v>
      </c>
      <c r="D28" s="288" t="s">
        <v>488</v>
      </c>
      <c r="E28" s="816">
        <v>2</v>
      </c>
      <c r="F28" s="826">
        <v>200000</v>
      </c>
      <c r="G28" s="829">
        <v>1</v>
      </c>
      <c r="H28" s="284">
        <f t="shared" si="4"/>
        <v>400000</v>
      </c>
      <c r="I28" s="816">
        <v>0.7</v>
      </c>
      <c r="J28" s="284" t="e">
        <f>IF(Macro!D12=TRUE,H28*(('R2_Hydro_MEFA'!L42/Macro!$D$16/Macro!$D$20/8/E28)^I28),0)</f>
        <v>#DIV/0!</v>
      </c>
      <c r="K28" s="829">
        <v>0.05</v>
      </c>
      <c r="L28" s="284" t="e">
        <f t="shared" si="3"/>
        <v>#DIV/0!</v>
      </c>
      <c r="M28" s="656">
        <f>IF(IF(Macro!$H$14=1,5,Macro!T58)=0,5,IF(Macro!$H$14=1,5,Macro!T58))</f>
        <v>5</v>
      </c>
      <c r="N28" s="274" t="e">
        <f t="shared" si="2"/>
        <v>#DIV/0!</v>
      </c>
      <c r="O28" t="s">
        <v>148</v>
      </c>
      <c r="P28" s="264"/>
    </row>
    <row r="29" spans="1:16" ht="17" x14ac:dyDescent="0.2">
      <c r="A29" s="1031"/>
      <c r="B29" t="s">
        <v>223</v>
      </c>
      <c r="C29" t="s">
        <v>485</v>
      </c>
      <c r="D29" s="288" t="s">
        <v>478</v>
      </c>
      <c r="E29" s="816">
        <v>10</v>
      </c>
      <c r="F29" s="826">
        <v>175000</v>
      </c>
      <c r="G29" s="829">
        <v>1</v>
      </c>
      <c r="H29" s="284">
        <f t="shared" si="4"/>
        <v>350000</v>
      </c>
      <c r="I29" s="816">
        <v>0.52</v>
      </c>
      <c r="J29" s="284" t="e">
        <f>H29*(('R2_Hydro_MEFA'!L50/Macro!$D$16/Macro!$D$20/8/E29)^I29)</f>
        <v>#DIV/0!</v>
      </c>
      <c r="K29" s="829">
        <v>0.05</v>
      </c>
      <c r="L29" s="284" t="e">
        <f t="shared" si="3"/>
        <v>#DIV/0!</v>
      </c>
      <c r="M29" s="656">
        <f>IF(IF(Macro!$H$14=1,5,Macro!T59)=0,5,IF(Macro!$H$14=1,5,Macro!T59))</f>
        <v>5</v>
      </c>
      <c r="N29" s="274" t="e">
        <f t="shared" si="2"/>
        <v>#DIV/0!</v>
      </c>
      <c r="O29" t="s">
        <v>148</v>
      </c>
      <c r="P29" s="264"/>
    </row>
    <row r="30" spans="1:16" ht="17" x14ac:dyDescent="0.2">
      <c r="A30" s="1031"/>
      <c r="B30" t="s">
        <v>224</v>
      </c>
      <c r="C30" t="s">
        <v>480</v>
      </c>
      <c r="D30" s="288" t="s">
        <v>478</v>
      </c>
      <c r="E30" s="816">
        <v>10</v>
      </c>
      <c r="F30" s="826">
        <v>35000</v>
      </c>
      <c r="G30" s="829">
        <v>1</v>
      </c>
      <c r="H30" s="284">
        <f t="shared" si="4"/>
        <v>70000</v>
      </c>
      <c r="I30" s="816">
        <v>0.75</v>
      </c>
      <c r="J30" s="284" t="e">
        <f>H30*(('R2_Hydro_MEFA'!L50/Macro!$D$16/Macro!$D$20/8/E30)^I30)</f>
        <v>#DIV/0!</v>
      </c>
      <c r="K30" s="829">
        <v>0.05</v>
      </c>
      <c r="L30" s="284" t="e">
        <f t="shared" si="3"/>
        <v>#DIV/0!</v>
      </c>
      <c r="M30" s="656">
        <f>IF(IF(Macro!$H$14=1,5,Macro!T60)=0,5,IF(Macro!$H$14=1,5,Macro!T60))</f>
        <v>5</v>
      </c>
      <c r="N30" s="274" t="e">
        <f t="shared" si="2"/>
        <v>#DIV/0!</v>
      </c>
      <c r="O30" t="s">
        <v>148</v>
      </c>
      <c r="P30" s="264"/>
    </row>
    <row r="31" spans="1:16" ht="17" x14ac:dyDescent="0.2">
      <c r="A31" s="1031"/>
      <c r="B31" t="s">
        <v>220</v>
      </c>
      <c r="C31" t="s">
        <v>479</v>
      </c>
      <c r="D31" s="288" t="s">
        <v>478</v>
      </c>
      <c r="E31" s="816">
        <v>10</v>
      </c>
      <c r="F31" s="826">
        <v>175000</v>
      </c>
      <c r="G31" s="829">
        <v>1</v>
      </c>
      <c r="H31" s="284">
        <f t="shared" si="4"/>
        <v>350000</v>
      </c>
      <c r="I31" s="816">
        <v>0.52</v>
      </c>
      <c r="J31" s="284" t="e">
        <f>H31*(('R2_Hydro_MEFA'!L65/Macro!$D$16/Macro!$D$20/8/E31)^I31)</f>
        <v>#DIV/0!</v>
      </c>
      <c r="K31" s="829">
        <v>0.05</v>
      </c>
      <c r="L31" s="284" t="e">
        <f t="shared" si="3"/>
        <v>#DIV/0!</v>
      </c>
      <c r="M31" s="656">
        <f>IF(IF(Macro!$H$14=1,5,Macro!T61)=0,5,IF(Macro!$H$14=1,5,Macro!T61))</f>
        <v>5</v>
      </c>
      <c r="N31" s="274" t="e">
        <f t="shared" si="2"/>
        <v>#DIV/0!</v>
      </c>
      <c r="O31" t="s">
        <v>148</v>
      </c>
      <c r="P31" s="264"/>
    </row>
    <row r="32" spans="1:16" ht="17" x14ac:dyDescent="0.2">
      <c r="A32" s="1031"/>
      <c r="B32" s="122" t="s">
        <v>575</v>
      </c>
      <c r="C32" t="s">
        <v>479</v>
      </c>
      <c r="D32" s="288" t="s">
        <v>478</v>
      </c>
      <c r="E32" s="816">
        <v>10</v>
      </c>
      <c r="F32" s="826">
        <v>175000</v>
      </c>
      <c r="G32" s="829">
        <v>1</v>
      </c>
      <c r="H32" s="284">
        <f t="shared" si="4"/>
        <v>350000</v>
      </c>
      <c r="I32" s="816">
        <v>0.52</v>
      </c>
      <c r="J32" s="284" t="e">
        <f>H32*(('R2_Hydro_MEFA'!L72/Macro!$D$16/Macro!$D$20/8/E32)^I32)</f>
        <v>#DIV/0!</v>
      </c>
      <c r="K32" s="829">
        <v>0.05</v>
      </c>
      <c r="L32" s="284" t="e">
        <f t="shared" si="3"/>
        <v>#DIV/0!</v>
      </c>
      <c r="M32" s="656">
        <f>IF(IF(Macro!$H$14=1,5,Macro!T62)=0,5,IF(Macro!$H$14=1,5,Macro!T62))</f>
        <v>5</v>
      </c>
      <c r="N32" s="274" t="e">
        <f t="shared" si="2"/>
        <v>#DIV/0!</v>
      </c>
      <c r="O32" t="s">
        <v>148</v>
      </c>
      <c r="P32" s="264"/>
    </row>
    <row r="33" spans="1:16" ht="17" x14ac:dyDescent="0.2">
      <c r="A33" s="1031"/>
      <c r="B33" t="s">
        <v>576</v>
      </c>
      <c r="C33" t="s">
        <v>483</v>
      </c>
      <c r="D33" s="288" t="s">
        <v>478</v>
      </c>
      <c r="E33" s="816">
        <v>10</v>
      </c>
      <c r="F33" s="826">
        <v>35000</v>
      </c>
      <c r="G33" s="829">
        <v>1</v>
      </c>
      <c r="H33" s="284">
        <f t="shared" si="4"/>
        <v>70000</v>
      </c>
      <c r="I33" s="816">
        <v>0.75</v>
      </c>
      <c r="J33" s="284" t="e">
        <f>H33*(('R2_Hydro_MEFA'!L72/Macro!$D$16/Macro!$D$20/8/E33)^I33)</f>
        <v>#DIV/0!</v>
      </c>
      <c r="K33" s="829">
        <v>0.05</v>
      </c>
      <c r="L33" s="284" t="e">
        <f t="shared" si="3"/>
        <v>#DIV/0!</v>
      </c>
      <c r="M33" s="656">
        <f>IF(IF(Macro!$H$14=1,5,Macro!T63)=0,5,IF(Macro!$H$14=1,5,Macro!T63))</f>
        <v>5</v>
      </c>
      <c r="N33" s="274" t="e">
        <f t="shared" si="2"/>
        <v>#DIV/0!</v>
      </c>
      <c r="O33" t="s">
        <v>148</v>
      </c>
      <c r="P33" s="264"/>
    </row>
    <row r="34" spans="1:16" ht="17" x14ac:dyDescent="0.2">
      <c r="A34" s="1031"/>
      <c r="B34" t="s">
        <v>579</v>
      </c>
      <c r="C34" t="s">
        <v>479</v>
      </c>
      <c r="D34" s="288" t="s">
        <v>478</v>
      </c>
      <c r="E34" s="816">
        <v>10</v>
      </c>
      <c r="F34" s="826">
        <v>175000</v>
      </c>
      <c r="G34" s="829">
        <v>1</v>
      </c>
      <c r="H34" s="284">
        <f t="shared" si="4"/>
        <v>350000</v>
      </c>
      <c r="I34" s="816">
        <v>0.52</v>
      </c>
      <c r="J34" s="284" t="e">
        <f>H34*((('R2_Hydro_MEFA'!L88+'R2_Hydro_MEFA'!L90)/'R2_Hydro_MEFA'!N89/Macro!$D$16/Macro!$D$20/8/E34)^I34)</f>
        <v>#DIV/0!</v>
      </c>
      <c r="K34" s="829">
        <v>0.05</v>
      </c>
      <c r="L34" s="284" t="e">
        <f t="shared" si="3"/>
        <v>#DIV/0!</v>
      </c>
      <c r="M34" s="656">
        <f>IF(IF(Macro!$H$14=1,5,Macro!T64)=0,5,IF(Macro!$H$14=1,5,Macro!T64))</f>
        <v>5</v>
      </c>
      <c r="N34" s="274" t="e">
        <f t="shared" si="2"/>
        <v>#DIV/0!</v>
      </c>
      <c r="O34" t="s">
        <v>148</v>
      </c>
      <c r="P34" s="264"/>
    </row>
    <row r="35" spans="1:16" ht="15" customHeight="1" x14ac:dyDescent="0.2">
      <c r="A35" s="1031"/>
      <c r="B35" t="s">
        <v>590</v>
      </c>
      <c r="C35" t="s">
        <v>479</v>
      </c>
      <c r="D35" s="288" t="s">
        <v>478</v>
      </c>
      <c r="E35" s="816">
        <v>10</v>
      </c>
      <c r="F35" s="826">
        <v>175000</v>
      </c>
      <c r="G35" s="829">
        <v>1</v>
      </c>
      <c r="H35" s="284">
        <f t="shared" si="4"/>
        <v>350000</v>
      </c>
      <c r="I35" s="816">
        <v>0.52</v>
      </c>
      <c r="J35" s="284" t="e">
        <f>H35*((('R2_Hydro_MEFA'!L97/'R2_Hydro_MEFA'!N89)/Macro!$D$16/Macro!$D$20/8/E35)^I35)</f>
        <v>#DIV/0!</v>
      </c>
      <c r="K35" s="829">
        <v>0.05</v>
      </c>
      <c r="L35" s="284" t="e">
        <f t="shared" si="3"/>
        <v>#DIV/0!</v>
      </c>
      <c r="M35" s="656">
        <f>IF(IF(Macro!$H$14=1,5,Macro!T65)=0,5,IF(Macro!$H$14=1,5,Macro!T65))</f>
        <v>5</v>
      </c>
      <c r="N35" s="274" t="e">
        <f t="shared" si="2"/>
        <v>#DIV/0!</v>
      </c>
      <c r="O35" t="s">
        <v>148</v>
      </c>
      <c r="P35" s="264"/>
    </row>
    <row r="36" spans="1:16" ht="17" x14ac:dyDescent="0.2">
      <c r="A36" s="1031"/>
      <c r="B36" t="s">
        <v>592</v>
      </c>
      <c r="C36" t="s">
        <v>479</v>
      </c>
      <c r="D36" s="288" t="s">
        <v>478</v>
      </c>
      <c r="E36" s="816">
        <v>10</v>
      </c>
      <c r="F36" s="826">
        <v>175000</v>
      </c>
      <c r="G36" s="829">
        <v>1</v>
      </c>
      <c r="H36" s="284">
        <f t="shared" si="4"/>
        <v>350000</v>
      </c>
      <c r="I36" s="816">
        <v>0.52</v>
      </c>
      <c r="J36" s="284" t="e">
        <f>H36*(((SUM('R2_Hydro_MEFA'!L103:L106)/'R2_Hydro_MEFA'!N89/Macro!$D$16/Macro!$D$20/8/E36)^I36))</f>
        <v>#DIV/0!</v>
      </c>
      <c r="K36" s="829">
        <v>0.05</v>
      </c>
      <c r="L36" s="284" t="e">
        <f t="shared" si="3"/>
        <v>#DIV/0!</v>
      </c>
      <c r="M36" s="656">
        <f>IF(IF(Macro!$H$14=1,5,Macro!T66)=0,5,IF(Macro!$H$14=1,5,Macro!T66))</f>
        <v>5</v>
      </c>
      <c r="N36" s="274" t="e">
        <f t="shared" si="2"/>
        <v>#DIV/0!</v>
      </c>
      <c r="O36" t="s">
        <v>148</v>
      </c>
      <c r="P36" s="264"/>
    </row>
    <row r="37" spans="1:16" ht="17" x14ac:dyDescent="0.2">
      <c r="A37" s="1031"/>
      <c r="B37" t="s">
        <v>484</v>
      </c>
      <c r="C37" t="s">
        <v>479</v>
      </c>
      <c r="D37" s="288" t="s">
        <v>478</v>
      </c>
      <c r="E37" s="816">
        <v>10</v>
      </c>
      <c r="F37" s="826">
        <v>175000</v>
      </c>
      <c r="G37" s="829">
        <v>1</v>
      </c>
      <c r="H37" s="284">
        <f t="shared" si="4"/>
        <v>350000</v>
      </c>
      <c r="I37" s="816">
        <v>0.52</v>
      </c>
      <c r="J37" s="284" t="e">
        <f>H37*(((SUM('R2_Hydro_MEFA'!L114:L115)/'R2_Hydro_MEFA'!N89)/Macro!$D$16/Macro!$D$20/8/E37)^I37)</f>
        <v>#DIV/0!</v>
      </c>
      <c r="K37" s="829">
        <v>0.05</v>
      </c>
      <c r="L37" s="284" t="e">
        <f t="shared" si="3"/>
        <v>#DIV/0!</v>
      </c>
      <c r="M37" s="656">
        <f>IF(IF(Macro!$H$14=1,5,Macro!T67)=0,5,IF(Macro!$H$14=1,5,Macro!T67))</f>
        <v>5</v>
      </c>
      <c r="N37" s="274" t="e">
        <f t="shared" si="2"/>
        <v>#DIV/0!</v>
      </c>
      <c r="O37" t="s">
        <v>148</v>
      </c>
      <c r="P37" s="264"/>
    </row>
    <row r="38" spans="1:16" ht="17" x14ac:dyDescent="0.2">
      <c r="A38" s="1031"/>
      <c r="B38" t="s">
        <v>373</v>
      </c>
      <c r="C38" t="s">
        <v>479</v>
      </c>
      <c r="D38" s="288" t="s">
        <v>478</v>
      </c>
      <c r="E38" s="816">
        <v>10</v>
      </c>
      <c r="F38" s="826">
        <v>175000</v>
      </c>
      <c r="G38" s="829">
        <v>1</v>
      </c>
      <c r="H38" s="284">
        <f t="shared" si="4"/>
        <v>350000</v>
      </c>
      <c r="I38" s="816">
        <v>0.52</v>
      </c>
      <c r="J38" s="284" t="e">
        <f>H38*((('R2_Hydro_MEFA'!L122/'R2_Hydro_MEFA'!N89)/Macro!$D$16/Macro!$D$20/8/E38)^I38)</f>
        <v>#DIV/0!</v>
      </c>
      <c r="K38" s="829">
        <v>0.05</v>
      </c>
      <c r="L38" s="284" t="e">
        <f t="shared" si="3"/>
        <v>#DIV/0!</v>
      </c>
      <c r="M38" s="656">
        <f>IF(IF(Macro!$H$14=1,5,Macro!T68)=0,5,IF(Macro!$H$14=1,5,Macro!T68))</f>
        <v>5</v>
      </c>
      <c r="N38" s="274" t="e">
        <f t="shared" si="2"/>
        <v>#DIV/0!</v>
      </c>
      <c r="O38" t="s">
        <v>148</v>
      </c>
      <c r="P38" s="264"/>
    </row>
    <row r="39" spans="1:16" ht="17" x14ac:dyDescent="0.2">
      <c r="A39" s="1031"/>
      <c r="B39" t="s">
        <v>377</v>
      </c>
      <c r="C39" t="s">
        <v>479</v>
      </c>
      <c r="D39" s="288" t="s">
        <v>478</v>
      </c>
      <c r="E39" s="816">
        <v>10</v>
      </c>
      <c r="F39" s="826">
        <v>175000</v>
      </c>
      <c r="G39" s="829">
        <v>1</v>
      </c>
      <c r="H39" s="284">
        <f t="shared" si="4"/>
        <v>350000</v>
      </c>
      <c r="I39" s="816">
        <v>0.52</v>
      </c>
      <c r="J39" s="284" t="e">
        <f>H39*(((SUM('R2_Hydro_MEFA'!L128:L131)/'R2_Hydro_MEFA'!N89)/Macro!$D$16/Macro!$D$20/8/E39)^I39)</f>
        <v>#DIV/0!</v>
      </c>
      <c r="K39" s="829">
        <v>0.05</v>
      </c>
      <c r="L39" s="284" t="e">
        <f t="shared" si="3"/>
        <v>#DIV/0!</v>
      </c>
      <c r="M39" s="656">
        <f>IF(IF(Macro!$H$14=1,5,Macro!T69)=0,5,IF(Macro!$H$14=1,5,Macro!T69))</f>
        <v>5</v>
      </c>
      <c r="N39" s="274" t="e">
        <f t="shared" si="2"/>
        <v>#DIV/0!</v>
      </c>
      <c r="O39" t="s">
        <v>148</v>
      </c>
      <c r="P39" s="264"/>
    </row>
    <row r="40" spans="1:16" ht="16" x14ac:dyDescent="0.2">
      <c r="A40" s="1031"/>
      <c r="B40" t="s">
        <v>630</v>
      </c>
      <c r="C40" s="122" t="s">
        <v>487</v>
      </c>
      <c r="D40" s="288" t="s">
        <v>488</v>
      </c>
      <c r="E40" s="816">
        <v>1</v>
      </c>
      <c r="F40" s="826">
        <v>1500000</v>
      </c>
      <c r="G40" s="829">
        <v>1</v>
      </c>
      <c r="H40" s="284">
        <f t="shared" si="4"/>
        <v>3000000</v>
      </c>
      <c r="I40" s="816">
        <v>0.65</v>
      </c>
      <c r="J40" s="284" t="e">
        <f>H40*(('R2_Hydro_MEFA'!L136/(Macro!$D$16*Macro!$D$20*8*E40))^I40)</f>
        <v>#DIV/0!</v>
      </c>
      <c r="K40" s="829">
        <v>0.05</v>
      </c>
      <c r="L40" s="284" t="e">
        <f t="shared" si="3"/>
        <v>#DIV/0!</v>
      </c>
      <c r="M40" s="656">
        <f>IF(IF(Macro!$H$14=1,5,Macro!T70)=0,5,IF(Macro!$H$14=1,5,Macro!T70))</f>
        <v>5</v>
      </c>
      <c r="N40" s="274" t="e">
        <f t="shared" si="2"/>
        <v>#DIV/0!</v>
      </c>
      <c r="O40" t="s">
        <v>148</v>
      </c>
      <c r="P40" s="264"/>
    </row>
    <row r="41" spans="1:16" x14ac:dyDescent="0.2">
      <c r="A41" s="1031"/>
      <c r="B41" t="s">
        <v>631</v>
      </c>
      <c r="C41" t="s">
        <v>487</v>
      </c>
      <c r="D41" s="288" t="s">
        <v>488</v>
      </c>
      <c r="E41" s="816">
        <v>1</v>
      </c>
      <c r="F41" s="826">
        <v>1500000</v>
      </c>
      <c r="G41" s="829">
        <v>1</v>
      </c>
      <c r="H41" s="284">
        <f t="shared" si="4"/>
        <v>3000000</v>
      </c>
      <c r="I41" s="816">
        <v>0.65</v>
      </c>
      <c r="J41" s="284" t="e">
        <f>H41*(('R2_Hydro_MEFA'!L142/(Macro!$D$16*Macro!$D$20*8*E41))^I41)</f>
        <v>#DIV/0!</v>
      </c>
      <c r="K41" s="829">
        <v>0.05</v>
      </c>
      <c r="L41" s="284" t="e">
        <f t="shared" si="3"/>
        <v>#DIV/0!</v>
      </c>
      <c r="M41" s="656">
        <f>IF(IF(Macro!$H$14=1,5,Macro!T71)=0,5,IF(Macro!$H$14=1,5,Macro!T71))</f>
        <v>5</v>
      </c>
      <c r="N41" s="274" t="e">
        <f t="shared" si="2"/>
        <v>#DIV/0!</v>
      </c>
      <c r="O41" t="s">
        <v>148</v>
      </c>
      <c r="P41" s="264"/>
    </row>
    <row r="42" spans="1:16" ht="17" x14ac:dyDescent="0.2">
      <c r="A42" s="1031"/>
      <c r="B42" t="s">
        <v>405</v>
      </c>
      <c r="C42" t="s">
        <v>479</v>
      </c>
      <c r="D42" s="288" t="s">
        <v>478</v>
      </c>
      <c r="E42" s="816">
        <v>10</v>
      </c>
      <c r="F42" s="826">
        <v>175000</v>
      </c>
      <c r="G42" s="829">
        <v>1</v>
      </c>
      <c r="H42" s="284">
        <f t="shared" si="4"/>
        <v>350000</v>
      </c>
      <c r="I42" s="816">
        <v>0.52</v>
      </c>
      <c r="J42" s="284" t="e">
        <f>H42*(((SUM('R2_Hydro_MEFA'!L151:L152)/'R2_Hydro_MEFA'!N89)/Macro!$D$16/Macro!$D$20/8/E42)^I42)</f>
        <v>#DIV/0!</v>
      </c>
      <c r="K42" s="829">
        <v>0.05</v>
      </c>
      <c r="L42" s="284" t="e">
        <f t="shared" si="3"/>
        <v>#DIV/0!</v>
      </c>
      <c r="M42" s="656">
        <f>IF(IF(Macro!$H$14=1,5,Macro!T72)=0,5,IF(Macro!$H$14=1,5,Macro!T72))</f>
        <v>5</v>
      </c>
      <c r="N42" s="274" t="e">
        <f t="shared" si="2"/>
        <v>#DIV/0!</v>
      </c>
      <c r="O42" t="s">
        <v>148</v>
      </c>
      <c r="P42" s="264"/>
    </row>
    <row r="43" spans="1:16" ht="17" x14ac:dyDescent="0.2">
      <c r="A43" s="1031"/>
      <c r="B43" t="s">
        <v>411</v>
      </c>
      <c r="C43" t="s">
        <v>479</v>
      </c>
      <c r="D43" s="288" t="s">
        <v>478</v>
      </c>
      <c r="E43" s="816">
        <v>10</v>
      </c>
      <c r="F43" s="826">
        <v>175000</v>
      </c>
      <c r="G43" s="829">
        <v>1</v>
      </c>
      <c r="H43" s="284">
        <f t="shared" si="4"/>
        <v>350000</v>
      </c>
      <c r="I43" s="816">
        <v>0.52</v>
      </c>
      <c r="J43" s="284" t="e">
        <f>H43*(((SUM('R2_Hydro_MEFA'!L158)/'R2_Hydro_MEFA'!N89)/Macro!$D$16/Macro!$D$20/8/E43)^I43)</f>
        <v>#DIV/0!</v>
      </c>
      <c r="K43" s="829">
        <v>0.05</v>
      </c>
      <c r="L43" s="284" t="e">
        <f t="shared" si="3"/>
        <v>#DIV/0!</v>
      </c>
      <c r="M43" s="656">
        <f>IF(IF(Macro!$H$14=1,5,Macro!T73)=0,5,IF(Macro!$H$14=1,5,Macro!T73))</f>
        <v>5</v>
      </c>
      <c r="N43" s="274" t="e">
        <f t="shared" si="2"/>
        <v>#DIV/0!</v>
      </c>
      <c r="O43" t="s">
        <v>148</v>
      </c>
      <c r="P43" s="264"/>
    </row>
    <row r="44" spans="1:16" ht="17" x14ac:dyDescent="0.2">
      <c r="A44" s="1031"/>
      <c r="B44" t="s">
        <v>414</v>
      </c>
      <c r="C44" t="s">
        <v>479</v>
      </c>
      <c r="D44" s="288" t="s">
        <v>478</v>
      </c>
      <c r="E44" s="816">
        <v>10</v>
      </c>
      <c r="F44" s="826">
        <v>175000</v>
      </c>
      <c r="G44" s="829">
        <v>1</v>
      </c>
      <c r="H44" s="284">
        <f t="shared" si="4"/>
        <v>350000</v>
      </c>
      <c r="I44" s="816">
        <v>0.52</v>
      </c>
      <c r="J44" s="284" t="e">
        <f>H44*(((SUM('R2_Hydro_MEFA'!L164:L167)/'R2_Hydro_MEFA'!N89)/Macro!$D$16/Macro!$D$20/8/E44)^I44)</f>
        <v>#DIV/0!</v>
      </c>
      <c r="K44" s="829">
        <v>0.05</v>
      </c>
      <c r="L44" s="284" t="e">
        <f t="shared" si="3"/>
        <v>#DIV/0!</v>
      </c>
      <c r="M44" s="656">
        <f>IF(IF(Macro!$H$14=1,5,Macro!T74)=0,5,IF(Macro!$H$14=1,5,Macro!T74))</f>
        <v>5</v>
      </c>
      <c r="N44" s="274" t="e">
        <f t="shared" si="2"/>
        <v>#DIV/0!</v>
      </c>
      <c r="O44" t="s">
        <v>148</v>
      </c>
      <c r="P44" s="264"/>
    </row>
    <row r="45" spans="1:16" x14ac:dyDescent="0.2">
      <c r="A45" s="1031"/>
      <c r="B45" t="s">
        <v>632</v>
      </c>
      <c r="C45" t="s">
        <v>487</v>
      </c>
      <c r="D45" s="288" t="s">
        <v>488</v>
      </c>
      <c r="E45" s="816">
        <v>1</v>
      </c>
      <c r="F45" s="826">
        <v>1500000</v>
      </c>
      <c r="G45" s="829">
        <v>1</v>
      </c>
      <c r="H45" s="284">
        <f t="shared" si="4"/>
        <v>3000000</v>
      </c>
      <c r="I45" s="816">
        <v>0.65</v>
      </c>
      <c r="J45" s="284" t="e">
        <f>H45*(('R2_Hydro_MEFA'!L172/(Macro!$D$16*Macro!$D$20*8*E45))^I45)</f>
        <v>#DIV/0!</v>
      </c>
      <c r="K45" s="829">
        <v>0.05</v>
      </c>
      <c r="L45" s="284" t="e">
        <f t="shared" si="3"/>
        <v>#DIV/0!</v>
      </c>
      <c r="M45" s="656">
        <f>IF(IF(Macro!$H$14=1,5,Macro!T75)=0,5,IF(Macro!$H$14=1,5,Macro!T75))</f>
        <v>5</v>
      </c>
      <c r="N45" s="274" t="e">
        <f t="shared" si="2"/>
        <v>#DIV/0!</v>
      </c>
      <c r="O45" t="s">
        <v>148</v>
      </c>
      <c r="P45" s="264"/>
    </row>
    <row r="46" spans="1:16" ht="16" x14ac:dyDescent="0.2">
      <c r="A46" s="1031"/>
      <c r="B46" s="122" t="s">
        <v>213</v>
      </c>
      <c r="C46" s="751" t="s">
        <v>417</v>
      </c>
      <c r="D46" s="288" t="s">
        <v>488</v>
      </c>
      <c r="E46" s="816">
        <v>5</v>
      </c>
      <c r="F46" s="826">
        <v>1500000</v>
      </c>
      <c r="G46" s="829">
        <v>1</v>
      </c>
      <c r="H46" s="284">
        <f t="shared" si="4"/>
        <v>3000000</v>
      </c>
      <c r="I46" s="816">
        <v>0.65</v>
      </c>
      <c r="J46" s="284" t="e">
        <f>H46*(('R2_Hydro_MEFA'!L179/(Macro!$D$16*Macro!$D$20*8*E46))^I46)</f>
        <v>#DIV/0!</v>
      </c>
      <c r="K46" s="829">
        <v>0.05</v>
      </c>
      <c r="L46" s="284" t="e">
        <f t="shared" si="3"/>
        <v>#DIV/0!</v>
      </c>
      <c r="M46" s="656">
        <f>IF(IF(Macro!$H$14=1,5,Macro!T76)=0,5,IF(Macro!$H$14=1,5,Macro!T76))</f>
        <v>5</v>
      </c>
      <c r="N46" s="274" t="e">
        <f t="shared" si="2"/>
        <v>#DIV/0!</v>
      </c>
      <c r="O46" t="s">
        <v>148</v>
      </c>
      <c r="P46" s="264"/>
    </row>
    <row r="47" spans="1:16" ht="17" x14ac:dyDescent="0.2">
      <c r="A47" s="1031"/>
      <c r="B47" t="s">
        <v>633</v>
      </c>
      <c r="C47" t="s">
        <v>479</v>
      </c>
      <c r="D47" s="288" t="s">
        <v>478</v>
      </c>
      <c r="E47" s="816">
        <v>10</v>
      </c>
      <c r="F47" s="826">
        <v>175000</v>
      </c>
      <c r="G47" s="829">
        <v>1</v>
      </c>
      <c r="H47" s="284">
        <f t="shared" si="4"/>
        <v>350000</v>
      </c>
      <c r="I47" s="816">
        <v>0.52</v>
      </c>
      <c r="J47" s="284" t="e">
        <f>H47*(((SUM('R2_Hydro_MEFA'!L187)/'R2_Hydro_MEFA'!N177)/Macro!$D$16/Macro!$D$20/8/E47)^I47)</f>
        <v>#DIV/0!</v>
      </c>
      <c r="K47" s="829">
        <v>0.05</v>
      </c>
      <c r="L47" s="284" t="e">
        <f t="shared" si="3"/>
        <v>#DIV/0!</v>
      </c>
      <c r="M47" s="656">
        <f>IF(IF(Macro!$H$14=1,5,Macro!T77)=0,5,IF(Macro!$H$14=1,5,Macro!T77))</f>
        <v>5</v>
      </c>
      <c r="N47" s="274" t="e">
        <f t="shared" si="2"/>
        <v>#DIV/0!</v>
      </c>
      <c r="O47" t="s">
        <v>148</v>
      </c>
      <c r="P47" s="264"/>
    </row>
    <row r="48" spans="1:16" ht="17" x14ac:dyDescent="0.2">
      <c r="A48" s="1031"/>
      <c r="B48" t="s">
        <v>437</v>
      </c>
      <c r="C48" t="s">
        <v>492</v>
      </c>
      <c r="D48" t="s">
        <v>478</v>
      </c>
      <c r="E48" s="816">
        <v>10</v>
      </c>
      <c r="F48" s="826">
        <v>35000</v>
      </c>
      <c r="G48" s="829">
        <v>1</v>
      </c>
      <c r="H48" s="284">
        <f t="shared" si="4"/>
        <v>70000</v>
      </c>
      <c r="I48" s="816">
        <v>0.75</v>
      </c>
      <c r="J48" s="285" t="e">
        <f>H48*(('R2_Hydro_MEFA'!L187/'R2_Hydro_MEFA'!N177/Macro!$D$16/Macro!$D$20/8/E48)^I48)</f>
        <v>#DIV/0!</v>
      </c>
      <c r="K48" s="829">
        <v>0.05</v>
      </c>
      <c r="L48" s="285" t="e">
        <f t="shared" si="3"/>
        <v>#DIV/0!</v>
      </c>
      <c r="M48" s="656">
        <f>IF(IF(Macro!$H$14=1,5,Macro!T78)=0,5,IF(Macro!$H$14=1,5,Macro!T78))</f>
        <v>5</v>
      </c>
      <c r="N48" s="274" t="e">
        <f t="shared" si="2"/>
        <v>#DIV/0!</v>
      </c>
      <c r="O48" t="s">
        <v>148</v>
      </c>
      <c r="P48" s="264"/>
    </row>
    <row r="49" spans="1:16" ht="16" thickBot="1" x14ac:dyDescent="0.25">
      <c r="A49" s="1032"/>
      <c r="B49" s="275" t="s">
        <v>24</v>
      </c>
      <c r="C49" s="275" t="s">
        <v>417</v>
      </c>
      <c r="D49" s="275" t="s">
        <v>488</v>
      </c>
      <c r="E49" s="835">
        <v>5</v>
      </c>
      <c r="F49" s="827">
        <v>1500000</v>
      </c>
      <c r="G49" s="830">
        <v>1</v>
      </c>
      <c r="H49" s="586">
        <f t="shared" si="4"/>
        <v>3000000</v>
      </c>
      <c r="I49" s="835">
        <v>0.65</v>
      </c>
      <c r="J49" s="621">
        <f>H49*(('R2_Hydro_MEFA'!C198/(Macro!$D$16*Macro!$D$20*8*E49))^I49)</f>
        <v>0</v>
      </c>
      <c r="K49" s="830">
        <v>0.05</v>
      </c>
      <c r="L49" s="621">
        <f t="shared" si="3"/>
        <v>0</v>
      </c>
      <c r="M49" s="657">
        <f>IF(IF(Macro!$H$14=1,5,Macro!T79)=0,5,IF(Macro!$H$14=1,5,Macro!T79))</f>
        <v>5</v>
      </c>
      <c r="N49" s="276">
        <f t="shared" si="2"/>
        <v>0</v>
      </c>
      <c r="O49" s="275" t="s">
        <v>148</v>
      </c>
      <c r="P49" s="278"/>
    </row>
    <row r="50" spans="1:16" x14ac:dyDescent="0.2">
      <c r="J50" s="285" t="e">
        <f>SUM(J12:J49)</f>
        <v>#DIV/0!</v>
      </c>
      <c r="L50" s="285" t="e">
        <f>SUM(L12:L49)</f>
        <v>#DIV/0!</v>
      </c>
      <c r="M50" s="285"/>
      <c r="N50" s="285" t="e">
        <f>SUM(N12:N49)</f>
        <v>#DIV/0!</v>
      </c>
    </row>
    <row r="51" spans="1:16" ht="45" thickBot="1" x14ac:dyDescent="0.25">
      <c r="A51" s="781" t="s">
        <v>493</v>
      </c>
    </row>
    <row r="52" spans="1:16" ht="81" thickBot="1" x14ac:dyDescent="0.25">
      <c r="A52" s="286" t="s">
        <v>634</v>
      </c>
      <c r="B52" s="381" t="s">
        <v>495</v>
      </c>
      <c r="C52" s="381" t="s">
        <v>262</v>
      </c>
      <c r="D52" s="381" t="s">
        <v>497</v>
      </c>
      <c r="E52" s="381" t="s">
        <v>635</v>
      </c>
      <c r="F52" s="381" t="s">
        <v>499</v>
      </c>
      <c r="G52" s="381" t="s">
        <v>500</v>
      </c>
      <c r="H52" s="381" t="s">
        <v>636</v>
      </c>
      <c r="I52" s="381" t="s">
        <v>637</v>
      </c>
      <c r="J52" s="381" t="s">
        <v>638</v>
      </c>
      <c r="K52" s="382" t="s">
        <v>639</v>
      </c>
    </row>
    <row r="53" spans="1:16" ht="16" x14ac:dyDescent="0.2">
      <c r="A53" s="1027" t="s">
        <v>259</v>
      </c>
      <c r="B53" s="69" t="s">
        <v>505</v>
      </c>
      <c r="C53" s="662" t="e">
        <f>ROUNDUP(E6/(210*8*E15)+E6/(210*8*2),0)</f>
        <v>#DIV/0!</v>
      </c>
      <c r="D53" s="914">
        <v>40000</v>
      </c>
      <c r="E53" s="831">
        <v>0.2</v>
      </c>
      <c r="F53" s="831">
        <v>0.5</v>
      </c>
      <c r="G53" s="272">
        <f>IF($E$9&gt;250,($E$9-250)/$E$9*0.5,0)</f>
        <v>0.12121212121212122</v>
      </c>
      <c r="H53" s="911">
        <f>(1+F53+E53+G53)*D53</f>
        <v>72848.484848484848</v>
      </c>
      <c r="I53" s="383">
        <f>H53/Macro!$D$16/8</f>
        <v>27.594123048668504</v>
      </c>
      <c r="J53" s="911" t="e">
        <f>H53*C53*(1+IF(Macro!D18=3,1/3,0))</f>
        <v>#DIV/0!</v>
      </c>
      <c r="K53" s="273"/>
    </row>
    <row r="54" spans="1:16" ht="17" thickBot="1" x14ac:dyDescent="0.25">
      <c r="A54" s="1029"/>
      <c r="B54" s="783" t="s">
        <v>506</v>
      </c>
      <c r="C54" t="e">
        <f>ROUNDUP(E6/(210*8*E15)+E6/(210*8*2),0)</f>
        <v>#DIV/0!</v>
      </c>
      <c r="D54" s="915">
        <v>60000</v>
      </c>
      <c r="E54" s="830">
        <v>0.2</v>
      </c>
      <c r="F54" s="830">
        <v>0.5</v>
      </c>
      <c r="G54" s="277">
        <f t="shared" ref="G54:G58" si="5">IF($E$9&gt;250,($E$9-250)/$E$9*0.5,0)</f>
        <v>0.12121212121212122</v>
      </c>
      <c r="H54" s="912">
        <f t="shared" ref="H54:H58" si="6">(1+F54+E54+G54)*D54</f>
        <v>109272.72727272728</v>
      </c>
      <c r="I54" s="385">
        <f>H54/Macro!$D$16/8</f>
        <v>41.391184573002761</v>
      </c>
      <c r="J54" s="912" t="e">
        <f>H54*C54*(1+IF(Macro!D18=3,1/3,0))</f>
        <v>#DIV/0!</v>
      </c>
      <c r="K54" s="278"/>
    </row>
    <row r="55" spans="1:16" ht="16" x14ac:dyDescent="0.2">
      <c r="A55" s="1030" t="s">
        <v>640</v>
      </c>
      <c r="B55" s="784" t="s">
        <v>507</v>
      </c>
      <c r="C55" s="270">
        <f>IF(Macro!D8=1,1,2)*ROUNDUP(Macro!D16/210,0)*Macro!D20</f>
        <v>12</v>
      </c>
      <c r="D55" s="914">
        <v>40000</v>
      </c>
      <c r="E55" s="831">
        <v>0.2</v>
      </c>
      <c r="F55" s="831">
        <v>0.5</v>
      </c>
      <c r="G55" s="272">
        <f t="shared" si="5"/>
        <v>0.12121212121212122</v>
      </c>
      <c r="H55" s="911">
        <f t="shared" si="6"/>
        <v>72848.484848484848</v>
      </c>
      <c r="I55" s="383">
        <f>H55/Macro!$D$16/8</f>
        <v>27.594123048668504</v>
      </c>
      <c r="J55" s="911">
        <f>H55*C55*(1+IF(Macro!D20=3,1/3,0))</f>
        <v>1165575.7575757573</v>
      </c>
      <c r="K55" s="273"/>
    </row>
    <row r="56" spans="1:16" ht="16" thickBot="1" x14ac:dyDescent="0.25">
      <c r="A56" s="1031"/>
      <c r="B56" t="s">
        <v>508</v>
      </c>
      <c r="C56">
        <f>ROUNDUP(Macro!D16/210,0)*Macro!D20</f>
        <v>6</v>
      </c>
      <c r="D56" s="916">
        <v>60000</v>
      </c>
      <c r="E56" s="829">
        <v>0.2</v>
      </c>
      <c r="F56" s="829">
        <v>0.5</v>
      </c>
      <c r="G56" s="258">
        <f t="shared" si="5"/>
        <v>0.12121212121212122</v>
      </c>
      <c r="H56" s="913">
        <f t="shared" si="6"/>
        <v>109272.72727272728</v>
      </c>
      <c r="I56" s="384">
        <f>H56/Macro!$D$16/8</f>
        <v>41.391184573002761</v>
      </c>
      <c r="J56" s="913">
        <f>H56*C56*(1+IF(Macro!D20=3,1/3,0))</f>
        <v>874181.81818181812</v>
      </c>
      <c r="K56" s="264"/>
    </row>
    <row r="57" spans="1:16" ht="16" x14ac:dyDescent="0.2">
      <c r="A57" s="1027" t="s">
        <v>628</v>
      </c>
      <c r="B57" s="784" t="s">
        <v>507</v>
      </c>
      <c r="C57" s="270">
        <f>IF(Macro!D8=1,1,2)*ROUNDUP(Macro!D16/210,0)*Macro!D20</f>
        <v>12</v>
      </c>
      <c r="D57" s="914">
        <v>40000</v>
      </c>
      <c r="E57" s="831">
        <v>0.2</v>
      </c>
      <c r="F57" s="831">
        <v>0.5</v>
      </c>
      <c r="G57" s="272">
        <f t="shared" si="5"/>
        <v>0.12121212121212122</v>
      </c>
      <c r="H57" s="911">
        <f t="shared" si="6"/>
        <v>72848.484848484848</v>
      </c>
      <c r="I57" s="383">
        <f>H57/Macro!$D$16/8</f>
        <v>27.594123048668504</v>
      </c>
      <c r="J57" s="911">
        <f>H57*C57*(1+IF(Macro!D20=3,1/3,0))</f>
        <v>1165575.7575757573</v>
      </c>
      <c r="K57" s="273"/>
    </row>
    <row r="58" spans="1:16" ht="17" thickBot="1" x14ac:dyDescent="0.25">
      <c r="A58" s="1029"/>
      <c r="B58" s="749" t="s">
        <v>508</v>
      </c>
      <c r="C58" s="275">
        <f>ROUNDUP(Macro!D16/210,0)*Macro!D20</f>
        <v>6</v>
      </c>
      <c r="D58" s="915">
        <v>60000</v>
      </c>
      <c r="E58" s="830">
        <v>0.2</v>
      </c>
      <c r="F58" s="830">
        <v>0.5</v>
      </c>
      <c r="G58" s="277">
        <f t="shared" si="5"/>
        <v>0.12121212121212122</v>
      </c>
      <c r="H58" s="912">
        <f t="shared" si="6"/>
        <v>109272.72727272728</v>
      </c>
      <c r="I58" s="385">
        <f>H58/Macro!$D$16/8</f>
        <v>41.391184573002761</v>
      </c>
      <c r="J58" s="912">
        <f>H58*C58*(1+IF(Macro!D20=3,1/3,0))</f>
        <v>874181.81818181812</v>
      </c>
      <c r="K58" s="278"/>
    </row>
    <row r="59" spans="1:16" x14ac:dyDescent="0.2">
      <c r="J59" s="913" t="e">
        <f>SUM(J53:J58)</f>
        <v>#DIV/0!</v>
      </c>
    </row>
  </sheetData>
  <mergeCells count="6">
    <mergeCell ref="A55:A56"/>
    <mergeCell ref="A57:A58"/>
    <mergeCell ref="A12:A15"/>
    <mergeCell ref="A16:A24"/>
    <mergeCell ref="A25:A49"/>
    <mergeCell ref="A53:A54"/>
  </mergeCells>
  <pageMargins left="0.7" right="0.7" top="0.78740157499999996" bottom="0.78740157499999996"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Tabelle5">
    <tabColor theme="0" tint="-0.499984740745262"/>
  </sheetPr>
  <dimension ref="A1:Z157"/>
  <sheetViews>
    <sheetView topLeftCell="A14" workbookViewId="0">
      <selection activeCell="L38" sqref="L38"/>
    </sheetView>
  </sheetViews>
  <sheetFormatPr baseColWidth="10" defaultColWidth="11.5" defaultRowHeight="15" x14ac:dyDescent="0.2"/>
  <cols>
    <col min="1" max="1" width="27.1640625" style="71" customWidth="1"/>
    <col min="2" max="2" width="20.5" style="71" customWidth="1"/>
    <col min="3" max="3" width="13.6640625" style="71" customWidth="1"/>
    <col min="4" max="4" width="7.33203125" style="71" customWidth="1"/>
    <col min="5" max="5" width="19.5" style="71" customWidth="1"/>
    <col min="6" max="6" width="14.5" style="71" customWidth="1"/>
    <col min="7" max="7" width="10" style="71" bestFit="1" customWidth="1"/>
    <col min="8" max="8" width="17.6640625" style="71" customWidth="1"/>
    <col min="9" max="9" width="14.1640625" style="71" bestFit="1" customWidth="1"/>
    <col min="10" max="10" width="18.33203125" style="71" customWidth="1"/>
    <col min="11" max="11" width="21.6640625" style="71" customWidth="1"/>
    <col min="12" max="12" width="13.1640625" style="71" customWidth="1"/>
    <col min="13" max="13" width="8" style="213" customWidth="1"/>
    <col min="14" max="14" width="30.83203125" style="71" customWidth="1"/>
    <col min="15" max="15" width="22.83203125" style="71" customWidth="1"/>
    <col min="16" max="16" width="12.83203125" style="71" customWidth="1"/>
    <col min="17" max="17" width="27.5" style="71" customWidth="1"/>
    <col min="18" max="18" width="17.6640625" style="71" customWidth="1"/>
    <col min="19" max="20" width="13.83203125" style="71" customWidth="1"/>
    <col min="21" max="21" width="24" style="71" customWidth="1"/>
    <col min="22" max="22" width="11.5" style="71"/>
    <col min="23" max="23" width="13.83203125" style="71" customWidth="1"/>
    <col min="24" max="16384" width="11.5" style="71"/>
  </cols>
  <sheetData>
    <row r="1" spans="1:26" s="65" customFormat="1" ht="21" x14ac:dyDescent="0.2">
      <c r="A1" s="64" t="s">
        <v>641</v>
      </c>
      <c r="M1" s="212"/>
    </row>
    <row r="2" spans="1:26" s="65" customFormat="1" ht="20" thickBot="1" x14ac:dyDescent="0.25">
      <c r="B2" s="66"/>
      <c r="M2" s="212"/>
    </row>
    <row r="3" spans="1:26" s="65" customFormat="1" ht="19" x14ac:dyDescent="0.2">
      <c r="A3" s="67" t="s">
        <v>258</v>
      </c>
      <c r="B3" s="68" t="s">
        <v>259</v>
      </c>
      <c r="C3" s="69"/>
      <c r="D3" s="70"/>
      <c r="F3" s="72" t="s">
        <v>640</v>
      </c>
      <c r="G3" s="69"/>
      <c r="H3" s="70"/>
      <c r="I3" s="71"/>
      <c r="J3" s="68" t="s">
        <v>260</v>
      </c>
      <c r="K3" s="69"/>
      <c r="L3" s="70"/>
      <c r="N3" s="71" t="s">
        <v>333</v>
      </c>
      <c r="O3" s="71"/>
      <c r="P3" s="227"/>
      <c r="Q3" s="213"/>
      <c r="U3" s="71"/>
      <c r="V3" s="71"/>
      <c r="W3" s="71"/>
      <c r="Y3" s="97"/>
    </row>
    <row r="4" spans="1:26" ht="32" x14ac:dyDescent="0.2">
      <c r="B4" s="73" t="s">
        <v>261</v>
      </c>
      <c r="C4" s="74" t="s">
        <v>262</v>
      </c>
      <c r="D4" s="75" t="s">
        <v>263</v>
      </c>
      <c r="F4" s="73" t="s">
        <v>261</v>
      </c>
      <c r="G4" s="74" t="s">
        <v>262</v>
      </c>
      <c r="H4" s="75" t="s">
        <v>263</v>
      </c>
      <c r="J4" s="73" t="s">
        <v>261</v>
      </c>
      <c r="K4" s="74" t="s">
        <v>262</v>
      </c>
      <c r="L4" s="75" t="s">
        <v>263</v>
      </c>
      <c r="M4" s="71"/>
      <c r="N4" s="98" t="s">
        <v>513</v>
      </c>
      <c r="O4" s="214" t="s">
        <v>262</v>
      </c>
      <c r="P4" s="98" t="s">
        <v>335</v>
      </c>
      <c r="Q4" s="213"/>
      <c r="V4" s="338"/>
    </row>
    <row r="5" spans="1:26" ht="32" x14ac:dyDescent="0.2">
      <c r="B5" s="73" t="s">
        <v>264</v>
      </c>
      <c r="C5" s="477">
        <f>IF(Macro!$D$8=1,2500,IF(Macro!$D$8=2,25000,75000))</f>
        <v>25000</v>
      </c>
      <c r="D5" s="75" t="s">
        <v>274</v>
      </c>
      <c r="F5" s="73" t="s">
        <v>264</v>
      </c>
      <c r="G5" s="215" t="e">
        <f>C61</f>
        <v>#DIV/0!</v>
      </c>
      <c r="H5" s="75" t="s">
        <v>337</v>
      </c>
      <c r="J5" s="73" t="s">
        <v>266</v>
      </c>
      <c r="K5" s="809">
        <v>3</v>
      </c>
      <c r="L5" s="75" t="s">
        <v>642</v>
      </c>
      <c r="M5" s="71"/>
      <c r="N5" s="74" t="s">
        <v>245</v>
      </c>
      <c r="O5" s="837">
        <v>0.01</v>
      </c>
      <c r="P5" s="216">
        <v>0.02</v>
      </c>
      <c r="Q5" s="213"/>
      <c r="R5" s="339"/>
      <c r="V5" s="338"/>
      <c r="Z5" s="95"/>
    </row>
    <row r="6" spans="1:26" ht="30.5" customHeight="1" x14ac:dyDescent="0.2">
      <c r="B6" s="73" t="s">
        <v>268</v>
      </c>
      <c r="C6" s="78" t="e">
        <f>C5*1000/Battery!C3</f>
        <v>#DIV/0!</v>
      </c>
      <c r="D6" s="75" t="s">
        <v>196</v>
      </c>
      <c r="F6" s="86" t="s">
        <v>264</v>
      </c>
      <c r="G6" s="217" t="e">
        <f>G5/G7/G8</f>
        <v>#DIV/0!</v>
      </c>
      <c r="H6" s="88" t="s">
        <v>515</v>
      </c>
      <c r="J6" s="73" t="s">
        <v>269</v>
      </c>
      <c r="K6" s="810">
        <v>0.5</v>
      </c>
      <c r="L6" s="75" t="s">
        <v>643</v>
      </c>
      <c r="M6" s="71"/>
      <c r="N6" s="74" t="s">
        <v>390</v>
      </c>
      <c r="O6" s="837">
        <v>0.01</v>
      </c>
      <c r="P6" s="216">
        <v>0.02</v>
      </c>
      <c r="Q6" s="213"/>
      <c r="R6" s="340"/>
      <c r="V6" s="338"/>
      <c r="Z6" s="92"/>
    </row>
    <row r="7" spans="1:26" ht="32" x14ac:dyDescent="0.2">
      <c r="B7" s="73" t="s">
        <v>271</v>
      </c>
      <c r="C7" s="807">
        <v>5</v>
      </c>
      <c r="D7" s="75" t="s">
        <v>644</v>
      </c>
      <c r="F7" s="73" t="s">
        <v>645</v>
      </c>
      <c r="G7" s="74" t="str">
        <f>Macro!D16</f>
        <v>330</v>
      </c>
      <c r="H7" s="75" t="s">
        <v>519</v>
      </c>
      <c r="J7" s="73" t="s">
        <v>273</v>
      </c>
      <c r="K7" s="81" t="e">
        <f>C87+F88+F89</f>
        <v>#DIV/0!</v>
      </c>
      <c r="L7" s="75" t="s">
        <v>514</v>
      </c>
      <c r="M7" s="218"/>
      <c r="N7" s="74" t="s">
        <v>559</v>
      </c>
      <c r="O7" s="837">
        <v>5.0000000000000001E-3</v>
      </c>
      <c r="P7" s="216">
        <v>0.01</v>
      </c>
      <c r="Q7" s="213"/>
      <c r="R7" s="92"/>
      <c r="V7" s="341"/>
      <c r="Z7" s="219"/>
    </row>
    <row r="8" spans="1:26" ht="33" thickBot="1" x14ac:dyDescent="0.25">
      <c r="B8" s="79" t="s">
        <v>646</v>
      </c>
      <c r="C8" s="836">
        <v>3</v>
      </c>
      <c r="D8" s="80" t="s">
        <v>276</v>
      </c>
      <c r="F8" s="79" t="s">
        <v>521</v>
      </c>
      <c r="G8" s="96">
        <f>Macro!D20*8</f>
        <v>24</v>
      </c>
      <c r="H8" s="80" t="s">
        <v>522</v>
      </c>
      <c r="J8" s="73" t="s">
        <v>277</v>
      </c>
      <c r="K8" s="76" t="e">
        <f>K7/K5</f>
        <v>#DIV/0!</v>
      </c>
      <c r="L8" s="75" t="s">
        <v>196</v>
      </c>
      <c r="M8" s="95"/>
      <c r="Q8" s="213"/>
      <c r="R8" s="342"/>
      <c r="Z8" s="95"/>
    </row>
    <row r="9" spans="1:26" ht="16" x14ac:dyDescent="0.2">
      <c r="C9" s="82"/>
      <c r="D9" s="82"/>
      <c r="I9" s="92"/>
      <c r="J9" s="73" t="s">
        <v>278</v>
      </c>
      <c r="K9" s="810">
        <v>9.968</v>
      </c>
      <c r="L9" s="75" t="s">
        <v>279</v>
      </c>
      <c r="Q9" s="92"/>
      <c r="R9" s="343"/>
      <c r="T9" s="237"/>
      <c r="V9" s="92"/>
    </row>
    <row r="10" spans="1:26" ht="16" x14ac:dyDescent="0.2">
      <c r="C10" s="82"/>
      <c r="D10" s="82"/>
      <c r="I10" s="92"/>
      <c r="J10" s="73" t="s">
        <v>647</v>
      </c>
      <c r="K10" s="810">
        <v>1.429</v>
      </c>
      <c r="L10" s="75" t="s">
        <v>281</v>
      </c>
      <c r="Q10" s="92"/>
      <c r="R10" s="343"/>
      <c r="T10" s="237"/>
      <c r="V10" s="92"/>
    </row>
    <row r="11" spans="1:26" x14ac:dyDescent="0.2">
      <c r="C11" s="82"/>
      <c r="D11" s="82"/>
      <c r="I11" s="92"/>
      <c r="J11" s="83"/>
      <c r="K11" s="84"/>
      <c r="L11" s="85"/>
      <c r="Q11" s="92"/>
      <c r="R11" s="343"/>
      <c r="T11" s="237"/>
      <c r="V11" s="92"/>
    </row>
    <row r="12" spans="1:26" ht="16" x14ac:dyDescent="0.2">
      <c r="C12" s="82"/>
      <c r="D12" s="82"/>
      <c r="I12" s="92"/>
      <c r="J12" s="89" t="s">
        <v>282</v>
      </c>
      <c r="K12" s="90" t="s">
        <v>523</v>
      </c>
      <c r="L12" s="91" t="s">
        <v>648</v>
      </c>
      <c r="Q12" s="92"/>
      <c r="R12" s="343"/>
      <c r="T12" s="237"/>
      <c r="V12" s="92"/>
    </row>
    <row r="13" spans="1:26" ht="14.5" customHeight="1" x14ac:dyDescent="0.2">
      <c r="C13" s="82"/>
      <c r="D13" s="82"/>
      <c r="I13" s="92"/>
      <c r="J13" s="331" t="s">
        <v>546</v>
      </c>
      <c r="K13" s="813">
        <v>61</v>
      </c>
      <c r="L13" s="75" t="s">
        <v>285</v>
      </c>
      <c r="N13" s="71" t="s">
        <v>283</v>
      </c>
      <c r="Q13" s="92"/>
      <c r="R13" s="343"/>
      <c r="T13" s="237"/>
      <c r="V13" s="92"/>
    </row>
    <row r="14" spans="1:26" ht="16" x14ac:dyDescent="0.2">
      <c r="C14" s="82"/>
      <c r="D14" s="82"/>
      <c r="I14" s="92"/>
      <c r="J14" s="73" t="s">
        <v>286</v>
      </c>
      <c r="K14" s="813">
        <v>25.7</v>
      </c>
      <c r="L14" s="75" t="s">
        <v>285</v>
      </c>
      <c r="Q14" s="92"/>
      <c r="R14" s="343"/>
      <c r="T14" s="237"/>
      <c r="V14" s="92"/>
    </row>
    <row r="15" spans="1:26" ht="16" x14ac:dyDescent="0.2">
      <c r="C15" s="82"/>
      <c r="D15" s="82"/>
      <c r="I15" s="92"/>
      <c r="J15" s="73" t="s">
        <v>287</v>
      </c>
      <c r="K15" s="813">
        <v>13.3</v>
      </c>
      <c r="L15" s="75" t="s">
        <v>285</v>
      </c>
      <c r="Q15" s="92"/>
      <c r="R15" s="343"/>
      <c r="T15" s="237"/>
      <c r="V15" s="92"/>
    </row>
    <row r="16" spans="1:26" ht="16" x14ac:dyDescent="0.2">
      <c r="C16" s="82"/>
      <c r="D16" s="82"/>
      <c r="I16" s="92"/>
      <c r="J16" s="73" t="s">
        <v>73</v>
      </c>
      <c r="K16" s="813">
        <v>422</v>
      </c>
      <c r="L16" s="75" t="s">
        <v>288</v>
      </c>
      <c r="Q16" s="92"/>
      <c r="R16" s="343"/>
      <c r="T16" s="237"/>
      <c r="V16" s="92"/>
    </row>
    <row r="17" spans="1:22" ht="16" x14ac:dyDescent="0.2">
      <c r="C17" s="82"/>
      <c r="D17" s="82"/>
      <c r="I17" s="92"/>
      <c r="J17" s="73" t="s">
        <v>649</v>
      </c>
      <c r="K17" s="813">
        <v>410</v>
      </c>
      <c r="L17" s="75" t="s">
        <v>288</v>
      </c>
      <c r="Q17" s="92"/>
      <c r="R17" s="343"/>
      <c r="T17" s="237"/>
      <c r="V17" s="92"/>
    </row>
    <row r="18" spans="1:22" ht="16" x14ac:dyDescent="0.2">
      <c r="C18" s="82"/>
      <c r="D18" s="82"/>
      <c r="I18" s="92"/>
      <c r="J18" s="73" t="s">
        <v>289</v>
      </c>
      <c r="K18" s="813">
        <v>21.2</v>
      </c>
      <c r="L18" s="75" t="s">
        <v>285</v>
      </c>
      <c r="Q18" s="92"/>
      <c r="R18" s="343"/>
      <c r="T18" s="237"/>
      <c r="V18" s="92"/>
    </row>
    <row r="19" spans="1:22" ht="16" x14ac:dyDescent="0.2">
      <c r="C19" s="82"/>
      <c r="D19" s="82"/>
      <c r="I19" s="92"/>
      <c r="J19" s="73" t="s">
        <v>107</v>
      </c>
      <c r="K19" s="814">
        <v>58.2</v>
      </c>
      <c r="L19" s="75" t="s">
        <v>285</v>
      </c>
      <c r="Q19" s="92"/>
      <c r="R19" s="343"/>
      <c r="T19" s="237"/>
      <c r="V19" s="92"/>
    </row>
    <row r="20" spans="1:22" ht="17" thickBot="1" x14ac:dyDescent="0.25">
      <c r="C20" s="82"/>
      <c r="D20" s="82"/>
      <c r="I20" s="92"/>
      <c r="J20" s="79" t="s">
        <v>290</v>
      </c>
      <c r="K20" s="815">
        <v>1.9</v>
      </c>
      <c r="L20" s="80" t="s">
        <v>285</v>
      </c>
      <c r="Q20" s="92"/>
      <c r="R20" s="343"/>
      <c r="T20" s="237"/>
      <c r="V20" s="92"/>
    </row>
    <row r="21" spans="1:22" x14ac:dyDescent="0.2">
      <c r="C21" s="82"/>
      <c r="D21" s="82"/>
      <c r="I21" s="92"/>
      <c r="J21" s="92"/>
      <c r="Q21" s="92"/>
      <c r="R21" s="343"/>
      <c r="T21" s="237"/>
      <c r="V21" s="92"/>
    </row>
    <row r="22" spans="1:22" x14ac:dyDescent="0.2">
      <c r="C22" s="82"/>
      <c r="D22" s="82"/>
      <c r="I22" s="92"/>
      <c r="J22" s="92"/>
      <c r="Q22" s="92"/>
      <c r="R22" s="343"/>
      <c r="T22" s="237"/>
      <c r="V22" s="92"/>
    </row>
    <row r="23" spans="1:22" x14ac:dyDescent="0.2">
      <c r="C23" s="82"/>
      <c r="D23" s="82"/>
      <c r="I23" s="92"/>
      <c r="J23" s="92"/>
      <c r="V23" s="92"/>
    </row>
    <row r="24" spans="1:22" x14ac:dyDescent="0.2">
      <c r="C24" s="220"/>
      <c r="D24" s="220"/>
      <c r="R24" s="338"/>
      <c r="V24" s="92"/>
    </row>
    <row r="25" spans="1:22" x14ac:dyDescent="0.2">
      <c r="A25" s="97" t="s">
        <v>291</v>
      </c>
      <c r="C25" s="221"/>
      <c r="D25" s="221"/>
    </row>
    <row r="26" spans="1:22" ht="16" x14ac:dyDescent="0.2">
      <c r="A26" s="98" t="s">
        <v>292</v>
      </c>
      <c r="B26" s="99" t="s">
        <v>13</v>
      </c>
      <c r="C26" s="99" t="s">
        <v>262</v>
      </c>
      <c r="D26" s="99" t="s">
        <v>263</v>
      </c>
      <c r="E26" s="100" t="s">
        <v>293</v>
      </c>
      <c r="F26" s="100" t="s">
        <v>262</v>
      </c>
      <c r="G26" s="101" t="s">
        <v>263</v>
      </c>
      <c r="H26" s="102" t="s">
        <v>294</v>
      </c>
      <c r="I26" s="102" t="s">
        <v>262</v>
      </c>
      <c r="J26" s="102" t="s">
        <v>263</v>
      </c>
      <c r="K26" s="103" t="s">
        <v>295</v>
      </c>
      <c r="L26" s="103" t="s">
        <v>262</v>
      </c>
      <c r="M26" s="104" t="s">
        <v>263</v>
      </c>
      <c r="N26" s="98" t="s">
        <v>296</v>
      </c>
      <c r="O26" s="98" t="s">
        <v>309</v>
      </c>
      <c r="V26" s="82"/>
    </row>
    <row r="27" spans="1:22" ht="16" x14ac:dyDescent="0.2">
      <c r="A27" s="107" t="s">
        <v>297</v>
      </c>
      <c r="B27" s="87"/>
      <c r="C27" s="87"/>
      <c r="D27" s="87"/>
      <c r="E27" s="87"/>
      <c r="F27" s="87"/>
      <c r="G27" s="87"/>
      <c r="H27" s="87"/>
      <c r="I27" s="87"/>
      <c r="J27" s="87"/>
      <c r="K27" s="87"/>
      <c r="L27" s="87"/>
      <c r="M27" s="108"/>
      <c r="N27" s="87"/>
      <c r="O27" s="111"/>
      <c r="P27" s="105"/>
      <c r="V27" s="92"/>
    </row>
    <row r="28" spans="1:22" ht="16" x14ac:dyDescent="0.2">
      <c r="A28" s="109"/>
      <c r="B28" s="109" t="s">
        <v>1089</v>
      </c>
      <c r="C28" s="344">
        <f>C5</f>
        <v>25000</v>
      </c>
      <c r="D28" s="110" t="s">
        <v>299</v>
      </c>
      <c r="E28" s="111"/>
      <c r="F28" s="111"/>
      <c r="G28" s="111"/>
      <c r="H28" s="111"/>
      <c r="I28" s="111"/>
      <c r="J28" s="111"/>
      <c r="K28" s="111"/>
      <c r="L28" s="111"/>
      <c r="M28" s="112"/>
      <c r="N28" s="111"/>
      <c r="O28" s="111"/>
      <c r="V28" s="92"/>
    </row>
    <row r="29" spans="1:22" ht="16" x14ac:dyDescent="0.2">
      <c r="A29" s="109"/>
      <c r="B29" s="109"/>
      <c r="C29" s="344"/>
      <c r="D29" s="110"/>
      <c r="E29" s="111"/>
      <c r="F29" s="111"/>
      <c r="G29" s="111"/>
      <c r="H29" s="111"/>
      <c r="I29" s="111"/>
      <c r="J29" s="111"/>
      <c r="K29" s="111" t="s">
        <v>52</v>
      </c>
      <c r="L29" s="337" t="e">
        <f>C6*C7</f>
        <v>#DIV/0!</v>
      </c>
      <c r="M29" s="222" t="s">
        <v>233</v>
      </c>
      <c r="N29" s="111"/>
      <c r="O29" s="111"/>
      <c r="V29" s="92"/>
    </row>
    <row r="30" spans="1:22" x14ac:dyDescent="0.2">
      <c r="A30" s="114"/>
      <c r="B30" s="114"/>
      <c r="C30" s="345"/>
      <c r="D30" s="115"/>
      <c r="E30" s="94"/>
      <c r="F30" s="94"/>
      <c r="G30" s="94"/>
      <c r="H30" s="94"/>
      <c r="I30" s="94"/>
      <c r="J30" s="94"/>
      <c r="K30" s="94"/>
      <c r="L30" s="346"/>
      <c r="M30" s="224"/>
      <c r="N30" s="94"/>
      <c r="O30" s="94"/>
      <c r="V30" s="218"/>
    </row>
    <row r="31" spans="1:22" ht="16" x14ac:dyDescent="0.2">
      <c r="A31" s="761" t="s">
        <v>650</v>
      </c>
      <c r="B31" s="87"/>
      <c r="C31" s="347"/>
      <c r="E31" s="111"/>
      <c r="F31" s="111"/>
      <c r="G31" s="111"/>
      <c r="H31" s="111"/>
      <c r="I31" s="111"/>
      <c r="J31" s="111"/>
      <c r="K31" s="111"/>
      <c r="L31" s="281"/>
      <c r="M31" s="112"/>
      <c r="N31" s="111"/>
      <c r="O31" s="111"/>
    </row>
    <row r="32" spans="1:22" ht="16" x14ac:dyDescent="0.2">
      <c r="A32" s="111"/>
      <c r="B32" s="109" t="s">
        <v>1089</v>
      </c>
      <c r="C32" s="344">
        <f>C28</f>
        <v>25000</v>
      </c>
      <c r="D32" s="110" t="s">
        <v>299</v>
      </c>
      <c r="E32" s="111"/>
      <c r="F32" s="111"/>
      <c r="G32" s="111"/>
      <c r="H32" s="111"/>
      <c r="I32" s="111"/>
      <c r="J32" s="111"/>
      <c r="K32" s="111"/>
      <c r="L32" s="281"/>
      <c r="M32" s="112"/>
      <c r="N32" s="111"/>
      <c r="O32" s="111"/>
    </row>
    <row r="33" spans="1:18" ht="32" x14ac:dyDescent="0.2">
      <c r="A33" s="111"/>
      <c r="B33" s="109"/>
      <c r="C33" s="110"/>
      <c r="D33" s="110"/>
      <c r="E33" s="111"/>
      <c r="F33" s="111"/>
      <c r="G33" s="111"/>
      <c r="H33" s="111"/>
      <c r="I33" s="111"/>
      <c r="J33" s="111"/>
      <c r="K33" s="111" t="s">
        <v>300</v>
      </c>
      <c r="L33" s="337" t="e">
        <f>$C$5*Battery!E34*Efficiencies!E72</f>
        <v>#DIV/0!</v>
      </c>
      <c r="M33" s="222" t="s">
        <v>299</v>
      </c>
      <c r="N33" s="111" t="s">
        <v>651</v>
      </c>
      <c r="O33" s="111"/>
    </row>
    <row r="34" spans="1:18" ht="15" customHeight="1" x14ac:dyDescent="0.2">
      <c r="A34" s="111"/>
      <c r="B34" s="109"/>
      <c r="C34" s="111"/>
      <c r="D34" s="111"/>
      <c r="E34" s="111"/>
      <c r="F34" s="111"/>
      <c r="G34" s="111"/>
      <c r="H34" s="111"/>
      <c r="I34" s="111"/>
      <c r="J34" s="111"/>
      <c r="K34" s="111" t="s">
        <v>652</v>
      </c>
      <c r="L34" s="337" t="e">
        <f>$C$5*Battery!E35*Efficiencies!E72</f>
        <v>#DIV/0!</v>
      </c>
      <c r="M34" s="222" t="s">
        <v>299</v>
      </c>
      <c r="N34" s="111"/>
      <c r="O34" s="111"/>
    </row>
    <row r="35" spans="1:18" ht="16" x14ac:dyDescent="0.2">
      <c r="A35" s="111"/>
      <c r="B35" s="109"/>
      <c r="C35" s="111"/>
      <c r="D35" s="111"/>
      <c r="E35" s="111"/>
      <c r="F35" s="111"/>
      <c r="G35" s="111"/>
      <c r="H35" s="111"/>
      <c r="I35" s="111"/>
      <c r="J35" s="111"/>
      <c r="K35" s="111" t="s">
        <v>253</v>
      </c>
      <c r="L35" s="337" t="e">
        <f>$C$5*Battery!E36*Efficiencies!E72</f>
        <v>#DIV/0!</v>
      </c>
      <c r="M35" s="222" t="s">
        <v>299</v>
      </c>
      <c r="N35" s="111"/>
      <c r="O35" s="111"/>
    </row>
    <row r="36" spans="1:18" ht="16" x14ac:dyDescent="0.2">
      <c r="A36" s="111"/>
      <c r="B36" s="109"/>
      <c r="C36" s="111"/>
      <c r="D36" s="111"/>
      <c r="E36" s="111"/>
      <c r="F36" s="111"/>
      <c r="G36" s="111"/>
      <c r="H36" s="111"/>
      <c r="I36" s="111"/>
      <c r="J36" s="111"/>
      <c r="K36" s="111" t="s">
        <v>178</v>
      </c>
      <c r="L36" s="337" t="e">
        <f>$C$5*Battery!E37*Efficiencies!E72</f>
        <v>#DIV/0!</v>
      </c>
      <c r="M36" s="222" t="s">
        <v>299</v>
      </c>
      <c r="N36" s="111" t="s">
        <v>303</v>
      </c>
      <c r="O36" s="111"/>
    </row>
    <row r="37" spans="1:18" ht="32" x14ac:dyDescent="0.2">
      <c r="A37" s="111"/>
      <c r="B37" s="109"/>
      <c r="C37" s="111"/>
      <c r="D37" s="111"/>
      <c r="E37" s="111"/>
      <c r="F37" s="111"/>
      <c r="G37" s="111"/>
      <c r="H37" s="111"/>
      <c r="I37" s="111"/>
      <c r="J37" s="111"/>
      <c r="K37" s="111" t="s">
        <v>254</v>
      </c>
      <c r="L37" s="337" t="e">
        <f>$C$5*Battery!E38*Efficiencies!E72</f>
        <v>#DIV/0!</v>
      </c>
      <c r="M37" s="222" t="s">
        <v>299</v>
      </c>
      <c r="N37" s="111" t="s">
        <v>304</v>
      </c>
      <c r="O37" s="111"/>
    </row>
    <row r="38" spans="1:18" s="105" customFormat="1" ht="16" x14ac:dyDescent="0.2">
      <c r="A38" s="111"/>
      <c r="B38" s="109"/>
      <c r="C38" s="111"/>
      <c r="D38" s="111"/>
      <c r="E38" s="111"/>
      <c r="F38" s="111"/>
      <c r="G38" s="111"/>
      <c r="H38" s="111"/>
      <c r="I38" s="111"/>
      <c r="J38" s="111"/>
      <c r="K38" s="111" t="s">
        <v>180</v>
      </c>
      <c r="L38" s="337" t="e">
        <f>$C$5*Battery!E39*Efficiencies!E72</f>
        <v>#DIV/0!</v>
      </c>
      <c r="M38" s="222" t="s">
        <v>299</v>
      </c>
      <c r="N38" s="111" t="s">
        <v>305</v>
      </c>
      <c r="O38" s="111"/>
      <c r="P38" s="71"/>
      <c r="Q38" s="106"/>
    </row>
    <row r="39" spans="1:18" ht="33" thickBot="1" x14ac:dyDescent="0.25">
      <c r="A39" s="111"/>
      <c r="B39" s="109"/>
      <c r="C39" s="111"/>
      <c r="D39" s="111"/>
      <c r="E39" s="111"/>
      <c r="F39" s="111"/>
      <c r="G39" s="111"/>
      <c r="H39" s="111"/>
      <c r="I39" s="111"/>
      <c r="J39" s="111"/>
      <c r="K39" s="111" t="s">
        <v>306</v>
      </c>
      <c r="L39" s="337" t="e">
        <f>$C$5*Battery!E40*Efficiencies!E72</f>
        <v>#DIV/0!</v>
      </c>
      <c r="M39" s="222" t="s">
        <v>299</v>
      </c>
      <c r="N39" s="111" t="s">
        <v>653</v>
      </c>
      <c r="O39" s="111"/>
    </row>
    <row r="40" spans="1:18" ht="16" x14ac:dyDescent="0.2">
      <c r="A40" s="111"/>
      <c r="B40" s="109"/>
      <c r="C40" s="111"/>
      <c r="D40" s="111"/>
      <c r="E40" s="111"/>
      <c r="F40" s="111"/>
      <c r="G40" s="111"/>
      <c r="H40" s="111"/>
      <c r="I40" s="111"/>
      <c r="J40" s="111"/>
      <c r="K40" s="694" t="s">
        <v>654</v>
      </c>
      <c r="L40" s="695" t="e">
        <f>$C$5*Battery!E25*Efficiencies!E72</f>
        <v>#DIV/0!</v>
      </c>
      <c r="M40" s="696" t="s">
        <v>299</v>
      </c>
      <c r="N40" s="694" t="s">
        <v>655</v>
      </c>
      <c r="O40" s="694"/>
    </row>
    <row r="41" spans="1:18" ht="16" x14ac:dyDescent="0.2">
      <c r="A41" s="111"/>
      <c r="B41" s="109"/>
      <c r="C41" s="111"/>
      <c r="D41" s="111"/>
      <c r="E41" s="111"/>
      <c r="F41" s="111"/>
      <c r="G41" s="111"/>
      <c r="H41" s="111"/>
      <c r="I41" s="111"/>
      <c r="J41" s="111"/>
      <c r="K41" s="111" t="s">
        <v>652</v>
      </c>
      <c r="L41" s="337" t="e">
        <f>$C$5*Battery!E26*Efficiencies!E72</f>
        <v>#DIV/0!</v>
      </c>
      <c r="M41" s="222" t="s">
        <v>299</v>
      </c>
      <c r="N41" s="111"/>
      <c r="O41" s="111"/>
    </row>
    <row r="42" spans="1:18" ht="16" x14ac:dyDescent="0.2">
      <c r="A42" s="111"/>
      <c r="B42" s="109"/>
      <c r="C42" s="111"/>
      <c r="D42" s="111"/>
      <c r="E42" s="111"/>
      <c r="F42" s="111"/>
      <c r="G42" s="111"/>
      <c r="H42" s="111"/>
      <c r="I42" s="111"/>
      <c r="J42" s="111"/>
      <c r="K42" s="111" t="s">
        <v>180</v>
      </c>
      <c r="L42" s="337" t="e">
        <f>$C$5*Battery!E27*Efficiencies!E72</f>
        <v>#DIV/0!</v>
      </c>
      <c r="M42" s="222" t="s">
        <v>299</v>
      </c>
      <c r="N42" s="111"/>
      <c r="O42" s="111"/>
    </row>
    <row r="43" spans="1:18" ht="16" x14ac:dyDescent="0.2">
      <c r="A43" s="94"/>
      <c r="B43" s="114"/>
      <c r="C43" s="94"/>
      <c r="D43" s="94"/>
      <c r="E43" s="94"/>
      <c r="F43" s="94"/>
      <c r="G43" s="94"/>
      <c r="H43" s="94"/>
      <c r="I43" s="94"/>
      <c r="J43" s="94"/>
      <c r="K43" s="94" t="s">
        <v>178</v>
      </c>
      <c r="L43" s="346" t="e">
        <f>$C$5*Battery!E28*Efficiencies!E72</f>
        <v>#DIV/0!</v>
      </c>
      <c r="M43" s="224" t="s">
        <v>299</v>
      </c>
      <c r="N43" s="94"/>
      <c r="O43" s="94"/>
    </row>
    <row r="44" spans="1:18" x14ac:dyDescent="0.2">
      <c r="L44" s="348"/>
    </row>
    <row r="45" spans="1:18" ht="16" x14ac:dyDescent="0.2">
      <c r="A45" s="786" t="s">
        <v>656</v>
      </c>
      <c r="L45" s="348"/>
    </row>
    <row r="46" spans="1:18" ht="18" customHeight="1" x14ac:dyDescent="0.2">
      <c r="A46" s="225" t="s">
        <v>292</v>
      </c>
      <c r="B46" s="99" t="s">
        <v>13</v>
      </c>
      <c r="C46" s="99" t="s">
        <v>262</v>
      </c>
      <c r="D46" s="99" t="s">
        <v>263</v>
      </c>
      <c r="E46" s="100" t="s">
        <v>293</v>
      </c>
      <c r="F46" s="100" t="s">
        <v>262</v>
      </c>
      <c r="G46" s="101" t="s">
        <v>263</v>
      </c>
      <c r="H46" s="102" t="s">
        <v>294</v>
      </c>
      <c r="I46" s="102" t="s">
        <v>262</v>
      </c>
      <c r="J46" s="102" t="s">
        <v>263</v>
      </c>
      <c r="K46" s="103" t="s">
        <v>295</v>
      </c>
      <c r="L46" s="349" t="s">
        <v>523</v>
      </c>
      <c r="M46" s="104" t="s">
        <v>648</v>
      </c>
      <c r="N46" s="98" t="s">
        <v>296</v>
      </c>
      <c r="O46" s="98" t="s">
        <v>309</v>
      </c>
      <c r="Q46" s="92"/>
    </row>
    <row r="47" spans="1:18" ht="16" x14ac:dyDescent="0.2">
      <c r="A47" s="107" t="s">
        <v>195</v>
      </c>
      <c r="B47" s="87"/>
      <c r="C47" s="347"/>
      <c r="D47" s="87"/>
      <c r="E47" s="87"/>
      <c r="F47" s="226"/>
      <c r="G47" s="226"/>
      <c r="H47" s="87"/>
      <c r="I47" s="87"/>
      <c r="J47" s="87"/>
      <c r="K47" s="87"/>
      <c r="L47" s="347"/>
      <c r="M47" s="108"/>
      <c r="N47" s="87" t="s">
        <v>657</v>
      </c>
      <c r="O47" s="111"/>
      <c r="Q47" s="92"/>
      <c r="R47" s="350"/>
    </row>
    <row r="48" spans="1:18" ht="16" x14ac:dyDescent="0.2">
      <c r="A48" s="109"/>
      <c r="B48" s="111" t="s">
        <v>658</v>
      </c>
      <c r="C48" s="281" t="e">
        <f>C5-SUM(L33:L43)</f>
        <v>#DIV/0!</v>
      </c>
      <c r="D48" s="111" t="s">
        <v>299</v>
      </c>
      <c r="E48" s="111"/>
      <c r="F48" s="110"/>
      <c r="G48" s="110"/>
      <c r="H48" s="111"/>
      <c r="I48" s="111"/>
      <c r="J48" s="111"/>
      <c r="K48" s="111"/>
      <c r="L48" s="281"/>
      <c r="M48" s="112"/>
      <c r="N48" s="111"/>
      <c r="O48" s="111"/>
      <c r="Q48" s="92"/>
      <c r="R48" s="350"/>
    </row>
    <row r="49" spans="1:18" ht="16" x14ac:dyDescent="0.2">
      <c r="A49" s="109"/>
      <c r="B49" s="111"/>
      <c r="C49" s="281"/>
      <c r="D49" s="111"/>
      <c r="F49" s="110"/>
      <c r="G49" s="110"/>
      <c r="H49" s="111" t="s">
        <v>52</v>
      </c>
      <c r="I49" s="351" t="e">
        <f>Energy!O91</f>
        <v>#DIV/0!</v>
      </c>
      <c r="J49" s="111" t="s">
        <v>233</v>
      </c>
      <c r="K49" s="111"/>
      <c r="L49" s="281"/>
      <c r="M49" s="112"/>
      <c r="N49" s="111"/>
      <c r="O49" s="111"/>
      <c r="Q49" s="92"/>
      <c r="R49" s="352"/>
    </row>
    <row r="50" spans="1:18" ht="16" x14ac:dyDescent="0.2">
      <c r="A50" s="109"/>
      <c r="B50" s="111"/>
      <c r="C50" s="281"/>
      <c r="D50" s="111"/>
      <c r="F50" s="110"/>
      <c r="G50" s="110"/>
      <c r="H50" s="111"/>
      <c r="I50" s="111"/>
      <c r="J50" s="111"/>
      <c r="K50" s="111" t="s">
        <v>658</v>
      </c>
      <c r="L50" s="353" t="e">
        <f>C48-L51</f>
        <v>#DIV/0!</v>
      </c>
      <c r="M50" s="112" t="s">
        <v>299</v>
      </c>
      <c r="N50" s="111"/>
      <c r="O50" s="111"/>
    </row>
    <row r="51" spans="1:18" ht="16" x14ac:dyDescent="0.2">
      <c r="A51" s="109"/>
      <c r="B51" s="111"/>
      <c r="C51" s="281"/>
      <c r="D51" s="111"/>
      <c r="F51" s="110"/>
      <c r="G51" s="110"/>
      <c r="H51" s="111"/>
      <c r="I51" s="111"/>
      <c r="J51" s="111"/>
      <c r="K51" s="111" t="s">
        <v>531</v>
      </c>
      <c r="L51" s="353" t="e">
        <f>C5*Battery!E19+C5*Battery!E18+C5*Battery!E21</f>
        <v>#DIV/0!</v>
      </c>
      <c r="M51" s="112" t="s">
        <v>299</v>
      </c>
      <c r="N51" s="111"/>
      <c r="O51" s="111"/>
    </row>
    <row r="52" spans="1:18" x14ac:dyDescent="0.2">
      <c r="A52" s="114"/>
      <c r="B52" s="94"/>
      <c r="C52" s="354"/>
      <c r="D52" s="94"/>
      <c r="E52" s="227"/>
      <c r="F52" s="223"/>
      <c r="G52" s="223"/>
      <c r="H52" s="94"/>
      <c r="I52" s="94"/>
      <c r="J52" s="94"/>
      <c r="K52" s="94"/>
      <c r="L52" s="354"/>
      <c r="M52" s="228"/>
      <c r="N52" s="94"/>
      <c r="O52" s="94"/>
    </row>
    <row r="53" spans="1:18" ht="16" x14ac:dyDescent="0.2">
      <c r="A53" s="87" t="s">
        <v>197</v>
      </c>
      <c r="B53" s="87"/>
      <c r="C53" s="347"/>
      <c r="D53" s="87"/>
      <c r="E53" s="627"/>
      <c r="F53" s="226"/>
      <c r="G53" s="226"/>
      <c r="H53" s="87"/>
      <c r="I53" s="87"/>
      <c r="J53" s="87"/>
      <c r="K53" s="87"/>
      <c r="L53" s="347"/>
      <c r="M53" s="108"/>
      <c r="N53" s="87"/>
      <c r="O53" s="87"/>
    </row>
    <row r="54" spans="1:18" ht="32" x14ac:dyDescent="0.2">
      <c r="A54" s="111"/>
      <c r="B54" s="111" t="s">
        <v>531</v>
      </c>
      <c r="C54" s="281" t="e">
        <f>(L51)/O54</f>
        <v>#DIV/0!</v>
      </c>
      <c r="D54" s="111" t="s">
        <v>312</v>
      </c>
      <c r="F54" s="118"/>
      <c r="G54" s="118"/>
      <c r="H54" s="111"/>
      <c r="I54" s="111"/>
      <c r="J54" s="111"/>
      <c r="K54" s="111"/>
      <c r="L54" s="281"/>
      <c r="M54" s="112"/>
      <c r="N54" s="111" t="s">
        <v>659</v>
      </c>
      <c r="O54" s="838">
        <v>1.98E-3</v>
      </c>
    </row>
    <row r="55" spans="1:18" ht="16" x14ac:dyDescent="0.2">
      <c r="A55" s="111"/>
      <c r="B55" s="111"/>
      <c r="C55" s="281"/>
      <c r="D55" s="111"/>
      <c r="F55" s="118"/>
      <c r="G55" s="118"/>
      <c r="H55" s="111" t="s">
        <v>52</v>
      </c>
      <c r="I55" s="344" t="e">
        <f>Energy!O92</f>
        <v>#DIV/0!</v>
      </c>
      <c r="J55" s="111" t="s">
        <v>233</v>
      </c>
      <c r="K55" s="111"/>
      <c r="L55" s="281"/>
      <c r="M55" s="112"/>
      <c r="N55" s="111"/>
      <c r="O55" s="111"/>
    </row>
    <row r="56" spans="1:18" ht="16" x14ac:dyDescent="0.2">
      <c r="A56" s="111"/>
      <c r="B56" s="111"/>
      <c r="C56" s="281"/>
      <c r="D56" s="111"/>
      <c r="F56" s="118"/>
      <c r="G56" s="118"/>
      <c r="H56" s="111"/>
      <c r="I56" s="111"/>
      <c r="J56" s="111"/>
      <c r="K56" s="111" t="s">
        <v>531</v>
      </c>
      <c r="L56" s="281" t="e">
        <f>C54</f>
        <v>#DIV/0!</v>
      </c>
      <c r="M56" s="112" t="s">
        <v>312</v>
      </c>
      <c r="N56" s="111"/>
      <c r="O56" s="111"/>
    </row>
    <row r="57" spans="1:18" x14ac:dyDescent="0.2">
      <c r="A57" s="94"/>
      <c r="B57" s="94"/>
      <c r="C57" s="354"/>
      <c r="D57" s="94"/>
      <c r="E57" s="227"/>
      <c r="F57" s="223"/>
      <c r="G57" s="223"/>
      <c r="H57" s="94"/>
      <c r="I57" s="94"/>
      <c r="J57" s="94"/>
      <c r="K57" s="94"/>
      <c r="L57" s="354"/>
      <c r="M57" s="228"/>
      <c r="N57" s="94"/>
      <c r="O57" s="94"/>
    </row>
    <row r="58" spans="1:18" x14ac:dyDescent="0.2">
      <c r="L58" s="348"/>
    </row>
    <row r="59" spans="1:18" ht="16" x14ac:dyDescent="0.2">
      <c r="A59" s="786" t="s">
        <v>660</v>
      </c>
      <c r="L59" s="348"/>
    </row>
    <row r="60" spans="1:18" ht="16" x14ac:dyDescent="0.2">
      <c r="A60" s="87" t="s">
        <v>199</v>
      </c>
      <c r="B60" s="87"/>
      <c r="C60" s="87"/>
      <c r="D60" s="117"/>
      <c r="E60" s="87"/>
      <c r="F60" s="87"/>
      <c r="G60" s="87"/>
      <c r="H60" s="87"/>
      <c r="I60" s="87"/>
      <c r="J60" s="87"/>
      <c r="K60" s="87"/>
      <c r="L60" s="347"/>
      <c r="M60" s="108"/>
      <c r="N60" s="87"/>
      <c r="O60" s="87"/>
    </row>
    <row r="61" spans="1:18" ht="16" x14ac:dyDescent="0.2">
      <c r="A61" s="111"/>
      <c r="B61" s="111" t="s">
        <v>658</v>
      </c>
      <c r="C61" s="344" t="e">
        <f>L50</f>
        <v>#DIV/0!</v>
      </c>
      <c r="D61" s="110" t="s">
        <v>299</v>
      </c>
      <c r="E61" s="111"/>
      <c r="F61" s="111"/>
      <c r="G61" s="111"/>
      <c r="H61" s="111"/>
      <c r="I61" s="111"/>
      <c r="J61" s="111"/>
      <c r="K61" s="111"/>
      <c r="L61" s="281"/>
      <c r="M61" s="112"/>
      <c r="N61" s="111"/>
      <c r="O61" s="111"/>
    </row>
    <row r="62" spans="1:18" ht="16" x14ac:dyDescent="0.2">
      <c r="A62" s="111"/>
      <c r="B62" s="111"/>
      <c r="C62" s="281"/>
      <c r="D62" s="111"/>
      <c r="E62" s="111"/>
      <c r="F62" s="109"/>
      <c r="H62" s="111" t="s">
        <v>52</v>
      </c>
      <c r="I62" s="351" t="e">
        <f>Energy!O93</f>
        <v>#DIV/0!</v>
      </c>
      <c r="J62" s="111" t="s">
        <v>233</v>
      </c>
      <c r="K62" s="111"/>
      <c r="L62" s="281"/>
      <c r="M62" s="112"/>
      <c r="N62" s="111"/>
      <c r="O62" s="109"/>
    </row>
    <row r="63" spans="1:18" ht="16" x14ac:dyDescent="0.2">
      <c r="A63" s="111"/>
      <c r="B63" s="111"/>
      <c r="C63" s="281"/>
      <c r="D63" s="111"/>
      <c r="E63" s="111"/>
      <c r="F63" s="110"/>
      <c r="G63" s="118"/>
      <c r="H63" s="111"/>
      <c r="I63" s="111"/>
      <c r="J63" s="111"/>
      <c r="K63" s="111" t="s">
        <v>528</v>
      </c>
      <c r="L63" s="281" t="e">
        <f>C61</f>
        <v>#DIV/0!</v>
      </c>
      <c r="M63" s="112" t="s">
        <v>299</v>
      </c>
      <c r="N63" s="111"/>
      <c r="O63" s="111"/>
    </row>
    <row r="64" spans="1:18" x14ac:dyDescent="0.2">
      <c r="A64" s="94"/>
      <c r="B64" s="94"/>
      <c r="C64" s="354"/>
      <c r="D64" s="94"/>
      <c r="E64" s="94"/>
      <c r="F64" s="223"/>
      <c r="G64" s="223"/>
      <c r="H64" s="94"/>
      <c r="I64" s="94"/>
      <c r="J64" s="94"/>
      <c r="K64" s="94"/>
      <c r="L64" s="354"/>
      <c r="M64" s="228"/>
      <c r="N64" s="94"/>
      <c r="O64" s="94"/>
    </row>
    <row r="65" spans="1:17" ht="16" x14ac:dyDescent="0.2">
      <c r="A65" s="109" t="s">
        <v>190</v>
      </c>
      <c r="B65" s="111"/>
      <c r="C65" s="281"/>
      <c r="D65" s="111"/>
      <c r="F65" s="118"/>
      <c r="G65" s="118"/>
      <c r="H65" s="111"/>
      <c r="I65" s="111"/>
      <c r="J65" s="111"/>
      <c r="K65" s="111"/>
      <c r="L65" s="281"/>
      <c r="M65" s="112"/>
      <c r="N65" s="111"/>
      <c r="O65" s="111"/>
    </row>
    <row r="66" spans="1:17" ht="16" x14ac:dyDescent="0.2">
      <c r="A66" s="109"/>
      <c r="B66" s="111" t="s">
        <v>528</v>
      </c>
      <c r="C66" s="281" t="e">
        <f>L50</f>
        <v>#DIV/0!</v>
      </c>
      <c r="D66" s="111" t="s">
        <v>299</v>
      </c>
      <c r="F66" s="118"/>
      <c r="G66" s="118"/>
      <c r="H66" s="111"/>
      <c r="I66" s="111"/>
      <c r="J66" s="111"/>
      <c r="K66" s="111"/>
      <c r="L66" s="281"/>
      <c r="M66" s="112"/>
      <c r="N66" s="111"/>
      <c r="O66" s="111"/>
    </row>
    <row r="67" spans="1:17" ht="16" x14ac:dyDescent="0.2">
      <c r="A67" s="109"/>
      <c r="B67" s="111"/>
      <c r="C67" s="281"/>
      <c r="D67" s="111"/>
      <c r="F67" s="118"/>
      <c r="G67" s="118"/>
      <c r="H67" s="111" t="s">
        <v>52</v>
      </c>
      <c r="I67" s="351">
        <f>Energy!O94</f>
        <v>0</v>
      </c>
      <c r="J67" s="111" t="s">
        <v>233</v>
      </c>
      <c r="K67" s="111"/>
      <c r="L67" s="281"/>
      <c r="M67" s="112"/>
      <c r="N67" s="111"/>
      <c r="O67" s="111"/>
    </row>
    <row r="68" spans="1:17" ht="16" x14ac:dyDescent="0.2">
      <c r="A68" s="109"/>
      <c r="B68" s="111"/>
      <c r="C68" s="281"/>
      <c r="D68" s="111"/>
      <c r="F68" s="118"/>
      <c r="G68" s="118"/>
      <c r="H68" s="111"/>
      <c r="I68" s="111"/>
      <c r="J68" s="111"/>
      <c r="K68" s="111" t="s">
        <v>661</v>
      </c>
      <c r="L68" s="119" t="e">
        <f>C5*Battery!E20*(1-O7)*Efficiencies!E74</f>
        <v>#DIV/0!</v>
      </c>
      <c r="M68" s="112" t="s">
        <v>299</v>
      </c>
      <c r="N68" s="111"/>
      <c r="O68" s="111"/>
    </row>
    <row r="69" spans="1:17" ht="16" x14ac:dyDescent="0.2">
      <c r="A69" s="109"/>
      <c r="B69" s="111"/>
      <c r="C69" s="281"/>
      <c r="D69" s="111"/>
      <c r="F69" s="118"/>
      <c r="G69" s="118"/>
      <c r="H69" s="111"/>
      <c r="I69" s="111"/>
      <c r="J69" s="111"/>
      <c r="K69" s="111" t="s">
        <v>528</v>
      </c>
      <c r="L69" s="355" t="e">
        <f>C66-L68</f>
        <v>#DIV/0!</v>
      </c>
      <c r="M69" s="112" t="s">
        <v>299</v>
      </c>
      <c r="N69" s="111"/>
      <c r="O69" s="111"/>
    </row>
    <row r="70" spans="1:17" x14ac:dyDescent="0.2">
      <c r="A70" s="114"/>
      <c r="B70" s="94"/>
      <c r="C70" s="354"/>
      <c r="D70" s="94"/>
      <c r="E70" s="94"/>
      <c r="F70" s="229"/>
      <c r="G70" s="229"/>
      <c r="H70" s="94"/>
      <c r="I70" s="94"/>
      <c r="J70" s="94"/>
      <c r="K70" s="94"/>
      <c r="L70" s="356"/>
      <c r="M70" s="230"/>
      <c r="N70" s="94"/>
      <c r="O70" s="94"/>
    </row>
    <row r="71" spans="1:17" ht="16" x14ac:dyDescent="0.2">
      <c r="A71" s="953" t="s">
        <v>1060</v>
      </c>
      <c r="B71" s="111"/>
      <c r="C71" s="281"/>
      <c r="D71" s="111"/>
      <c r="E71" s="111"/>
      <c r="F71" s="111"/>
      <c r="G71" s="111"/>
      <c r="H71" s="111"/>
      <c r="I71" s="111"/>
      <c r="J71" s="111"/>
      <c r="K71" s="111"/>
      <c r="L71" s="281"/>
      <c r="N71" s="111"/>
      <c r="O71" s="111"/>
    </row>
    <row r="72" spans="1:17" ht="16" x14ac:dyDescent="0.2">
      <c r="B72" s="111" t="s">
        <v>528</v>
      </c>
      <c r="C72" s="281" t="e">
        <f>L69</f>
        <v>#DIV/0!</v>
      </c>
      <c r="D72" s="111" t="s">
        <v>299</v>
      </c>
      <c r="E72" s="111"/>
      <c r="F72" s="111"/>
      <c r="G72" s="111"/>
      <c r="H72" s="111"/>
      <c r="I72" s="111"/>
      <c r="J72" s="111"/>
      <c r="K72" s="111"/>
      <c r="L72" s="281"/>
      <c r="N72" s="111"/>
      <c r="O72" s="111"/>
    </row>
    <row r="73" spans="1:17" ht="16" x14ac:dyDescent="0.2">
      <c r="B73" s="111"/>
      <c r="C73" s="281"/>
      <c r="D73" s="111"/>
      <c r="E73" s="111"/>
      <c r="F73" s="111"/>
      <c r="G73" s="111"/>
      <c r="H73" s="111" t="s">
        <v>52</v>
      </c>
      <c r="I73" s="351" t="e">
        <f>Energy!O95</f>
        <v>#DIV/0!</v>
      </c>
      <c r="J73" s="111" t="s">
        <v>233</v>
      </c>
      <c r="K73" s="111"/>
      <c r="L73" s="281"/>
      <c r="N73" s="111"/>
      <c r="O73" s="111"/>
    </row>
    <row r="74" spans="1:17" ht="32" x14ac:dyDescent="0.2">
      <c r="B74" s="111"/>
      <c r="C74" s="281"/>
      <c r="D74" s="111"/>
      <c r="E74" s="111"/>
      <c r="F74" s="111"/>
      <c r="G74" s="111"/>
      <c r="H74" s="111"/>
      <c r="I74" s="111"/>
      <c r="J74" s="111"/>
      <c r="K74" s="111" t="s">
        <v>546</v>
      </c>
      <c r="L74" s="353" t="e">
        <f>C5*(Battery!E10*Efficiencies!E77+Battery!E11*Efficiencies!E76+Battery!E12*Efficiencies!E75+Battery!E13*Efficiencies!E75+Battery!E16*Efficiencies!E78+O5*Battery!E15+O6*Battery!E9+O7*Battery!E20)</f>
        <v>#DIV/0!</v>
      </c>
      <c r="M74" s="232" t="s">
        <v>299</v>
      </c>
      <c r="N74" s="111" t="s">
        <v>547</v>
      </c>
      <c r="O74" s="111"/>
      <c r="Q74" s="350"/>
    </row>
    <row r="75" spans="1:17" ht="16" x14ac:dyDescent="0.2">
      <c r="B75" s="111"/>
      <c r="C75" s="281"/>
      <c r="D75" s="111"/>
      <c r="E75" s="111"/>
      <c r="F75" s="111"/>
      <c r="G75" s="111"/>
      <c r="H75" s="111"/>
      <c r="I75" s="111"/>
      <c r="J75" s="111"/>
      <c r="K75" s="111" t="s">
        <v>546</v>
      </c>
      <c r="L75" s="281" t="e">
        <f>C72-L74</f>
        <v>#DIV/0!</v>
      </c>
      <c r="M75" s="213" t="s">
        <v>299</v>
      </c>
      <c r="N75" s="111" t="s">
        <v>549</v>
      </c>
      <c r="O75" s="111"/>
    </row>
    <row r="76" spans="1:17" x14ac:dyDescent="0.2">
      <c r="A76" s="227"/>
      <c r="B76" s="94"/>
      <c r="C76" s="354"/>
      <c r="D76" s="94"/>
      <c r="E76" s="94"/>
      <c r="F76" s="94"/>
      <c r="G76" s="94"/>
      <c r="H76" s="94"/>
      <c r="I76" s="94"/>
      <c r="J76" s="94"/>
      <c r="K76" s="94"/>
      <c r="L76" s="354"/>
      <c r="M76" s="235"/>
      <c r="N76" s="94"/>
      <c r="O76" s="94"/>
    </row>
    <row r="77" spans="1:17" ht="16" x14ac:dyDescent="0.2">
      <c r="A77" s="71" t="s">
        <v>200</v>
      </c>
      <c r="B77" s="111"/>
      <c r="C77" s="281"/>
      <c r="D77" s="111"/>
      <c r="E77" s="111"/>
      <c r="F77" s="111"/>
      <c r="G77" s="111"/>
      <c r="H77" s="111"/>
      <c r="I77" s="111"/>
      <c r="J77" s="111"/>
      <c r="K77" s="111"/>
      <c r="L77" s="281"/>
      <c r="N77" s="111"/>
      <c r="O77" s="111"/>
    </row>
    <row r="78" spans="1:17" ht="16" x14ac:dyDescent="0.2">
      <c r="B78" s="111" t="s">
        <v>548</v>
      </c>
      <c r="C78" s="281" t="e">
        <f>L75</f>
        <v>#DIV/0!</v>
      </c>
      <c r="D78" s="111" t="s">
        <v>299</v>
      </c>
      <c r="E78" s="111"/>
      <c r="F78" s="111"/>
      <c r="G78" s="111"/>
      <c r="H78" s="111"/>
      <c r="I78" s="111"/>
      <c r="J78" s="111"/>
      <c r="K78" s="111"/>
      <c r="L78" s="281"/>
      <c r="N78" s="111"/>
      <c r="O78" s="111"/>
    </row>
    <row r="79" spans="1:17" ht="16" x14ac:dyDescent="0.2">
      <c r="A79" s="109"/>
      <c r="B79" s="111"/>
      <c r="C79" s="281"/>
      <c r="D79" s="111"/>
      <c r="E79" s="111"/>
      <c r="F79" s="111"/>
      <c r="G79" s="111"/>
      <c r="H79" s="111" t="s">
        <v>52</v>
      </c>
      <c r="I79" s="351" t="e">
        <f>Energy!O96</f>
        <v>#DIV/0!</v>
      </c>
      <c r="J79" s="111" t="s">
        <v>233</v>
      </c>
      <c r="K79" s="111"/>
      <c r="L79" s="348"/>
      <c r="M79" s="232"/>
      <c r="N79" s="111"/>
      <c r="O79" s="111"/>
    </row>
    <row r="80" spans="1:17" ht="16" x14ac:dyDescent="0.2">
      <c r="A80" s="109"/>
      <c r="B80" s="111"/>
      <c r="C80" s="111"/>
      <c r="D80" s="111"/>
      <c r="E80" s="111"/>
      <c r="F80" s="111"/>
      <c r="G80" s="111"/>
      <c r="H80" s="111"/>
      <c r="I80" s="111"/>
      <c r="J80" s="111"/>
      <c r="K80" s="111" t="s">
        <v>390</v>
      </c>
      <c r="L80" s="353" t="e">
        <f>C5*Battery!E9*(1-O6)*Efficiencies!E84</f>
        <v>#DIV/0!</v>
      </c>
      <c r="M80" s="232" t="s">
        <v>299</v>
      </c>
      <c r="N80" s="111" t="s">
        <v>537</v>
      </c>
      <c r="O80" s="111"/>
    </row>
    <row r="81" spans="1:16" ht="16" x14ac:dyDescent="0.2">
      <c r="A81" s="109"/>
      <c r="B81" s="111"/>
      <c r="C81" s="111"/>
      <c r="D81" s="111"/>
      <c r="E81" s="111"/>
      <c r="F81" s="111"/>
      <c r="G81" s="111"/>
      <c r="H81" s="111"/>
      <c r="I81" s="111"/>
      <c r="J81" s="111"/>
      <c r="K81" s="111" t="s">
        <v>245</v>
      </c>
      <c r="L81" s="353" t="e">
        <f>C5*Battery!E15*(1-O5)*Efficiencies!E83</f>
        <v>#DIV/0!</v>
      </c>
      <c r="M81" s="232" t="s">
        <v>299</v>
      </c>
      <c r="N81" s="111" t="s">
        <v>537</v>
      </c>
      <c r="O81" s="111"/>
      <c r="P81" s="698"/>
    </row>
    <row r="82" spans="1:16" ht="32" x14ac:dyDescent="0.2">
      <c r="A82" s="109"/>
      <c r="B82" s="111"/>
      <c r="C82" s="111"/>
      <c r="D82" s="111"/>
      <c r="E82" s="111"/>
      <c r="F82" s="111"/>
      <c r="G82" s="111"/>
      <c r="H82" s="111"/>
      <c r="I82" s="111"/>
      <c r="J82" s="111"/>
      <c r="K82" s="111" t="s">
        <v>662</v>
      </c>
      <c r="L82" s="353" t="e">
        <f>C78-L80-L81</f>
        <v>#DIV/0!</v>
      </c>
      <c r="M82" s="232" t="s">
        <v>299</v>
      </c>
      <c r="N82" s="111" t="s">
        <v>663</v>
      </c>
      <c r="O82" s="111"/>
    </row>
    <row r="83" spans="1:16" x14ac:dyDescent="0.2">
      <c r="A83" s="114"/>
      <c r="B83" s="94"/>
      <c r="C83" s="94"/>
      <c r="D83" s="94"/>
      <c r="E83" s="94"/>
      <c r="F83" s="94"/>
      <c r="G83" s="94"/>
      <c r="H83" s="94"/>
      <c r="I83" s="94"/>
      <c r="J83" s="94"/>
      <c r="K83" s="94"/>
      <c r="L83" s="354"/>
      <c r="M83" s="235"/>
      <c r="N83" s="94"/>
      <c r="O83" s="94"/>
    </row>
    <row r="84" spans="1:16" x14ac:dyDescent="0.2">
      <c r="L84" s="698" t="e">
        <f>L82/C78</f>
        <v>#DIV/0!</v>
      </c>
    </row>
    <row r="85" spans="1:16" ht="16" x14ac:dyDescent="0.2">
      <c r="A85" s="786" t="s">
        <v>664</v>
      </c>
      <c r="L85" s="348"/>
    </row>
    <row r="86" spans="1:16" ht="16" x14ac:dyDescent="0.2">
      <c r="A86" s="98" t="s">
        <v>292</v>
      </c>
      <c r="B86" s="99" t="s">
        <v>13</v>
      </c>
      <c r="C86" s="363" t="s">
        <v>262</v>
      </c>
      <c r="D86" s="99" t="s">
        <v>263</v>
      </c>
      <c r="E86" s="100" t="s">
        <v>293</v>
      </c>
      <c r="F86" s="100" t="s">
        <v>262</v>
      </c>
      <c r="G86" s="101" t="s">
        <v>263</v>
      </c>
      <c r="H86" s="102" t="s">
        <v>294</v>
      </c>
      <c r="I86" s="102" t="s">
        <v>262</v>
      </c>
      <c r="J86" s="102" t="s">
        <v>263</v>
      </c>
      <c r="K86" s="103" t="s">
        <v>295</v>
      </c>
      <c r="L86" s="349" t="s">
        <v>523</v>
      </c>
      <c r="M86" s="104" t="s">
        <v>648</v>
      </c>
      <c r="N86" s="98" t="s">
        <v>296</v>
      </c>
      <c r="O86" s="74" t="s">
        <v>309</v>
      </c>
    </row>
    <row r="87" spans="1:16" ht="16" x14ac:dyDescent="0.2">
      <c r="A87" s="107" t="s">
        <v>182</v>
      </c>
      <c r="B87" s="111" t="s">
        <v>546</v>
      </c>
      <c r="C87" s="364" t="e">
        <f>L74+L82</f>
        <v>#DIV/0!</v>
      </c>
      <c r="D87" s="87" t="s">
        <v>299</v>
      </c>
      <c r="E87" s="87"/>
      <c r="F87" s="87"/>
      <c r="G87" s="87"/>
      <c r="H87" s="87"/>
      <c r="I87" s="87"/>
      <c r="J87" s="87"/>
      <c r="K87" s="87"/>
      <c r="L87" s="347"/>
      <c r="M87" s="87"/>
      <c r="N87" s="87"/>
      <c r="O87" s="111"/>
    </row>
    <row r="88" spans="1:16" ht="16" x14ac:dyDescent="0.2">
      <c r="A88" s="109" t="s">
        <v>311</v>
      </c>
      <c r="B88" s="111"/>
      <c r="C88" s="281"/>
      <c r="D88" s="111"/>
      <c r="E88" s="111" t="s">
        <v>61</v>
      </c>
      <c r="F88" s="337" t="e">
        <f>C87/K13*K14</f>
        <v>#DIV/0!</v>
      </c>
      <c r="G88" s="111" t="s">
        <v>299</v>
      </c>
      <c r="H88" s="111"/>
      <c r="I88" s="111"/>
      <c r="J88" s="111"/>
      <c r="K88" s="111"/>
      <c r="L88" s="281"/>
      <c r="M88" s="111"/>
      <c r="N88" s="111"/>
      <c r="O88" s="111"/>
    </row>
    <row r="89" spans="1:16" ht="16" x14ac:dyDescent="0.2">
      <c r="A89" s="109"/>
      <c r="B89" s="111"/>
      <c r="C89" s="281"/>
      <c r="D89" s="111"/>
      <c r="E89" s="111" t="s">
        <v>72</v>
      </c>
      <c r="F89" s="337" t="e">
        <f>C87/K13*K15</f>
        <v>#DIV/0!</v>
      </c>
      <c r="G89" s="111" t="s">
        <v>299</v>
      </c>
      <c r="H89" s="111"/>
      <c r="I89" s="111"/>
      <c r="J89" s="111"/>
      <c r="K89" s="111"/>
      <c r="L89" s="281"/>
      <c r="M89" s="111"/>
      <c r="N89" s="111"/>
      <c r="O89" s="111"/>
    </row>
    <row r="90" spans="1:16" ht="16" x14ac:dyDescent="0.2">
      <c r="A90" s="109"/>
      <c r="B90" s="111"/>
      <c r="C90" s="281"/>
      <c r="D90" s="111"/>
      <c r="E90" s="111" t="s">
        <v>73</v>
      </c>
      <c r="F90" s="353" t="e">
        <f>K16*K8*K6</f>
        <v>#DIV/0!</v>
      </c>
      <c r="G90" s="111" t="s">
        <v>312</v>
      </c>
      <c r="H90" s="111"/>
      <c r="I90" s="111"/>
      <c r="J90" s="111"/>
      <c r="K90" s="111"/>
      <c r="L90" s="281"/>
      <c r="M90" s="111"/>
      <c r="N90" s="111"/>
      <c r="O90" s="111"/>
    </row>
    <row r="91" spans="1:16" ht="16" x14ac:dyDescent="0.2">
      <c r="A91" s="109"/>
      <c r="B91" s="111"/>
      <c r="C91" s="281"/>
      <c r="D91" s="111"/>
      <c r="E91" s="112" t="s">
        <v>73</v>
      </c>
      <c r="F91" s="353" t="e">
        <f>F90*K10/1000</f>
        <v>#DIV/0!</v>
      </c>
      <c r="G91" s="111" t="s">
        <v>299</v>
      </c>
      <c r="H91" s="111"/>
      <c r="I91" s="111"/>
      <c r="J91" s="111"/>
      <c r="K91" s="111"/>
      <c r="L91" s="281"/>
      <c r="M91" s="111"/>
      <c r="N91" s="111" t="s">
        <v>313</v>
      </c>
      <c r="O91" s="111"/>
    </row>
    <row r="92" spans="1:16" ht="16" x14ac:dyDescent="0.2">
      <c r="A92" s="109"/>
      <c r="B92" s="111"/>
      <c r="C92" s="281"/>
      <c r="D92" s="111"/>
      <c r="E92" s="111"/>
      <c r="F92" s="281"/>
      <c r="G92" s="111"/>
      <c r="H92" s="111" t="s">
        <v>57</v>
      </c>
      <c r="I92" s="351" t="e">
        <f>K6*K8*K17</f>
        <v>#DIV/0!</v>
      </c>
      <c r="J92" s="111" t="s">
        <v>312</v>
      </c>
      <c r="K92" s="111"/>
      <c r="L92" s="281"/>
      <c r="M92" s="111"/>
      <c r="N92" s="111" t="s">
        <v>314</v>
      </c>
      <c r="O92" s="111"/>
    </row>
    <row r="93" spans="1:16" ht="16" x14ac:dyDescent="0.2">
      <c r="A93" s="109"/>
      <c r="B93" s="111"/>
      <c r="C93" s="281"/>
      <c r="D93" s="111"/>
      <c r="E93" s="111"/>
      <c r="F93" s="281"/>
      <c r="G93" s="111"/>
      <c r="H93" s="111"/>
      <c r="I93" s="111"/>
      <c r="J93" s="111"/>
      <c r="K93" s="111" t="s">
        <v>289</v>
      </c>
      <c r="L93" s="281" t="e">
        <f>'R3_Hydro_MEFA'!B11</f>
        <v>#DIV/0!</v>
      </c>
      <c r="M93" s="111" t="s">
        <v>299</v>
      </c>
      <c r="N93" s="111" t="s">
        <v>315</v>
      </c>
      <c r="O93" s="111"/>
    </row>
    <row r="94" spans="1:16" ht="16" x14ac:dyDescent="0.2">
      <c r="A94" s="109"/>
      <c r="B94" s="111"/>
      <c r="C94" s="281"/>
      <c r="D94" s="111"/>
      <c r="E94" s="111"/>
      <c r="F94" s="281"/>
      <c r="G94" s="111"/>
      <c r="H94" s="111"/>
      <c r="I94" s="111"/>
      <c r="J94" s="111"/>
      <c r="K94" s="111" t="s">
        <v>107</v>
      </c>
      <c r="L94" s="281" t="e">
        <f>'R3_Hydro_MEFA'!T120</f>
        <v>#DIV/0!</v>
      </c>
      <c r="M94" s="111" t="s">
        <v>299</v>
      </c>
      <c r="N94" s="111" t="s">
        <v>316</v>
      </c>
      <c r="O94" s="111"/>
    </row>
    <row r="95" spans="1:16" ht="32" x14ac:dyDescent="0.2">
      <c r="A95" s="109"/>
      <c r="B95" s="111"/>
      <c r="C95" s="281"/>
      <c r="D95" s="111"/>
      <c r="E95" s="111"/>
      <c r="F95" s="111"/>
      <c r="G95" s="111"/>
      <c r="H95" s="111"/>
      <c r="I95" s="111"/>
      <c r="J95" s="111"/>
      <c r="K95" s="111" t="s">
        <v>290</v>
      </c>
      <c r="L95" s="281" t="e">
        <f>K7*K20/100</f>
        <v>#DIV/0!</v>
      </c>
      <c r="M95" s="111" t="s">
        <v>299</v>
      </c>
      <c r="N95" s="111" t="s">
        <v>317</v>
      </c>
      <c r="O95" s="111"/>
    </row>
    <row r="96" spans="1:16" ht="42" customHeight="1" x14ac:dyDescent="0.2">
      <c r="A96" s="114"/>
      <c r="B96" s="94"/>
      <c r="C96" s="354"/>
      <c r="D96" s="94"/>
      <c r="E96" s="94"/>
      <c r="F96" s="94"/>
      <c r="G96" s="94"/>
      <c r="H96" s="94"/>
      <c r="I96" s="94"/>
      <c r="J96" s="94"/>
      <c r="K96" s="94" t="s">
        <v>318</v>
      </c>
      <c r="L96" s="354" t="e">
        <f>(C87+F88+F89)-SUM(L93:L95)</f>
        <v>#DIV/0!</v>
      </c>
      <c r="M96" s="94" t="s">
        <v>299</v>
      </c>
      <c r="N96" s="94" t="s">
        <v>319</v>
      </c>
      <c r="O96" s="111"/>
    </row>
    <row r="97" spans="1:15" ht="16" x14ac:dyDescent="0.2">
      <c r="A97" s="109" t="s">
        <v>197</v>
      </c>
      <c r="B97" s="109" t="s">
        <v>531</v>
      </c>
      <c r="C97" s="344" t="e">
        <f>L96/O97</f>
        <v>#DIV/0!</v>
      </c>
      <c r="D97" s="111" t="s">
        <v>312</v>
      </c>
      <c r="E97" s="111"/>
      <c r="F97" s="111"/>
      <c r="G97" s="111"/>
      <c r="H97" s="111"/>
      <c r="I97" s="111"/>
      <c r="J97" s="111"/>
      <c r="K97" s="109"/>
      <c r="L97" s="281"/>
      <c r="M97" s="111"/>
      <c r="N97" s="111" t="s">
        <v>321</v>
      </c>
      <c r="O97" s="806">
        <v>1.98E-3</v>
      </c>
    </row>
    <row r="98" spans="1:15" ht="16" x14ac:dyDescent="0.2">
      <c r="A98" s="109"/>
      <c r="B98" s="109"/>
      <c r="C98" s="281"/>
      <c r="D98" s="111"/>
      <c r="E98" s="111"/>
      <c r="F98" s="111"/>
      <c r="G98" s="111"/>
      <c r="H98" s="111" t="s">
        <v>52</v>
      </c>
      <c r="I98" s="281" t="e">
        <f>Energy!O98</f>
        <v>#DIV/0!</v>
      </c>
      <c r="J98" s="111" t="s">
        <v>233</v>
      </c>
      <c r="K98" s="109"/>
      <c r="L98" s="281"/>
      <c r="M98" s="111"/>
      <c r="N98" s="111"/>
      <c r="O98" s="111"/>
    </row>
    <row r="99" spans="1:15" ht="16" x14ac:dyDescent="0.2">
      <c r="A99" s="109"/>
      <c r="B99" s="109"/>
      <c r="C99" s="281"/>
      <c r="D99" s="111"/>
      <c r="E99" s="111"/>
      <c r="F99" s="111"/>
      <c r="G99" s="111"/>
      <c r="H99" s="111"/>
      <c r="I99" s="111"/>
      <c r="J99" s="111"/>
      <c r="K99" s="109" t="s">
        <v>665</v>
      </c>
      <c r="L99" s="281" t="e">
        <f>C97</f>
        <v>#DIV/0!</v>
      </c>
      <c r="M99" s="111" t="s">
        <v>312</v>
      </c>
      <c r="N99" s="111"/>
      <c r="O99" s="94"/>
    </row>
    <row r="100" spans="1:15" ht="16" x14ac:dyDescent="0.2">
      <c r="A100" s="107" t="s">
        <v>322</v>
      </c>
      <c r="B100" s="107"/>
      <c r="C100" s="347"/>
      <c r="D100" s="87"/>
      <c r="E100" s="87"/>
      <c r="F100" s="87"/>
      <c r="G100" s="87"/>
      <c r="H100" s="87"/>
      <c r="I100" s="87"/>
      <c r="J100" s="87"/>
      <c r="K100" s="107"/>
      <c r="L100" s="347"/>
      <c r="M100" s="87"/>
      <c r="N100" s="87"/>
      <c r="O100" s="111"/>
    </row>
    <row r="101" spans="1:15" ht="16" x14ac:dyDescent="0.2">
      <c r="A101" s="109"/>
      <c r="B101" s="109" t="s">
        <v>289</v>
      </c>
      <c r="C101" s="281" t="e">
        <f>L93</f>
        <v>#DIV/0!</v>
      </c>
      <c r="D101" s="111" t="s">
        <v>299</v>
      </c>
      <c r="E101" s="111"/>
      <c r="F101" s="111"/>
      <c r="G101" s="111"/>
      <c r="H101" s="111"/>
      <c r="I101" s="111"/>
      <c r="J101" s="111"/>
      <c r="K101" s="109"/>
      <c r="L101" s="281"/>
      <c r="M101" s="111"/>
      <c r="N101" s="111"/>
      <c r="O101" s="111"/>
    </row>
    <row r="102" spans="1:15" ht="16" x14ac:dyDescent="0.2">
      <c r="A102" s="109"/>
      <c r="B102" s="109"/>
      <c r="C102" s="281"/>
      <c r="D102" s="111"/>
      <c r="E102" s="111"/>
      <c r="F102" s="111"/>
      <c r="G102" s="111"/>
      <c r="H102" s="111" t="s">
        <v>52</v>
      </c>
      <c r="I102" s="344" t="e">
        <f>Energy!O99</f>
        <v>#DIV/0!</v>
      </c>
      <c r="J102" s="111" t="s">
        <v>233</v>
      </c>
      <c r="K102" s="109"/>
      <c r="L102" s="281"/>
      <c r="M102" s="111"/>
      <c r="N102" s="111"/>
      <c r="O102" s="111"/>
    </row>
    <row r="103" spans="1:15" ht="16" x14ac:dyDescent="0.2">
      <c r="A103" s="109"/>
      <c r="B103" s="109"/>
      <c r="C103" s="281"/>
      <c r="D103" s="111"/>
      <c r="E103" s="111"/>
      <c r="F103" s="111"/>
      <c r="G103" s="111"/>
      <c r="H103" s="111"/>
      <c r="I103" s="111"/>
      <c r="J103" s="111"/>
      <c r="K103" s="109" t="s">
        <v>289</v>
      </c>
      <c r="L103" s="281" t="e">
        <f>C101</f>
        <v>#DIV/0!</v>
      </c>
      <c r="M103" s="111" t="s">
        <v>299</v>
      </c>
      <c r="N103" s="111"/>
      <c r="O103" s="111"/>
    </row>
    <row r="104" spans="1:15" x14ac:dyDescent="0.2">
      <c r="A104" s="114"/>
      <c r="B104" s="114"/>
      <c r="C104" s="354"/>
      <c r="D104" s="94"/>
      <c r="E104" s="94"/>
      <c r="F104" s="94"/>
      <c r="G104" s="94"/>
      <c r="H104" s="94"/>
      <c r="I104" s="94"/>
      <c r="J104" s="94"/>
      <c r="K104" s="114"/>
      <c r="L104" s="354"/>
      <c r="M104" s="94"/>
      <c r="N104" s="94"/>
      <c r="O104" s="111"/>
    </row>
    <row r="105" spans="1:15" ht="16" x14ac:dyDescent="0.2">
      <c r="A105" s="109" t="s">
        <v>323</v>
      </c>
      <c r="B105" s="109"/>
      <c r="C105" s="281"/>
      <c r="D105" s="111"/>
      <c r="E105" s="111"/>
      <c r="F105" s="111"/>
      <c r="G105" s="111"/>
      <c r="H105" s="111"/>
      <c r="I105" s="111"/>
      <c r="J105" s="111"/>
      <c r="K105" s="109"/>
      <c r="L105" s="281"/>
      <c r="M105" s="111"/>
      <c r="N105" s="111"/>
      <c r="O105" s="87"/>
    </row>
    <row r="106" spans="1:15" ht="16" x14ac:dyDescent="0.2">
      <c r="A106" s="109"/>
      <c r="B106" s="109" t="s">
        <v>107</v>
      </c>
      <c r="C106" s="281" t="e">
        <f>L94</f>
        <v>#DIV/0!</v>
      </c>
      <c r="D106" s="111" t="s">
        <v>299</v>
      </c>
      <c r="E106" s="111"/>
      <c r="F106" s="111"/>
      <c r="G106" s="111"/>
      <c r="H106" s="111"/>
      <c r="I106" s="111"/>
      <c r="J106" s="111"/>
      <c r="K106" s="109"/>
      <c r="L106" s="281"/>
      <c r="M106" s="111"/>
      <c r="N106" s="111"/>
      <c r="O106" s="111"/>
    </row>
    <row r="107" spans="1:15" ht="16" x14ac:dyDescent="0.2">
      <c r="A107" s="109"/>
      <c r="B107" s="109"/>
      <c r="C107" s="281"/>
      <c r="D107" s="111"/>
      <c r="E107" s="111"/>
      <c r="F107" s="111"/>
      <c r="G107" s="111"/>
      <c r="H107" s="111" t="s">
        <v>52</v>
      </c>
      <c r="I107" s="281" t="e">
        <f>IF(Macro!D10=TRUE,Energy!O100,0)</f>
        <v>#DIV/0!</v>
      </c>
      <c r="J107" s="111" t="s">
        <v>233</v>
      </c>
      <c r="K107" s="109"/>
      <c r="L107" s="281"/>
      <c r="M107" s="111"/>
      <c r="N107" s="111"/>
      <c r="O107" s="111"/>
    </row>
    <row r="108" spans="1:15" ht="16" x14ac:dyDescent="0.2">
      <c r="A108" s="109"/>
      <c r="B108" s="109"/>
      <c r="C108" s="281"/>
      <c r="D108" s="111"/>
      <c r="E108" s="111"/>
      <c r="F108" s="111"/>
      <c r="G108" s="111"/>
      <c r="H108" s="111"/>
      <c r="I108" s="111"/>
      <c r="J108" s="111"/>
      <c r="K108" s="109" t="s">
        <v>107</v>
      </c>
      <c r="L108" s="281" t="e">
        <f>C106</f>
        <v>#DIV/0!</v>
      </c>
      <c r="M108" s="111" t="s">
        <v>299</v>
      </c>
      <c r="N108" s="111"/>
      <c r="O108" s="111"/>
    </row>
    <row r="109" spans="1:15" x14ac:dyDescent="0.2">
      <c r="A109" s="114"/>
      <c r="B109" s="114"/>
      <c r="C109" s="94"/>
      <c r="D109" s="94"/>
      <c r="E109" s="94"/>
      <c r="F109" s="94"/>
      <c r="G109" s="94"/>
      <c r="H109" s="94"/>
      <c r="I109" s="94"/>
      <c r="J109" s="94"/>
      <c r="K109" s="114"/>
      <c r="L109" s="94"/>
      <c r="M109" s="94"/>
      <c r="N109" s="94"/>
      <c r="O109" s="94"/>
    </row>
    <row r="110" spans="1:15" x14ac:dyDescent="0.2">
      <c r="L110" s="348"/>
    </row>
    <row r="111" spans="1:15" x14ac:dyDescent="0.2">
      <c r="A111" s="97" t="s">
        <v>554</v>
      </c>
      <c r="C111" s="348"/>
      <c r="L111" s="348"/>
      <c r="M111" s="71"/>
    </row>
    <row r="112" spans="1:15" ht="16" x14ac:dyDescent="0.2">
      <c r="A112" s="98" t="s">
        <v>292</v>
      </c>
      <c r="B112" s="99" t="s">
        <v>13</v>
      </c>
      <c r="C112" s="363" t="s">
        <v>262</v>
      </c>
      <c r="D112" s="99" t="s">
        <v>263</v>
      </c>
      <c r="E112" s="100" t="s">
        <v>293</v>
      </c>
      <c r="F112" s="100" t="s">
        <v>262</v>
      </c>
      <c r="G112" s="101" t="s">
        <v>263</v>
      </c>
      <c r="H112" s="102" t="s">
        <v>294</v>
      </c>
      <c r="I112" s="102" t="s">
        <v>262</v>
      </c>
      <c r="J112" s="102" t="s">
        <v>263</v>
      </c>
      <c r="K112" s="103" t="s">
        <v>295</v>
      </c>
      <c r="L112" s="349" t="s">
        <v>523</v>
      </c>
      <c r="M112" s="689" t="s">
        <v>648</v>
      </c>
      <c r="N112" s="368"/>
      <c r="O112" s="369"/>
    </row>
    <row r="113" spans="1:15" ht="16" x14ac:dyDescent="0.2">
      <c r="A113" s="87"/>
      <c r="B113" s="87" t="str">
        <f>B32</f>
        <v>battery systems</v>
      </c>
      <c r="C113" s="364">
        <f>C32</f>
        <v>25000</v>
      </c>
      <c r="D113" s="377" t="str">
        <f>D32</f>
        <v>t</v>
      </c>
      <c r="E113" s="87" t="str">
        <f>E88</f>
        <v>Limestone (CaO)</v>
      </c>
      <c r="F113" s="366" t="e">
        <f>F88</f>
        <v>#DIV/0!</v>
      </c>
      <c r="G113" s="111" t="s">
        <v>299</v>
      </c>
      <c r="H113" s="87" t="str">
        <f>H62</f>
        <v>Electricity</v>
      </c>
      <c r="I113" s="365" t="e">
        <f>SUMIF(H46:H109,H113,I46:I109)+SUMIF('R3_Hydro_MEFA'!H:H,'R3_MEFA'!H113,'R3_Hydro_MEFA'!I:I)</f>
        <v>#DIV/0!</v>
      </c>
      <c r="J113" s="87" t="s">
        <v>233</v>
      </c>
      <c r="K113" s="111" t="s">
        <v>52</v>
      </c>
      <c r="L113" s="367" t="e">
        <f>L29</f>
        <v>#DIV/0!</v>
      </c>
      <c r="M113" s="240" t="s">
        <v>233</v>
      </c>
      <c r="N113" s="371"/>
      <c r="O113" s="370"/>
    </row>
    <row r="114" spans="1:15" ht="16" x14ac:dyDescent="0.2">
      <c r="A114" s="111"/>
      <c r="B114" s="111"/>
      <c r="C114" s="281"/>
      <c r="D114" s="111"/>
      <c r="E114" s="111" t="str">
        <f>E89</f>
        <v>Sand (SiO2)</v>
      </c>
      <c r="F114" s="367" t="e">
        <f>F89</f>
        <v>#DIV/0!</v>
      </c>
      <c r="G114" s="111" t="s">
        <v>299</v>
      </c>
      <c r="H114" s="111" t="s">
        <v>529</v>
      </c>
      <c r="I114" s="351" t="e">
        <f>I92+SUMIF('R3_Hydro_MEFA'!H:H,'R3_MEFA'!H114,'R3_Hydro_MEFA'!I:I)</f>
        <v>#DIV/0!</v>
      </c>
      <c r="J114" s="111" t="s">
        <v>312</v>
      </c>
      <c r="K114" s="111" t="s">
        <v>104</v>
      </c>
      <c r="L114" s="367" t="e">
        <f>L80+L40+L33</f>
        <v>#DIV/0!</v>
      </c>
      <c r="M114" s="240" t="s">
        <v>299</v>
      </c>
      <c r="N114" s="373"/>
      <c r="O114" s="372"/>
    </row>
    <row r="115" spans="1:15" ht="16" x14ac:dyDescent="0.2">
      <c r="A115" s="111"/>
      <c r="B115" s="111"/>
      <c r="C115" s="281"/>
      <c r="D115" s="111"/>
      <c r="E115" s="111" t="str">
        <f>E91</f>
        <v>Oxygen</v>
      </c>
      <c r="F115" s="367" t="e">
        <f>F91</f>
        <v>#DIV/0!</v>
      </c>
      <c r="G115" s="111" t="s">
        <v>299</v>
      </c>
      <c r="H115" s="111"/>
      <c r="I115" s="351"/>
      <c r="J115" s="111"/>
      <c r="K115" s="111" t="s">
        <v>75</v>
      </c>
      <c r="L115" s="367" t="e">
        <f>L34+L41+L68</f>
        <v>#DIV/0!</v>
      </c>
      <c r="M115" s="240" t="s">
        <v>299</v>
      </c>
      <c r="N115" s="373"/>
      <c r="O115" s="372"/>
    </row>
    <row r="116" spans="1:15" ht="16" x14ac:dyDescent="0.2">
      <c r="A116" s="111"/>
      <c r="B116" s="111"/>
      <c r="C116" s="281"/>
      <c r="D116" s="111"/>
      <c r="E116" s="111" t="s">
        <v>74</v>
      </c>
      <c r="F116" s="367" t="e">
        <f>SUMIF('R3_Hydro_MEFA'!E:E,'R3_MEFA'!E116,'R3_Hydro_MEFA'!F:F)</f>
        <v>#DIV/0!</v>
      </c>
      <c r="G116" s="111" t="s">
        <v>299</v>
      </c>
      <c r="H116" s="111"/>
      <c r="I116" s="111"/>
      <c r="J116" s="111"/>
      <c r="K116" s="111" t="s">
        <v>105</v>
      </c>
      <c r="L116" s="367" t="e">
        <f>L81+L35+'R3_Hydro_MEFA'!L38</f>
        <v>#DIV/0!</v>
      </c>
      <c r="M116" s="240" t="s">
        <v>299</v>
      </c>
      <c r="N116" s="373"/>
      <c r="O116" s="372"/>
    </row>
    <row r="117" spans="1:15" ht="16" x14ac:dyDescent="0.2">
      <c r="A117" s="111"/>
      <c r="B117" s="111"/>
      <c r="C117" s="281"/>
      <c r="D117" s="111"/>
      <c r="E117" s="111" t="s">
        <v>226</v>
      </c>
      <c r="F117" s="367" t="e">
        <f>SUMIF('R3_Hydro_MEFA'!E:E,'R3_MEFA'!E117,'R3_Hydro_MEFA'!F:F)</f>
        <v>#DIV/0!</v>
      </c>
      <c r="G117" s="111" t="s">
        <v>299</v>
      </c>
      <c r="H117" s="111"/>
      <c r="I117" s="111"/>
      <c r="J117" s="111"/>
      <c r="K117" s="111" t="s">
        <v>56</v>
      </c>
      <c r="L117" s="367" t="e">
        <f>L36</f>
        <v>#DIV/0!</v>
      </c>
      <c r="M117" s="240" t="s">
        <v>299</v>
      </c>
      <c r="N117" s="373"/>
      <c r="O117" s="372"/>
    </row>
    <row r="118" spans="1:15" ht="16" x14ac:dyDescent="0.2">
      <c r="A118" s="111"/>
      <c r="B118" s="111"/>
      <c r="C118" s="281"/>
      <c r="D118" s="111"/>
      <c r="E118" s="111" t="s">
        <v>49</v>
      </c>
      <c r="F118" s="367" t="e">
        <f>SUMIF('R3_Hydro_MEFA'!E:E,'R3_MEFA'!E118,'R3_Hydro_MEFA'!F:F)</f>
        <v>#DIV/0!</v>
      </c>
      <c r="G118" s="111" t="s">
        <v>299</v>
      </c>
      <c r="H118" s="111"/>
      <c r="I118" s="111"/>
      <c r="J118" s="111"/>
      <c r="K118" s="111" t="s">
        <v>60</v>
      </c>
      <c r="L118" s="367" t="e">
        <f>L37</f>
        <v>#DIV/0!</v>
      </c>
      <c r="M118" s="240" t="s">
        <v>299</v>
      </c>
      <c r="N118" s="373"/>
      <c r="O118" s="372"/>
    </row>
    <row r="119" spans="1:15" ht="16" x14ac:dyDescent="0.2">
      <c r="A119" s="111"/>
      <c r="B119" s="111"/>
      <c r="C119" s="281"/>
      <c r="D119" s="111"/>
      <c r="E119" s="111" t="s">
        <v>78</v>
      </c>
      <c r="F119" s="367" t="e">
        <f>SUMIF('R3_Hydro_MEFA'!E:E,'R3_MEFA'!E119,'R3_Hydro_MEFA'!F:F)</f>
        <v>#DIV/0!</v>
      </c>
      <c r="G119" s="111" t="s">
        <v>299</v>
      </c>
      <c r="H119" s="111"/>
      <c r="I119" s="111"/>
      <c r="J119" s="111"/>
      <c r="K119" s="111" t="s">
        <v>19</v>
      </c>
      <c r="L119" s="367" t="e">
        <f>L82+L39+L38</f>
        <v>#DIV/0!</v>
      </c>
      <c r="M119" s="240" t="s">
        <v>299</v>
      </c>
      <c r="N119" s="373"/>
      <c r="O119" s="372"/>
    </row>
    <row r="120" spans="1:15" ht="16" x14ac:dyDescent="0.2">
      <c r="A120" s="111"/>
      <c r="B120" s="111"/>
      <c r="C120" s="281"/>
      <c r="D120" s="111"/>
      <c r="E120" s="111" t="s">
        <v>70</v>
      </c>
      <c r="F120" s="367" t="e">
        <f>SUMIF('R3_Hydro_MEFA'!E:E,'R3_MEFA'!E120,'R3_Hydro_MEFA'!F:F)</f>
        <v>#DIV/0!</v>
      </c>
      <c r="G120" s="111" t="s">
        <v>299</v>
      </c>
      <c r="H120" s="111"/>
      <c r="I120" s="111"/>
      <c r="J120" s="111"/>
      <c r="K120" s="111" t="s">
        <v>50</v>
      </c>
      <c r="L120" s="367" t="e">
        <f>'R3_Hydro_MEFA'!L62+'R3_Hydro_MEFA'!L152</f>
        <v>#DIV/0!</v>
      </c>
      <c r="M120" s="240" t="s">
        <v>299</v>
      </c>
      <c r="N120" s="790"/>
      <c r="O120" s="372"/>
    </row>
    <row r="121" spans="1:15" ht="16" x14ac:dyDescent="0.2">
      <c r="A121" s="111"/>
      <c r="B121" s="111"/>
      <c r="C121" s="281"/>
      <c r="D121" s="111"/>
      <c r="E121" s="111" t="s">
        <v>63</v>
      </c>
      <c r="F121" s="690" t="e">
        <f>SUMIF('R3_Hydro_MEFA'!E:E,'R3_MEFA'!E121,'R3_Hydro_MEFA'!F:F)</f>
        <v>#DIV/0!</v>
      </c>
      <c r="G121" s="111" t="s">
        <v>299</v>
      </c>
      <c r="H121" s="367"/>
      <c r="I121" s="111"/>
      <c r="J121" s="111"/>
      <c r="K121" s="111" t="s">
        <v>63</v>
      </c>
      <c r="L121" s="690" t="e">
        <f>SUMIF('R3_Hydro_MEFA'!K:K,K121,'R3_Hydro_MEFA'!L:L)</f>
        <v>#DIV/0!</v>
      </c>
      <c r="M121" s="240" t="s">
        <v>299</v>
      </c>
      <c r="N121" s="791" t="s">
        <v>325</v>
      </c>
      <c r="O121" s="372"/>
    </row>
    <row r="122" spans="1:15" ht="16" x14ac:dyDescent="0.2">
      <c r="A122" s="111"/>
      <c r="B122" s="111"/>
      <c r="C122" s="281"/>
      <c r="D122" s="111"/>
      <c r="E122" s="111" t="s">
        <v>326</v>
      </c>
      <c r="F122" s="693" t="e">
        <f>SUMIF('R3_Hydro_MEFA'!E:E,"Cyanex 272 compensation loss p.a.",'R3_Hydro_MEFA'!F:F)+SUMIF('R3_Hydro_MEFA'!E:E,"Cyanex 272 (Circulation)",'R3_Hydro_MEFA'!F:F)</f>
        <v>#DIV/0!</v>
      </c>
      <c r="G122" s="111" t="s">
        <v>299</v>
      </c>
      <c r="H122" s="111"/>
      <c r="I122" s="111"/>
      <c r="J122" s="111"/>
      <c r="K122" s="111" t="s">
        <v>41</v>
      </c>
      <c r="L122" s="693" t="e">
        <f>SUMIF('R3_Hydro_MEFA'!K:K,K122,'R3_Hydro_MEFA'!L:L)</f>
        <v>#DIV/0!</v>
      </c>
      <c r="M122" s="240" t="s">
        <v>299</v>
      </c>
      <c r="N122" s="791" t="s">
        <v>325</v>
      </c>
      <c r="O122" s="372"/>
    </row>
    <row r="123" spans="1:15" ht="18" x14ac:dyDescent="0.2">
      <c r="A123" s="111"/>
      <c r="B123" s="111"/>
      <c r="C123" s="281"/>
      <c r="D123" s="111"/>
      <c r="E123" s="111" t="s">
        <v>45</v>
      </c>
      <c r="F123" s="693" t="e">
        <f>SUMIF('R3_Hydro_MEFA'!E:E,"D2EHPA compensation loss p.a.",'R3_Hydro_MEFA'!F:F)+SUMIF('R3_Hydro_MEFA'!E:E,"D2EHPA (Circulation)",'R3_Hydro_MEFA'!F:F)</f>
        <v>#DIV/0!</v>
      </c>
      <c r="G123" s="111" t="s">
        <v>299</v>
      </c>
      <c r="H123" s="111"/>
      <c r="I123" s="111"/>
      <c r="J123" s="111"/>
      <c r="K123" s="111" t="s">
        <v>162</v>
      </c>
      <c r="L123" s="693" t="e">
        <f>SUMIF('R3_Hydro_MEFA'!K:K,K123,'R3_Hydro_MEFA'!L:L)</f>
        <v>#DIV/0!</v>
      </c>
      <c r="M123" s="240" t="s">
        <v>299</v>
      </c>
      <c r="N123" s="791"/>
      <c r="O123" s="372"/>
    </row>
    <row r="124" spans="1:15" ht="18" x14ac:dyDescent="0.2">
      <c r="A124" s="111"/>
      <c r="B124" s="111"/>
      <c r="C124" s="281"/>
      <c r="D124" s="111"/>
      <c r="E124" s="111" t="s">
        <v>69</v>
      </c>
      <c r="F124" s="367" t="e">
        <f>SUMIF('R3_Hydro_MEFA'!E:E,'R3_MEFA'!E124,'R3_Hydro_MEFA'!F:F)</f>
        <v>#DIV/0!</v>
      </c>
      <c r="G124" s="111" t="s">
        <v>299</v>
      </c>
      <c r="H124" s="111"/>
      <c r="I124" s="111"/>
      <c r="J124" s="111"/>
      <c r="K124" s="111" t="s">
        <v>147</v>
      </c>
      <c r="L124" s="367" t="e">
        <f>SUMIF('R3_Hydro_MEFA'!K:K,K124,'R3_Hydro_MEFA'!L:L)</f>
        <v>#DIV/0!</v>
      </c>
      <c r="M124" s="240" t="s">
        <v>299</v>
      </c>
      <c r="N124" s="791"/>
      <c r="O124" s="372"/>
    </row>
    <row r="125" spans="1:15" ht="16" x14ac:dyDescent="0.2">
      <c r="A125" s="111"/>
      <c r="B125" s="111"/>
      <c r="C125" s="281"/>
      <c r="D125" s="111"/>
      <c r="E125" s="111" t="s">
        <v>327</v>
      </c>
      <c r="F125" s="840" t="e">
        <f>IF(F117*0.9&lt;L132,F117*0.1,F117-L132)</f>
        <v>#DIV/0!</v>
      </c>
      <c r="G125" s="111" t="s">
        <v>299</v>
      </c>
      <c r="H125" s="111"/>
      <c r="I125" s="111"/>
      <c r="J125" s="111"/>
      <c r="K125" s="111" t="s">
        <v>24</v>
      </c>
      <c r="L125" s="367" t="e">
        <f>SUMIF('R3_Hydro_MEFA'!K:K,K125,'R3_Hydro_MEFA'!L:L)</f>
        <v>#DIV/0!</v>
      </c>
      <c r="M125" s="240" t="s">
        <v>299</v>
      </c>
      <c r="N125" s="791" t="s">
        <v>328</v>
      </c>
      <c r="O125" s="372"/>
    </row>
    <row r="126" spans="1:15" ht="16" x14ac:dyDescent="0.2">
      <c r="A126" s="111"/>
      <c r="B126" s="111"/>
      <c r="C126" s="281"/>
      <c r="D126" s="111"/>
      <c r="E126" s="111"/>
      <c r="F126" s="840"/>
      <c r="G126" s="111"/>
      <c r="H126" s="111"/>
      <c r="I126" s="111"/>
      <c r="J126" s="111"/>
      <c r="K126" s="111" t="s">
        <v>33</v>
      </c>
      <c r="L126" s="367" t="e">
        <f>SUMIF('R3_Hydro_MEFA'!K:K,K126,'R3_Hydro_MEFA'!L:L)</f>
        <v>#DIV/0!</v>
      </c>
      <c r="M126" s="240" t="s">
        <v>299</v>
      </c>
      <c r="N126" s="792"/>
      <c r="O126" s="372"/>
    </row>
    <row r="127" spans="1:15" ht="16" x14ac:dyDescent="0.2">
      <c r="A127" s="111"/>
      <c r="B127" s="111"/>
      <c r="C127" s="281"/>
      <c r="D127" s="111"/>
      <c r="E127" s="111"/>
      <c r="F127" s="840"/>
      <c r="G127" s="111"/>
      <c r="H127" s="111"/>
      <c r="I127" s="111"/>
      <c r="J127" s="111"/>
      <c r="K127" s="111" t="s">
        <v>329</v>
      </c>
      <c r="L127" s="367" t="e">
        <f>SUMIF('R3_Hydro_MEFA'!K:K,K127,'R3_Hydro_MEFA'!L:L)</f>
        <v>#DIV/0!</v>
      </c>
      <c r="M127" s="240" t="s">
        <v>299</v>
      </c>
      <c r="N127" s="790"/>
      <c r="O127" s="372"/>
    </row>
    <row r="128" spans="1:15" ht="16" x14ac:dyDescent="0.2">
      <c r="A128" s="111"/>
      <c r="B128" s="111"/>
      <c r="C128" s="281"/>
      <c r="D128" s="111"/>
      <c r="E128" s="111"/>
      <c r="F128" s="840"/>
      <c r="G128" s="111"/>
      <c r="H128" s="111"/>
      <c r="I128" s="111"/>
      <c r="J128" s="111"/>
      <c r="K128" s="111" t="s">
        <v>32</v>
      </c>
      <c r="L128" s="367" t="e">
        <f>SUMIF('R3_Hydro_MEFA'!K:K,K128,'R3_Hydro_MEFA'!L:L)</f>
        <v>#DIV/0!</v>
      </c>
      <c r="M128" s="240" t="s">
        <v>299</v>
      </c>
      <c r="N128" s="790"/>
      <c r="O128" s="372"/>
    </row>
    <row r="129" spans="1:15" ht="16" x14ac:dyDescent="0.2">
      <c r="A129" s="111"/>
      <c r="B129" s="111"/>
      <c r="C129" s="281"/>
      <c r="D129" s="111"/>
      <c r="E129" s="111"/>
      <c r="F129" s="840"/>
      <c r="G129" s="111"/>
      <c r="H129" s="111"/>
      <c r="I129" s="111"/>
      <c r="J129" s="111"/>
      <c r="K129" s="111" t="s">
        <v>45</v>
      </c>
      <c r="L129" s="693" t="e">
        <f>SUMIF('R3_Hydro_MEFA'!K:K,K129,'R3_Hydro_MEFA'!L:L)</f>
        <v>#DIV/0!</v>
      </c>
      <c r="M129" s="240" t="s">
        <v>299</v>
      </c>
      <c r="N129" s="791" t="s">
        <v>325</v>
      </c>
      <c r="O129" s="372"/>
    </row>
    <row r="130" spans="1:15" ht="16" x14ac:dyDescent="0.2">
      <c r="A130" s="111"/>
      <c r="B130" s="111"/>
      <c r="C130" s="281"/>
      <c r="D130" s="111"/>
      <c r="E130" s="111"/>
      <c r="F130" s="840"/>
      <c r="G130" s="111"/>
      <c r="H130" s="111"/>
      <c r="I130" s="111"/>
      <c r="J130" s="111"/>
      <c r="K130" s="111" t="s">
        <v>68</v>
      </c>
      <c r="L130" s="367" t="e">
        <f>SUMIF('R3_Hydro_MEFA'!K:K,K130,'R3_Hydro_MEFA'!L:L)</f>
        <v>#DIV/0!</v>
      </c>
      <c r="M130" s="240" t="s">
        <v>299</v>
      </c>
      <c r="N130" s="790"/>
      <c r="O130" s="372"/>
    </row>
    <row r="131" spans="1:15" ht="18" x14ac:dyDescent="0.2">
      <c r="A131" s="111"/>
      <c r="B131" s="111"/>
      <c r="C131" s="281"/>
      <c r="D131" s="111"/>
      <c r="E131" s="111"/>
      <c r="F131" s="840"/>
      <c r="G131" s="111"/>
      <c r="H131" s="111"/>
      <c r="I131" s="111"/>
      <c r="J131" s="111"/>
      <c r="K131" s="111" t="s">
        <v>555</v>
      </c>
      <c r="L131" s="367" t="e">
        <f>SUMIF('R3_Hydro_MEFA'!K:K,K131,'R3_Hydro_MEFA'!L:L)</f>
        <v>#DIV/0!</v>
      </c>
      <c r="M131" s="240" t="s">
        <v>299</v>
      </c>
      <c r="N131" s="373"/>
      <c r="O131" s="372"/>
    </row>
    <row r="132" spans="1:15" ht="16" x14ac:dyDescent="0.2">
      <c r="A132" s="111"/>
      <c r="B132" s="111"/>
      <c r="C132" s="281"/>
      <c r="D132" s="111"/>
      <c r="E132" s="111"/>
      <c r="F132" s="281"/>
      <c r="G132" s="111"/>
      <c r="H132" s="111"/>
      <c r="I132" s="281"/>
      <c r="J132" s="111"/>
      <c r="K132" s="111" t="s">
        <v>226</v>
      </c>
      <c r="L132" s="281" t="e">
        <f>SUMIF('R3_Hydro_MEFA'!K:K,K132,'R3_Hydro_MEFA'!L:L)</f>
        <v>#DIV/0!</v>
      </c>
      <c r="M132" s="111" t="s">
        <v>299</v>
      </c>
      <c r="N132" s="111" t="s">
        <v>330</v>
      </c>
      <c r="O132" s="281"/>
    </row>
    <row r="133" spans="1:15" ht="16" x14ac:dyDescent="0.2">
      <c r="A133" s="111"/>
      <c r="B133" s="111"/>
      <c r="C133" s="281"/>
      <c r="D133" s="111"/>
      <c r="E133" s="111"/>
      <c r="F133" s="281"/>
      <c r="G133" s="111"/>
      <c r="H133" s="111"/>
      <c r="I133" s="281"/>
      <c r="J133" s="111"/>
      <c r="K133" s="111" t="s">
        <v>64</v>
      </c>
      <c r="L133" s="281">
        <f>SUMIF('R3_Hydro_MEFA'!K:K,K133,'R3_Hydro_MEFA'!L:L)</f>
        <v>0</v>
      </c>
      <c r="M133" s="111"/>
      <c r="N133" s="111"/>
      <c r="O133" s="281"/>
    </row>
    <row r="134" spans="1:15" ht="16" x14ac:dyDescent="0.2">
      <c r="A134" s="94"/>
      <c r="B134" s="94"/>
      <c r="C134" s="354"/>
      <c r="D134" s="94"/>
      <c r="E134" s="94"/>
      <c r="F134" s="354"/>
      <c r="G134" s="94"/>
      <c r="H134" s="94"/>
      <c r="I134" s="354"/>
      <c r="J134" s="94"/>
      <c r="K134" s="94" t="s">
        <v>331</v>
      </c>
      <c r="L134" s="709" t="e">
        <f>L132-F117+F125</f>
        <v>#DIV/0!</v>
      </c>
      <c r="M134" s="452" t="s">
        <v>299</v>
      </c>
      <c r="N134" s="94" t="s">
        <v>330</v>
      </c>
      <c r="O134" s="354"/>
    </row>
    <row r="136" spans="1:15" x14ac:dyDescent="0.2">
      <c r="F136" s="737"/>
      <c r="I136" s="738"/>
      <c r="L136" s="737"/>
    </row>
    <row r="137" spans="1:15" x14ac:dyDescent="0.2">
      <c r="F137" s="737"/>
      <c r="I137" s="738"/>
      <c r="L137" s="737"/>
    </row>
    <row r="138" spans="1:15" x14ac:dyDescent="0.2">
      <c r="F138" s="737"/>
      <c r="L138" s="737"/>
    </row>
    <row r="139" spans="1:15" x14ac:dyDescent="0.2">
      <c r="F139" s="737"/>
      <c r="L139" s="737"/>
    </row>
    <row r="140" spans="1:15" x14ac:dyDescent="0.2">
      <c r="F140" s="737"/>
      <c r="L140" s="737"/>
    </row>
    <row r="141" spans="1:15" x14ac:dyDescent="0.2">
      <c r="F141" s="737"/>
      <c r="L141" s="737"/>
    </row>
    <row r="142" spans="1:15" x14ac:dyDescent="0.2">
      <c r="F142" s="737"/>
      <c r="L142" s="737"/>
    </row>
    <row r="143" spans="1:15" x14ac:dyDescent="0.2">
      <c r="F143" s="737"/>
      <c r="L143" s="737"/>
    </row>
    <row r="144" spans="1:15" x14ac:dyDescent="0.2">
      <c r="F144" s="737"/>
      <c r="L144" s="737"/>
    </row>
    <row r="145" spans="6:12" x14ac:dyDescent="0.2">
      <c r="F145" s="737"/>
      <c r="L145" s="737"/>
    </row>
    <row r="146" spans="6:12" x14ac:dyDescent="0.2">
      <c r="F146" s="737"/>
      <c r="L146" s="737"/>
    </row>
    <row r="147" spans="6:12" x14ac:dyDescent="0.2">
      <c r="F147" s="737"/>
      <c r="L147" s="737"/>
    </row>
    <row r="148" spans="6:12" x14ac:dyDescent="0.2">
      <c r="F148" s="737"/>
      <c r="L148" s="737"/>
    </row>
    <row r="149" spans="6:12" x14ac:dyDescent="0.2">
      <c r="L149" s="737"/>
    </row>
    <row r="150" spans="6:12" x14ac:dyDescent="0.2">
      <c r="L150" s="737"/>
    </row>
    <row r="151" spans="6:12" x14ac:dyDescent="0.2">
      <c r="L151" s="737"/>
    </row>
    <row r="152" spans="6:12" x14ac:dyDescent="0.2">
      <c r="L152" s="737"/>
    </row>
    <row r="153" spans="6:12" x14ac:dyDescent="0.2">
      <c r="L153" s="737"/>
    </row>
    <row r="154" spans="6:12" x14ac:dyDescent="0.2">
      <c r="L154" s="737"/>
    </row>
    <row r="155" spans="6:12" x14ac:dyDescent="0.2">
      <c r="L155" s="737"/>
    </row>
    <row r="156" spans="6:12" x14ac:dyDescent="0.2">
      <c r="L156" s="737"/>
    </row>
    <row r="157" spans="6:12" x14ac:dyDescent="0.2">
      <c r="L157" s="737"/>
    </row>
  </sheetData>
  <pageMargins left="0.7" right="0.7" top="0.78740157499999996" bottom="0.78740157499999996" header="0.3" footer="0.3"/>
  <pageSetup paperSize="9"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Tabelle6">
    <tabColor theme="0" tint="-0.499984740745262"/>
  </sheetPr>
  <dimension ref="A1:AC213"/>
  <sheetViews>
    <sheetView topLeftCell="A157" workbookViewId="0">
      <selection activeCell="F119" sqref="F119"/>
    </sheetView>
  </sheetViews>
  <sheetFormatPr baseColWidth="10" defaultColWidth="11.5" defaultRowHeight="15" x14ac:dyDescent="0.2"/>
  <cols>
    <col min="1" max="1" width="21" customWidth="1"/>
    <col min="2" max="2" width="14.33203125" bestFit="1" customWidth="1"/>
    <col min="3" max="3" width="11.83203125" bestFit="1" customWidth="1"/>
    <col min="4" max="4" width="8.33203125" customWidth="1"/>
    <col min="5" max="5" width="21.83203125" customWidth="1"/>
    <col min="6" max="6" width="11.83203125" bestFit="1" customWidth="1"/>
    <col min="7" max="7" width="11.5" customWidth="1"/>
    <col min="8" max="8" width="16.6640625" customWidth="1"/>
    <col min="9" max="9" width="14.5" customWidth="1"/>
    <col min="10" max="10" width="8.1640625" customWidth="1"/>
    <col min="11" max="11" width="22.33203125" customWidth="1"/>
    <col min="12" max="12" width="14.6640625" customWidth="1"/>
    <col min="13" max="13" width="7.33203125" customWidth="1"/>
    <col min="14" max="14" width="13" style="358" customWidth="1"/>
    <col min="15" max="15" width="16.5" style="358" customWidth="1"/>
    <col min="16" max="16" width="37.6640625" style="122" customWidth="1"/>
    <col min="17" max="17" width="11.33203125" style="123" customWidth="1"/>
    <col min="18" max="18" width="12.6640625" customWidth="1"/>
    <col min="19" max="19" width="26.33203125" customWidth="1"/>
    <col min="20" max="20" width="14.5" customWidth="1"/>
    <col min="21" max="21" width="15.6640625" customWidth="1"/>
    <col min="22" max="22" width="13.6640625" customWidth="1"/>
    <col min="23" max="23" width="20.5" customWidth="1"/>
    <col min="24" max="24" width="23.5" customWidth="1"/>
    <col min="25" max="25" width="15.1640625" customWidth="1"/>
    <col min="26" max="26" width="26.1640625" customWidth="1"/>
    <col min="27" max="27" width="14.6640625" customWidth="1"/>
    <col min="28" max="28" width="19.6640625" customWidth="1"/>
  </cols>
  <sheetData>
    <row r="1" spans="1:17" ht="21" x14ac:dyDescent="0.25">
      <c r="A1" s="189" t="s">
        <v>666</v>
      </c>
      <c r="B1" s="189"/>
    </row>
    <row r="2" spans="1:17" ht="21" x14ac:dyDescent="0.25">
      <c r="A2" s="189"/>
      <c r="B2" s="189"/>
    </row>
    <row r="3" spans="1:17" ht="16" x14ac:dyDescent="0.2">
      <c r="E3" s="700" t="s">
        <v>333</v>
      </c>
    </row>
    <row r="4" spans="1:17" s="126" customFormat="1" ht="32" x14ac:dyDescent="0.2">
      <c r="A4" s="125" t="s">
        <v>13</v>
      </c>
      <c r="B4" s="125" t="s">
        <v>262</v>
      </c>
      <c r="C4" s="125" t="s">
        <v>263</v>
      </c>
      <c r="E4" s="127" t="s">
        <v>334</v>
      </c>
      <c r="F4" s="125"/>
      <c r="G4" s="125" t="s">
        <v>335</v>
      </c>
      <c r="N4" s="501"/>
      <c r="O4" s="501"/>
      <c r="P4" s="128"/>
      <c r="Q4" s="129"/>
    </row>
    <row r="5" spans="1:17" x14ac:dyDescent="0.2">
      <c r="A5" s="124" t="s">
        <v>336</v>
      </c>
      <c r="B5" s="396">
        <f>IF(Macro!$D$8=1,2500,IF(Macro!$D$8=2,25000,75000))</f>
        <v>25000</v>
      </c>
      <c r="C5" s="124" t="s">
        <v>337</v>
      </c>
      <c r="D5" s="133"/>
      <c r="E5" s="124" t="s">
        <v>667</v>
      </c>
      <c r="F5" s="817">
        <v>0.3</v>
      </c>
      <c r="G5" s="316">
        <v>0.3</v>
      </c>
    </row>
    <row r="6" spans="1:17" x14ac:dyDescent="0.2">
      <c r="A6" s="124"/>
      <c r="B6" s="124"/>
      <c r="C6" s="124"/>
    </row>
    <row r="7" spans="1:17" x14ac:dyDescent="0.2">
      <c r="A7" s="124" t="s">
        <v>101</v>
      </c>
      <c r="B7" s="136" t="e">
        <f>B5*Battery!E10*Efficiencies!E77</f>
        <v>#DIV/0!</v>
      </c>
      <c r="C7" s="124" t="s">
        <v>337</v>
      </c>
      <c r="E7" s="122"/>
    </row>
    <row r="8" spans="1:17" x14ac:dyDescent="0.2">
      <c r="A8" s="124" t="s">
        <v>100</v>
      </c>
      <c r="B8" s="136" t="e">
        <f>B5*Battery!E11*Efficiencies!E76</f>
        <v>#DIV/0!</v>
      </c>
      <c r="C8" s="124" t="s">
        <v>337</v>
      </c>
      <c r="E8" s="105"/>
      <c r="F8" s="493"/>
      <c r="G8" s="71"/>
      <c r="H8" s="105"/>
      <c r="I8" s="105"/>
    </row>
    <row r="9" spans="1:17" x14ac:dyDescent="0.2">
      <c r="A9" s="124" t="s">
        <v>245</v>
      </c>
      <c r="B9" s="136" t="e">
        <f>B5*Battery!E15*'R3_MEFA'!O5</f>
        <v>#DIV/0!</v>
      </c>
      <c r="C9" s="124" t="s">
        <v>337</v>
      </c>
      <c r="E9" s="71"/>
      <c r="F9" s="466"/>
      <c r="G9" s="71"/>
      <c r="H9" s="71"/>
      <c r="I9" s="71"/>
    </row>
    <row r="10" spans="1:17" x14ac:dyDescent="0.2">
      <c r="A10" s="124" t="s">
        <v>49</v>
      </c>
      <c r="B10" s="148" t="e">
        <f>B5*F5*'R3_MEFA'!O7*Battery!E20</f>
        <v>#DIV/0!</v>
      </c>
      <c r="C10" s="124" t="s">
        <v>337</v>
      </c>
      <c r="E10" s="71"/>
      <c r="F10" s="71"/>
      <c r="G10" s="71"/>
      <c r="H10" s="71"/>
      <c r="I10" s="71"/>
    </row>
    <row r="11" spans="1:17" ht="16" x14ac:dyDescent="0.2">
      <c r="A11" s="152" t="s">
        <v>668</v>
      </c>
      <c r="B11" s="136" t="e">
        <f>SUM(B7:B10)</f>
        <v>#DIV/0!</v>
      </c>
      <c r="C11" s="124" t="s">
        <v>337</v>
      </c>
    </row>
    <row r="13" spans="1:17" ht="16" x14ac:dyDescent="0.2">
      <c r="A13" s="152" t="s">
        <v>292</v>
      </c>
      <c r="B13" s="99" t="s">
        <v>13</v>
      </c>
      <c r="C13" s="99" t="s">
        <v>262</v>
      </c>
      <c r="D13" s="99" t="s">
        <v>263</v>
      </c>
      <c r="E13" s="100" t="s">
        <v>293</v>
      </c>
      <c r="F13" s="100" t="s">
        <v>262</v>
      </c>
      <c r="G13" s="100" t="s">
        <v>263</v>
      </c>
      <c r="H13" s="102" t="s">
        <v>294</v>
      </c>
      <c r="I13" s="153" t="s">
        <v>262</v>
      </c>
      <c r="J13" s="153" t="s">
        <v>263</v>
      </c>
      <c r="K13" s="103" t="s">
        <v>341</v>
      </c>
      <c r="L13" s="154" t="s">
        <v>262</v>
      </c>
      <c r="M13" s="103" t="s">
        <v>263</v>
      </c>
      <c r="N13" s="520" t="s">
        <v>342</v>
      </c>
      <c r="O13" s="520" t="s">
        <v>562</v>
      </c>
      <c r="P13" s="98" t="s">
        <v>296</v>
      </c>
      <c r="Q13" s="155" t="s">
        <v>309</v>
      </c>
    </row>
    <row r="14" spans="1:17" s="126" customFormat="1" ht="16" x14ac:dyDescent="0.2">
      <c r="A14" s="778" t="s">
        <v>216</v>
      </c>
      <c r="B14" s="156"/>
      <c r="C14" s="157"/>
      <c r="D14" s="157"/>
      <c r="E14" s="156"/>
      <c r="F14" s="156"/>
      <c r="G14" s="158"/>
      <c r="H14" s="156"/>
      <c r="I14" s="156"/>
      <c r="J14" s="156"/>
      <c r="K14" s="157"/>
      <c r="L14" s="159"/>
      <c r="M14" s="156"/>
      <c r="N14" s="502"/>
      <c r="O14" s="502"/>
      <c r="P14" s="160"/>
      <c r="Q14" s="161"/>
    </row>
    <row r="15" spans="1:17" ht="16" x14ac:dyDescent="0.2">
      <c r="A15" s="211" t="s">
        <v>344</v>
      </c>
      <c r="B15" s="133" t="s">
        <v>289</v>
      </c>
      <c r="C15" s="162" t="e">
        <f>B11</f>
        <v>#DIV/0!</v>
      </c>
      <c r="D15" s="163" t="s">
        <v>299</v>
      </c>
      <c r="E15" s="133"/>
      <c r="F15" s="133"/>
      <c r="G15" s="163"/>
      <c r="H15" s="133"/>
      <c r="I15" s="133"/>
      <c r="J15" s="133"/>
      <c r="K15" s="163"/>
      <c r="L15" s="133"/>
      <c r="M15" s="133"/>
      <c r="N15" s="503"/>
      <c r="O15" s="503"/>
      <c r="P15" s="164"/>
      <c r="Q15" s="165"/>
    </row>
    <row r="16" spans="1:17" ht="16" x14ac:dyDescent="0.2">
      <c r="A16" s="133" t="s">
        <v>345</v>
      </c>
      <c r="B16" s="133"/>
      <c r="C16" s="163"/>
      <c r="D16" s="163"/>
      <c r="E16" s="211" t="s">
        <v>74</v>
      </c>
      <c r="F16" s="167" t="e">
        <f>Stoichiometry!G114</f>
        <v>#DIV/0!</v>
      </c>
      <c r="G16" s="163" t="s">
        <v>299</v>
      </c>
      <c r="H16" s="133"/>
      <c r="I16" s="133"/>
      <c r="J16" s="133"/>
      <c r="K16" s="163"/>
      <c r="L16" s="133"/>
      <c r="M16" s="133"/>
      <c r="N16" s="503"/>
      <c r="O16" s="503"/>
      <c r="P16" s="164"/>
      <c r="Q16" s="165"/>
    </row>
    <row r="17" spans="1:17" ht="16" x14ac:dyDescent="0.2">
      <c r="A17" s="133"/>
      <c r="B17" s="133"/>
      <c r="C17" s="163"/>
      <c r="D17" s="163"/>
      <c r="E17" s="133"/>
      <c r="F17" s="167"/>
      <c r="G17" s="163"/>
      <c r="H17" s="133" t="s">
        <v>52</v>
      </c>
      <c r="I17" s="169" t="e">
        <f>Energy!O101</f>
        <v>#DIV/0!</v>
      </c>
      <c r="J17" s="133" t="s">
        <v>233</v>
      </c>
      <c r="K17" s="163"/>
      <c r="L17" s="133"/>
      <c r="M17" s="133"/>
      <c r="N17" s="503"/>
      <c r="O17" s="503"/>
      <c r="P17" s="164" t="s">
        <v>346</v>
      </c>
      <c r="Q17" s="165"/>
    </row>
    <row r="18" spans="1:17" ht="16" x14ac:dyDescent="0.2">
      <c r="A18" s="133"/>
      <c r="B18" s="169"/>
      <c r="C18" s="163"/>
      <c r="D18" s="163"/>
      <c r="E18" s="133"/>
      <c r="F18" s="133"/>
      <c r="G18" s="163"/>
      <c r="H18" s="133"/>
      <c r="I18" s="133"/>
      <c r="J18" s="133"/>
      <c r="K18" s="163" t="s">
        <v>347</v>
      </c>
      <c r="L18" s="169" t="e">
        <f>Stoichiometry!G121</f>
        <v>#DIV/0!</v>
      </c>
      <c r="M18" s="133" t="s">
        <v>299</v>
      </c>
      <c r="N18" s="503"/>
      <c r="O18" s="503"/>
      <c r="P18" s="164" t="s">
        <v>348</v>
      </c>
      <c r="Q18" s="165"/>
    </row>
    <row r="19" spans="1:17" x14ac:dyDescent="0.2">
      <c r="A19" s="133"/>
      <c r="B19" s="169"/>
      <c r="C19" s="163"/>
      <c r="D19" s="163"/>
      <c r="E19" s="133"/>
      <c r="F19" s="133"/>
      <c r="G19" s="163"/>
      <c r="H19" s="133"/>
      <c r="I19" s="133"/>
      <c r="J19" s="133"/>
      <c r="K19" s="163" t="s">
        <v>347</v>
      </c>
      <c r="L19" s="169" t="e">
        <f>L18/N19</f>
        <v>#DIV/0!</v>
      </c>
      <c r="M19" s="133" t="s">
        <v>312</v>
      </c>
      <c r="N19" s="504" t="e">
        <f>Stoichiometry!C121</f>
        <v>#DIV/0!</v>
      </c>
      <c r="O19" s="504"/>
      <c r="P19" s="164"/>
      <c r="Q19" s="192"/>
    </row>
    <row r="20" spans="1:17" x14ac:dyDescent="0.2">
      <c r="A20" s="133"/>
      <c r="B20" s="133"/>
      <c r="C20" s="163"/>
      <c r="D20" s="163"/>
      <c r="E20" s="133"/>
      <c r="F20" s="133"/>
      <c r="G20" s="163"/>
      <c r="H20" s="170"/>
      <c r="I20" s="170"/>
      <c r="J20" s="170"/>
      <c r="K20" s="146"/>
      <c r="L20" s="170"/>
      <c r="M20" s="170"/>
      <c r="N20" s="505"/>
      <c r="O20" s="505"/>
      <c r="P20" s="171"/>
      <c r="Q20" s="172"/>
    </row>
    <row r="21" spans="1:17" ht="16" x14ac:dyDescent="0.2">
      <c r="A21" s="777" t="s">
        <v>217</v>
      </c>
      <c r="B21" s="173"/>
      <c r="C21" s="174"/>
      <c r="D21" s="174"/>
      <c r="E21" s="173"/>
      <c r="F21" s="173"/>
      <c r="G21" s="174"/>
      <c r="H21" s="133"/>
      <c r="I21" s="133"/>
      <c r="J21" s="133"/>
      <c r="K21" s="163"/>
      <c r="L21" s="133"/>
      <c r="M21" s="133"/>
      <c r="N21" s="503"/>
      <c r="O21" s="503"/>
      <c r="P21" s="164"/>
      <c r="Q21" s="165"/>
    </row>
    <row r="22" spans="1:17" ht="16" x14ac:dyDescent="0.2">
      <c r="A22" s="211" t="s">
        <v>349</v>
      </c>
      <c r="B22" s="133" t="s">
        <v>347</v>
      </c>
      <c r="C22" s="162" t="e">
        <f>L18</f>
        <v>#DIV/0!</v>
      </c>
      <c r="D22" s="163" t="s">
        <v>299</v>
      </c>
      <c r="E22" s="133"/>
      <c r="F22" s="133"/>
      <c r="G22" s="163"/>
      <c r="H22" s="133"/>
      <c r="I22" s="133"/>
      <c r="J22" s="133"/>
      <c r="K22" s="163"/>
      <c r="L22" s="133"/>
      <c r="M22" s="133"/>
      <c r="N22" s="503"/>
      <c r="O22" s="503"/>
      <c r="P22" s="164"/>
      <c r="Q22" s="165"/>
    </row>
    <row r="23" spans="1:17" ht="15.5" customHeight="1" x14ac:dyDescent="0.2">
      <c r="A23" s="175"/>
      <c r="B23" s="176"/>
      <c r="C23" s="177"/>
      <c r="D23" s="177"/>
      <c r="E23" s="133" t="s">
        <v>226</v>
      </c>
      <c r="F23" s="178" t="e">
        <f>(Stoichiometry!G116/(Stoichiometry!J6/1000)+Stoichiometry!G117/(Stoichiometry!J5/1000)+Stoichiometry!G118/(Stoichiometry!J9/1000)+Stoichiometry!G119/(Stoichiometry!J10/1000))*Q23</f>
        <v>#DIV/0!</v>
      </c>
      <c r="G23" s="163" t="s">
        <v>299</v>
      </c>
      <c r="H23" s="133"/>
      <c r="I23" s="133"/>
      <c r="J23" s="133"/>
      <c r="K23" s="163"/>
      <c r="L23" s="133"/>
      <c r="M23" s="133"/>
      <c r="N23" s="503"/>
      <c r="O23" s="503"/>
      <c r="P23" s="111" t="s">
        <v>350</v>
      </c>
      <c r="Q23" s="818">
        <v>1.2</v>
      </c>
    </row>
    <row r="24" spans="1:17" ht="29.5" customHeight="1" x14ac:dyDescent="0.2">
      <c r="A24" s="175"/>
      <c r="B24" s="176"/>
      <c r="C24" s="177"/>
      <c r="D24" s="177"/>
      <c r="E24" s="133"/>
      <c r="F24" s="178"/>
      <c r="G24" s="163"/>
      <c r="H24" s="390" t="s">
        <v>52</v>
      </c>
      <c r="I24" s="472" t="e">
        <f>Energy!O102</f>
        <v>#DIV/0!</v>
      </c>
      <c r="J24" s="390" t="s">
        <v>233</v>
      </c>
      <c r="K24" s="163"/>
      <c r="L24" s="133"/>
      <c r="M24" s="133"/>
      <c r="N24" s="503"/>
      <c r="O24" s="503"/>
      <c r="P24" s="179"/>
      <c r="Q24" s="471"/>
    </row>
    <row r="25" spans="1:17" ht="15.5" customHeight="1" x14ac:dyDescent="0.2">
      <c r="A25" s="133"/>
      <c r="B25" s="133"/>
      <c r="C25" s="163"/>
      <c r="D25" s="163"/>
      <c r="E25" s="133"/>
      <c r="F25" s="133"/>
      <c r="G25" s="163"/>
      <c r="H25" s="133"/>
      <c r="I25" s="133"/>
      <c r="J25" s="133"/>
      <c r="K25" s="163" t="s">
        <v>351</v>
      </c>
      <c r="L25" s="169" t="e">
        <f>C22+F23</f>
        <v>#DIV/0!</v>
      </c>
      <c r="M25" s="133" t="s">
        <v>299</v>
      </c>
      <c r="N25" s="503"/>
      <c r="O25" s="503"/>
      <c r="P25" s="164"/>
      <c r="Q25" s="165"/>
    </row>
    <row r="26" spans="1:17" x14ac:dyDescent="0.2">
      <c r="A26" s="133"/>
      <c r="B26" s="133"/>
      <c r="C26" s="163"/>
      <c r="D26" s="163"/>
      <c r="E26" s="133"/>
      <c r="F26" s="133"/>
      <c r="G26" s="163"/>
      <c r="H26" s="133"/>
      <c r="I26" s="133"/>
      <c r="J26" s="133"/>
      <c r="K26" s="163" t="s">
        <v>351</v>
      </c>
      <c r="L26" s="169" t="e">
        <f>L25/N26</f>
        <v>#DIV/0!</v>
      </c>
      <c r="M26" s="133" t="s">
        <v>312</v>
      </c>
      <c r="N26" s="506" t="e">
        <f>C22*Stoichiometry!C19/L25+F23*1/L25</f>
        <v>#DIV/0!</v>
      </c>
      <c r="O26" s="506"/>
      <c r="P26" s="164"/>
      <c r="Q26" s="192"/>
    </row>
    <row r="27" spans="1:17" x14ac:dyDescent="0.2">
      <c r="A27" s="133"/>
      <c r="B27" s="133"/>
      <c r="C27" s="163"/>
      <c r="D27" s="163"/>
      <c r="E27" s="133"/>
      <c r="F27" s="133"/>
      <c r="G27" s="163"/>
      <c r="H27" s="170"/>
      <c r="I27" s="170"/>
      <c r="J27" s="170"/>
      <c r="K27" s="146"/>
      <c r="L27" s="170"/>
      <c r="M27" s="170"/>
      <c r="N27" s="505"/>
      <c r="O27" s="505"/>
      <c r="P27" s="171"/>
      <c r="Q27" s="172"/>
    </row>
    <row r="28" spans="1:17" x14ac:dyDescent="0.2">
      <c r="A28" s="159" t="s">
        <v>223</v>
      </c>
      <c r="B28" s="173"/>
      <c r="C28" s="174"/>
      <c r="D28" s="174"/>
      <c r="E28" s="173"/>
      <c r="F28" s="173"/>
      <c r="G28" s="174"/>
      <c r="H28" s="133"/>
      <c r="I28" s="133"/>
      <c r="J28" s="133"/>
      <c r="K28" s="163"/>
      <c r="L28" s="133"/>
      <c r="M28" s="133"/>
      <c r="N28" s="503"/>
      <c r="O28" s="503"/>
      <c r="P28" s="164"/>
      <c r="Q28" s="165"/>
    </row>
    <row r="29" spans="1:17" x14ac:dyDescent="0.2">
      <c r="A29" s="133" t="s">
        <v>353</v>
      </c>
      <c r="B29" s="133" t="s">
        <v>351</v>
      </c>
      <c r="C29" s="162" t="e">
        <f>L25</f>
        <v>#DIV/0!</v>
      </c>
      <c r="D29" s="163" t="s">
        <v>299</v>
      </c>
      <c r="E29" s="133"/>
      <c r="F29" s="133"/>
      <c r="G29" s="163"/>
      <c r="H29" s="163"/>
      <c r="I29" s="133"/>
      <c r="J29" s="133"/>
      <c r="K29" s="163"/>
      <c r="L29" s="133"/>
      <c r="M29" s="133"/>
      <c r="N29" s="503"/>
      <c r="O29" s="503"/>
      <c r="P29" s="164"/>
      <c r="Q29" s="165"/>
    </row>
    <row r="30" spans="1:17" ht="48" x14ac:dyDescent="0.2">
      <c r="A30" s="133"/>
      <c r="B30" s="133"/>
      <c r="C30" s="163"/>
      <c r="D30" s="163"/>
      <c r="E30" s="133" t="s">
        <v>49</v>
      </c>
      <c r="F30" s="169" t="e">
        <f>B9*(Stoichiometry!D110/Stoichiometry!D109)*Q30</f>
        <v>#DIV/0!</v>
      </c>
      <c r="G30" s="163" t="s">
        <v>299</v>
      </c>
      <c r="H30" s="163"/>
      <c r="I30" s="133"/>
      <c r="J30" s="133"/>
      <c r="K30" s="163"/>
      <c r="L30" s="133"/>
      <c r="M30" s="133"/>
      <c r="N30" s="503"/>
      <c r="O30" s="503"/>
      <c r="P30" s="111" t="s">
        <v>354</v>
      </c>
      <c r="Q30" s="819">
        <v>1.1000000000000001</v>
      </c>
    </row>
    <row r="31" spans="1:17" x14ac:dyDescent="0.2">
      <c r="A31" s="133"/>
      <c r="B31" s="133"/>
      <c r="C31" s="163"/>
      <c r="D31" s="163"/>
      <c r="E31" s="133"/>
      <c r="F31" s="180"/>
      <c r="G31" s="163"/>
      <c r="H31" s="133" t="s">
        <v>52</v>
      </c>
      <c r="I31" s="178" t="e">
        <f>Energy!O103</f>
        <v>#DIV/0!</v>
      </c>
      <c r="J31" s="133" t="s">
        <v>233</v>
      </c>
      <c r="K31" s="163"/>
      <c r="L31" s="133"/>
      <c r="M31" s="133"/>
      <c r="N31" s="503"/>
      <c r="O31" s="503"/>
      <c r="P31" s="179"/>
      <c r="Q31" s="471"/>
    </row>
    <row r="32" spans="1:17" x14ac:dyDescent="0.2">
      <c r="A32" s="133"/>
      <c r="B32" s="133"/>
      <c r="C32" s="163"/>
      <c r="D32" s="163"/>
      <c r="E32" s="133"/>
      <c r="F32" s="133"/>
      <c r="G32" s="163"/>
      <c r="H32" s="163"/>
      <c r="I32" s="133"/>
      <c r="J32" s="133"/>
      <c r="K32" s="163" t="s">
        <v>351</v>
      </c>
      <c r="L32" s="169" t="e">
        <f>C29+F30</f>
        <v>#DIV/0!</v>
      </c>
      <c r="M32" s="133" t="s">
        <v>299</v>
      </c>
      <c r="N32" s="503"/>
      <c r="O32" s="503"/>
      <c r="P32" s="164"/>
      <c r="Q32" s="165"/>
    </row>
    <row r="33" spans="1:24" x14ac:dyDescent="0.2">
      <c r="A33" s="133"/>
      <c r="B33" s="133"/>
      <c r="C33" s="163"/>
      <c r="D33" s="163"/>
      <c r="E33" s="133"/>
      <c r="F33" s="133"/>
      <c r="G33" s="163"/>
      <c r="H33" s="163"/>
      <c r="I33" s="133"/>
      <c r="J33" s="133"/>
      <c r="K33" s="163" t="s">
        <v>351</v>
      </c>
      <c r="L33" s="169" t="e">
        <f>L32/N33</f>
        <v>#DIV/0!</v>
      </c>
      <c r="M33" s="133" t="s">
        <v>312</v>
      </c>
      <c r="N33" s="506" t="e">
        <f>N26</f>
        <v>#DIV/0!</v>
      </c>
      <c r="O33" s="506"/>
      <c r="P33" s="164"/>
      <c r="Q33" s="192"/>
      <c r="X33" s="168"/>
    </row>
    <row r="34" spans="1:24" x14ac:dyDescent="0.2">
      <c r="A34" s="133"/>
      <c r="B34" s="133"/>
      <c r="C34" s="163"/>
      <c r="D34" s="163"/>
      <c r="E34" s="133"/>
      <c r="F34" s="133"/>
      <c r="G34" s="163"/>
      <c r="H34" s="170"/>
      <c r="I34" s="170"/>
      <c r="J34" s="170"/>
      <c r="K34" s="146"/>
      <c r="L34" s="170"/>
      <c r="M34" s="170"/>
      <c r="N34" s="505"/>
      <c r="O34" s="505"/>
      <c r="P34" s="171"/>
      <c r="Q34" s="172"/>
    </row>
    <row r="35" spans="1:24" x14ac:dyDescent="0.2">
      <c r="A35" s="159" t="s">
        <v>224</v>
      </c>
      <c r="B35" s="173"/>
      <c r="C35" s="174"/>
      <c r="D35" s="174"/>
      <c r="E35" s="173"/>
      <c r="F35" s="173"/>
      <c r="G35" s="174"/>
      <c r="H35" s="133"/>
      <c r="I35" s="133"/>
      <c r="J35" s="133"/>
      <c r="K35" s="163"/>
      <c r="L35" s="133"/>
      <c r="M35" s="133"/>
      <c r="N35" s="503"/>
      <c r="O35" s="503"/>
      <c r="P35" s="164"/>
      <c r="Q35" s="165"/>
    </row>
    <row r="36" spans="1:24" x14ac:dyDescent="0.2">
      <c r="A36" s="133" t="s">
        <v>355</v>
      </c>
      <c r="B36" s="133" t="s">
        <v>351</v>
      </c>
      <c r="C36" s="162" t="e">
        <f>L32</f>
        <v>#DIV/0!</v>
      </c>
      <c r="D36" s="163" t="s">
        <v>299</v>
      </c>
      <c r="E36" s="133"/>
      <c r="F36" s="133"/>
      <c r="G36" s="163"/>
      <c r="H36" s="133"/>
      <c r="I36" s="133"/>
      <c r="J36" s="133"/>
      <c r="K36" s="163"/>
      <c r="L36" s="133"/>
      <c r="M36" s="133"/>
      <c r="N36" s="503"/>
      <c r="O36" s="503"/>
      <c r="P36" s="164"/>
      <c r="Q36" s="165"/>
    </row>
    <row r="37" spans="1:24" x14ac:dyDescent="0.2">
      <c r="A37" s="133"/>
      <c r="B37" s="133"/>
      <c r="C37" s="162"/>
      <c r="D37" s="163"/>
      <c r="E37" s="133"/>
      <c r="F37" s="133"/>
      <c r="G37" s="163"/>
      <c r="H37" s="133" t="s">
        <v>52</v>
      </c>
      <c r="I37" s="178" t="e">
        <f>Energy!O104</f>
        <v>#DIV/0!</v>
      </c>
      <c r="J37" s="133" t="s">
        <v>233</v>
      </c>
      <c r="K37" s="163"/>
      <c r="L37" s="133"/>
      <c r="M37" s="133"/>
      <c r="N37" s="503"/>
      <c r="O37" s="503"/>
      <c r="P37" s="164"/>
      <c r="Q37" s="471"/>
    </row>
    <row r="38" spans="1:24" ht="16" x14ac:dyDescent="0.2">
      <c r="A38" s="133"/>
      <c r="B38" s="133"/>
      <c r="C38" s="163"/>
      <c r="D38" s="163"/>
      <c r="E38" s="133"/>
      <c r="F38" s="133"/>
      <c r="G38" s="163"/>
      <c r="H38" s="133"/>
      <c r="I38" s="133"/>
      <c r="J38" s="133"/>
      <c r="K38" s="164" t="s">
        <v>574</v>
      </c>
      <c r="L38" s="169" t="e">
        <f>B9*Efficiencies!E103</f>
        <v>#DIV/0!</v>
      </c>
      <c r="M38" s="133" t="s">
        <v>299</v>
      </c>
      <c r="N38" s="503"/>
      <c r="O38" s="503"/>
      <c r="P38" s="164"/>
      <c r="Q38" s="165"/>
    </row>
    <row r="39" spans="1:24" x14ac:dyDescent="0.2">
      <c r="A39" s="133"/>
      <c r="B39" s="133"/>
      <c r="C39" s="163"/>
      <c r="D39" s="163"/>
      <c r="E39" s="133"/>
      <c r="F39" s="133"/>
      <c r="G39" s="163"/>
      <c r="H39" s="133"/>
      <c r="I39" s="133"/>
      <c r="J39" s="133"/>
      <c r="K39" s="163" t="s">
        <v>351</v>
      </c>
      <c r="L39" s="169" t="e">
        <f>C36-L38</f>
        <v>#DIV/0!</v>
      </c>
      <c r="M39" s="133" t="s">
        <v>299</v>
      </c>
      <c r="N39" s="503"/>
      <c r="O39" s="503"/>
      <c r="P39" s="164"/>
      <c r="Q39" s="165"/>
    </row>
    <row r="40" spans="1:24" x14ac:dyDescent="0.2">
      <c r="A40" s="133"/>
      <c r="B40" s="133"/>
      <c r="C40" s="163"/>
      <c r="D40" s="163"/>
      <c r="E40" s="133"/>
      <c r="F40" s="133"/>
      <c r="G40" s="146"/>
      <c r="H40" s="170"/>
      <c r="I40" s="170"/>
      <c r="J40" s="170"/>
      <c r="K40" s="146"/>
      <c r="L40" s="170"/>
      <c r="M40" s="170"/>
      <c r="N40" s="505"/>
      <c r="O40" s="505"/>
      <c r="P40" s="171"/>
      <c r="Q40" s="172"/>
    </row>
    <row r="41" spans="1:24" x14ac:dyDescent="0.2">
      <c r="A41" s="159" t="s">
        <v>357</v>
      </c>
      <c r="B41" s="173"/>
      <c r="C41" s="174"/>
      <c r="D41" s="174"/>
      <c r="E41" s="173"/>
      <c r="F41" s="173"/>
      <c r="G41" s="163"/>
      <c r="H41" s="133"/>
      <c r="I41" s="133"/>
      <c r="J41" s="133"/>
      <c r="K41" s="163"/>
      <c r="L41" s="133"/>
      <c r="M41" s="133"/>
      <c r="N41" s="503"/>
      <c r="O41" s="503"/>
      <c r="P41" s="164"/>
      <c r="Q41" s="165"/>
    </row>
    <row r="42" spans="1:24" ht="16" x14ac:dyDescent="0.2">
      <c r="A42" s="211" t="s">
        <v>353</v>
      </c>
      <c r="B42" s="133" t="s">
        <v>351</v>
      </c>
      <c r="C42" s="162" t="e">
        <f>L39</f>
        <v>#DIV/0!</v>
      </c>
      <c r="D42" s="163" t="s">
        <v>299</v>
      </c>
      <c r="E42" s="133"/>
      <c r="F42" s="133"/>
      <c r="G42" s="163"/>
      <c r="H42" s="133"/>
      <c r="I42" s="133"/>
      <c r="J42" s="133"/>
      <c r="K42" s="163"/>
      <c r="L42" s="133"/>
      <c r="M42" s="133"/>
      <c r="N42" s="503"/>
      <c r="O42" s="503"/>
      <c r="P42" s="164"/>
      <c r="Q42" s="165"/>
    </row>
    <row r="43" spans="1:24" x14ac:dyDescent="0.2">
      <c r="A43" s="133"/>
      <c r="B43" s="133" t="s">
        <v>351</v>
      </c>
      <c r="C43" s="162" t="e">
        <f>C42/N43</f>
        <v>#DIV/0!</v>
      </c>
      <c r="D43" s="163" t="s">
        <v>312</v>
      </c>
      <c r="E43" s="133"/>
      <c r="F43" s="133"/>
      <c r="G43" s="163"/>
      <c r="H43" s="163"/>
      <c r="I43" s="133"/>
      <c r="J43" s="133"/>
      <c r="K43" s="163"/>
      <c r="L43" s="133"/>
      <c r="M43" s="133"/>
      <c r="N43" s="506" t="e">
        <f>N33</f>
        <v>#DIV/0!</v>
      </c>
      <c r="O43" s="506"/>
      <c r="P43" s="164"/>
      <c r="Q43" s="192"/>
    </row>
    <row r="44" spans="1:24" ht="16" x14ac:dyDescent="0.2">
      <c r="A44" s="133"/>
      <c r="B44" s="133"/>
      <c r="C44" s="163"/>
      <c r="D44" s="163"/>
      <c r="E44" s="164" t="s">
        <v>78</v>
      </c>
      <c r="F44" s="169" t="e">
        <f>C43*Q44</f>
        <v>#DIV/0!</v>
      </c>
      <c r="G44" s="163" t="s">
        <v>312</v>
      </c>
      <c r="H44" s="133"/>
      <c r="I44" s="133"/>
      <c r="J44" s="133"/>
      <c r="K44" s="163"/>
      <c r="L44" s="133"/>
      <c r="M44" s="133"/>
      <c r="N44" s="503"/>
      <c r="O44" s="503"/>
      <c r="P44" s="164" t="s">
        <v>358</v>
      </c>
      <c r="Q44" s="820">
        <v>0.04</v>
      </c>
    </row>
    <row r="45" spans="1:24" ht="16" x14ac:dyDescent="0.2">
      <c r="A45" s="133"/>
      <c r="B45" s="133"/>
      <c r="C45" s="163"/>
      <c r="D45" s="163"/>
      <c r="E45" s="164" t="s">
        <v>78</v>
      </c>
      <c r="F45" s="169" t="e">
        <f>F44*Stoichiometry!C125</f>
        <v>#DIV/0!</v>
      </c>
      <c r="G45" s="163" t="s">
        <v>299</v>
      </c>
      <c r="H45" s="133"/>
      <c r="I45" s="133"/>
      <c r="J45" s="133"/>
      <c r="K45" s="163"/>
      <c r="L45" s="133"/>
      <c r="M45" s="133"/>
      <c r="N45" s="503"/>
      <c r="O45" s="503"/>
      <c r="P45" s="164"/>
      <c r="Q45" s="165"/>
    </row>
    <row r="46" spans="1:24" x14ac:dyDescent="0.2">
      <c r="A46" s="133"/>
      <c r="B46" s="133"/>
      <c r="C46" s="163"/>
      <c r="D46" s="163"/>
      <c r="E46" s="133"/>
      <c r="F46" s="169"/>
      <c r="G46" s="163"/>
      <c r="H46" s="133" t="s">
        <v>52</v>
      </c>
      <c r="I46" s="178" t="e">
        <f>Energy!O105</f>
        <v>#DIV/0!</v>
      </c>
      <c r="J46" s="133" t="s">
        <v>233</v>
      </c>
      <c r="K46" s="163"/>
      <c r="L46" s="133"/>
      <c r="M46" s="133"/>
      <c r="N46" s="503"/>
      <c r="O46" s="503"/>
      <c r="P46" s="164"/>
      <c r="Q46" s="471"/>
    </row>
    <row r="47" spans="1:24" x14ac:dyDescent="0.2">
      <c r="A47" s="133"/>
      <c r="B47" s="133"/>
      <c r="C47" s="163"/>
      <c r="D47" s="163"/>
      <c r="E47" s="133"/>
      <c r="F47" s="133"/>
      <c r="G47" s="163"/>
      <c r="H47" s="133"/>
      <c r="I47" s="133"/>
      <c r="J47" s="133"/>
      <c r="K47" s="163" t="s">
        <v>351</v>
      </c>
      <c r="L47" s="169" t="e">
        <f>C42+F45</f>
        <v>#DIV/0!</v>
      </c>
      <c r="M47" s="133" t="s">
        <v>299</v>
      </c>
      <c r="N47" s="503"/>
      <c r="O47" s="503"/>
      <c r="P47" s="164"/>
      <c r="Q47" s="165"/>
    </row>
    <row r="48" spans="1:24" x14ac:dyDescent="0.2">
      <c r="A48" s="133"/>
      <c r="B48" s="133"/>
      <c r="C48" s="163"/>
      <c r="D48" s="163"/>
      <c r="E48" s="133"/>
      <c r="F48" s="133"/>
      <c r="G48" s="163"/>
      <c r="H48" s="133"/>
      <c r="I48" s="133"/>
      <c r="J48" s="133"/>
      <c r="K48" s="163" t="s">
        <v>351</v>
      </c>
      <c r="L48" s="169" t="e">
        <f>C43+F44</f>
        <v>#DIV/0!</v>
      </c>
      <c r="M48" s="133" t="s">
        <v>312</v>
      </c>
      <c r="N48" s="503"/>
      <c r="O48" s="503"/>
      <c r="P48" s="164"/>
      <c r="Q48" s="165"/>
    </row>
    <row r="49" spans="1:17" x14ac:dyDescent="0.2">
      <c r="A49" s="133"/>
      <c r="B49" s="133"/>
      <c r="C49" s="163"/>
      <c r="D49" s="163"/>
      <c r="E49" s="133"/>
      <c r="F49" s="133"/>
      <c r="G49" s="146"/>
      <c r="H49" s="170"/>
      <c r="I49" s="170"/>
      <c r="J49" s="170"/>
      <c r="K49" s="146"/>
      <c r="L49" s="170"/>
      <c r="M49" s="170"/>
      <c r="N49" s="505"/>
      <c r="O49" s="505"/>
      <c r="P49" s="171"/>
      <c r="Q49" s="172"/>
    </row>
    <row r="50" spans="1:17" ht="16" x14ac:dyDescent="0.2">
      <c r="A50" s="777" t="s">
        <v>481</v>
      </c>
      <c r="B50" s="173"/>
      <c r="C50" s="174"/>
      <c r="D50" s="174"/>
      <c r="E50" s="173"/>
      <c r="F50" s="173"/>
      <c r="G50" s="163"/>
      <c r="H50" s="133"/>
      <c r="I50" s="133"/>
      <c r="J50" s="133"/>
      <c r="K50" s="163"/>
      <c r="L50" s="133"/>
      <c r="M50" s="133"/>
      <c r="N50" s="503"/>
      <c r="O50" s="503"/>
      <c r="P50" s="164"/>
      <c r="Q50" s="165"/>
    </row>
    <row r="51" spans="1:17" ht="16" x14ac:dyDescent="0.2">
      <c r="A51" s="211" t="s">
        <v>349</v>
      </c>
      <c r="B51" s="133" t="s">
        <v>351</v>
      </c>
      <c r="C51" s="162" t="e">
        <f>L47</f>
        <v>#DIV/0!</v>
      </c>
      <c r="D51" s="163" t="s">
        <v>299</v>
      </c>
      <c r="E51" s="133"/>
      <c r="F51" s="133"/>
      <c r="G51" s="163"/>
      <c r="H51" s="133"/>
      <c r="I51" s="133"/>
      <c r="J51" s="133"/>
      <c r="K51" s="163"/>
      <c r="L51" s="133"/>
      <c r="M51" s="133"/>
      <c r="N51" s="503"/>
      <c r="O51" s="503"/>
      <c r="P51" s="164"/>
      <c r="Q51" s="165"/>
    </row>
    <row r="52" spans="1:17" ht="16" x14ac:dyDescent="0.2">
      <c r="A52" s="133"/>
      <c r="B52" s="133"/>
      <c r="C52" s="163"/>
      <c r="D52" s="163"/>
      <c r="E52" s="133" t="s">
        <v>70</v>
      </c>
      <c r="F52" s="169" t="e">
        <f>F16*Q52</f>
        <v>#DIV/0!</v>
      </c>
      <c r="G52" s="163" t="s">
        <v>299</v>
      </c>
      <c r="H52" s="133"/>
      <c r="I52" s="133"/>
      <c r="J52" s="133"/>
      <c r="K52" s="163"/>
      <c r="L52" s="133"/>
      <c r="M52" s="133"/>
      <c r="N52" s="503"/>
      <c r="O52" s="503"/>
      <c r="P52" s="111" t="s">
        <v>359</v>
      </c>
      <c r="Q52" s="819">
        <v>2</v>
      </c>
    </row>
    <row r="53" spans="1:17" x14ac:dyDescent="0.2">
      <c r="A53" s="133"/>
      <c r="B53" s="133"/>
      <c r="C53" s="163"/>
      <c r="D53" s="163"/>
      <c r="E53" s="133"/>
      <c r="F53" s="169"/>
      <c r="G53" s="163"/>
      <c r="H53" s="133" t="s">
        <v>52</v>
      </c>
      <c r="I53" s="178" t="e">
        <f>Energy!O106</f>
        <v>#DIV/0!</v>
      </c>
      <c r="J53" s="133" t="s">
        <v>233</v>
      </c>
      <c r="K53" s="163"/>
      <c r="L53" s="133"/>
      <c r="M53" s="133"/>
      <c r="N53" s="503"/>
      <c r="O53" s="503"/>
      <c r="P53" s="164"/>
      <c r="Q53" s="473"/>
    </row>
    <row r="54" spans="1:17" x14ac:dyDescent="0.2">
      <c r="A54" s="133"/>
      <c r="B54" s="133"/>
      <c r="C54" s="163"/>
      <c r="D54" s="163"/>
      <c r="E54" s="133"/>
      <c r="F54" s="133"/>
      <c r="G54" s="163"/>
      <c r="H54" s="163"/>
      <c r="I54" s="133"/>
      <c r="J54" s="133"/>
      <c r="K54" s="163" t="s">
        <v>351</v>
      </c>
      <c r="L54" s="169" t="e">
        <f>C51+F52</f>
        <v>#DIV/0!</v>
      </c>
      <c r="M54" s="133" t="s">
        <v>299</v>
      </c>
      <c r="N54" s="503"/>
      <c r="O54" s="503"/>
      <c r="P54" s="164"/>
      <c r="Q54" s="165"/>
    </row>
    <row r="55" spans="1:17" x14ac:dyDescent="0.2">
      <c r="A55" s="133"/>
      <c r="B55" s="133"/>
      <c r="C55" s="163"/>
      <c r="D55" s="163"/>
      <c r="E55" s="133"/>
      <c r="F55" s="133"/>
      <c r="G55" s="163"/>
      <c r="H55" s="163"/>
      <c r="I55" s="133"/>
      <c r="J55" s="133"/>
      <c r="K55" s="163" t="s">
        <v>351</v>
      </c>
      <c r="L55" s="169" t="e">
        <f>L54/N55</f>
        <v>#DIV/0!</v>
      </c>
      <c r="M55" s="133" t="s">
        <v>312</v>
      </c>
      <c r="N55" s="506" t="e">
        <f>N43*C51/L54+Stoichiometry!C24*F52/L54</f>
        <v>#DIV/0!</v>
      </c>
      <c r="O55" s="506"/>
      <c r="P55" s="164"/>
      <c r="Q55" s="192"/>
    </row>
    <row r="56" spans="1:17" x14ac:dyDescent="0.2">
      <c r="A56" s="133"/>
      <c r="B56" s="133"/>
      <c r="C56" s="163"/>
      <c r="D56" s="163"/>
      <c r="E56" s="133"/>
      <c r="F56" s="133"/>
      <c r="G56" s="163"/>
      <c r="H56" s="170"/>
      <c r="I56" s="170"/>
      <c r="J56" s="170"/>
      <c r="K56" s="146"/>
      <c r="L56" s="170"/>
      <c r="M56" s="170"/>
      <c r="N56" s="505"/>
      <c r="O56" s="505"/>
      <c r="P56" s="171"/>
      <c r="Q56" s="172"/>
    </row>
    <row r="57" spans="1:17" x14ac:dyDescent="0.2">
      <c r="A57" s="159" t="s">
        <v>360</v>
      </c>
      <c r="B57" s="173"/>
      <c r="C57" s="174"/>
      <c r="D57" s="174"/>
      <c r="E57" s="173"/>
      <c r="F57" s="173"/>
      <c r="G57" s="174"/>
      <c r="H57" s="133"/>
      <c r="I57" s="133"/>
      <c r="J57" s="133"/>
      <c r="K57" s="163"/>
      <c r="L57" s="133"/>
      <c r="M57" s="133"/>
      <c r="N57" s="503"/>
      <c r="O57" s="503"/>
      <c r="P57" s="164"/>
      <c r="Q57" s="165"/>
    </row>
    <row r="58" spans="1:17" x14ac:dyDescent="0.2">
      <c r="A58" s="133" t="s">
        <v>361</v>
      </c>
      <c r="B58" s="133" t="s">
        <v>351</v>
      </c>
      <c r="C58" s="162" t="e">
        <f>L54</f>
        <v>#DIV/0!</v>
      </c>
      <c r="D58" s="163" t="s">
        <v>299</v>
      </c>
      <c r="E58" s="133"/>
      <c r="F58" s="133"/>
      <c r="G58" s="163"/>
      <c r="H58" s="133"/>
      <c r="I58" s="133"/>
      <c r="J58" s="133"/>
      <c r="K58" s="163"/>
      <c r="L58" s="133"/>
      <c r="M58" s="133"/>
      <c r="N58" s="503"/>
      <c r="O58" s="503"/>
      <c r="P58" s="164"/>
      <c r="Q58" s="165"/>
    </row>
    <row r="59" spans="1:17" x14ac:dyDescent="0.2">
      <c r="A59" s="133"/>
      <c r="B59" s="133"/>
      <c r="C59" s="162"/>
      <c r="D59" s="163"/>
      <c r="E59" s="133"/>
      <c r="F59" s="133"/>
      <c r="G59" s="163"/>
      <c r="H59" s="133" t="s">
        <v>52</v>
      </c>
      <c r="I59" s="178" t="e">
        <f>Energy!O107</f>
        <v>#DIV/0!</v>
      </c>
      <c r="J59" s="133" t="s">
        <v>233</v>
      </c>
      <c r="K59" s="163"/>
      <c r="L59" s="133"/>
      <c r="M59" s="133"/>
      <c r="N59" s="503"/>
      <c r="O59" s="503"/>
      <c r="P59" s="164"/>
      <c r="Q59" s="471"/>
    </row>
    <row r="60" spans="1:17" x14ac:dyDescent="0.2">
      <c r="A60" s="133"/>
      <c r="B60" s="133"/>
      <c r="C60" s="163"/>
      <c r="D60" s="163"/>
      <c r="E60" s="133"/>
      <c r="F60" s="133"/>
      <c r="G60" s="163"/>
      <c r="H60" s="133"/>
      <c r="I60" s="133"/>
      <c r="J60" s="133"/>
      <c r="K60" s="163" t="s">
        <v>351</v>
      </c>
      <c r="L60" s="169" t="e">
        <f>C58-L62</f>
        <v>#DIV/0!</v>
      </c>
      <c r="M60" s="133" t="s">
        <v>299</v>
      </c>
      <c r="N60" s="503"/>
      <c r="O60" s="503"/>
      <c r="P60" s="164"/>
      <c r="Q60" s="165"/>
    </row>
    <row r="61" spans="1:17" x14ac:dyDescent="0.2">
      <c r="A61" s="133"/>
      <c r="B61" s="133"/>
      <c r="C61" s="163"/>
      <c r="D61" s="163"/>
      <c r="E61" s="133"/>
      <c r="F61" s="133"/>
      <c r="G61" s="163"/>
      <c r="H61" s="133"/>
      <c r="I61" s="133"/>
      <c r="J61" s="133"/>
      <c r="K61" s="163" t="s">
        <v>351</v>
      </c>
      <c r="L61" s="169" t="e">
        <f>L60/N61</f>
        <v>#DIV/0!</v>
      </c>
      <c r="M61" s="133" t="s">
        <v>312</v>
      </c>
      <c r="N61" s="507">
        <v>2</v>
      </c>
      <c r="O61" s="507"/>
      <c r="P61" s="164"/>
      <c r="Q61" s="192"/>
    </row>
    <row r="62" spans="1:17" ht="16" x14ac:dyDescent="0.2">
      <c r="A62" s="133"/>
      <c r="B62" s="133"/>
      <c r="C62" s="163"/>
      <c r="D62" s="163"/>
      <c r="E62" s="133"/>
      <c r="F62" s="133"/>
      <c r="G62" s="163"/>
      <c r="H62" s="133"/>
      <c r="I62" s="133"/>
      <c r="J62" s="133"/>
      <c r="K62" s="111" t="s">
        <v>50</v>
      </c>
      <c r="L62" s="178" t="e">
        <f>(B10+F30)*(Stoichiometry!D123/Stoichiometry!D110)*Efficiencies!E103</f>
        <v>#DIV/0!</v>
      </c>
      <c r="M62" s="133" t="s">
        <v>299</v>
      </c>
      <c r="N62" s="503"/>
      <c r="O62" s="503"/>
      <c r="P62" s="164" t="s">
        <v>362</v>
      </c>
      <c r="Q62" s="165"/>
    </row>
    <row r="63" spans="1:17" x14ac:dyDescent="0.2">
      <c r="A63" s="133"/>
      <c r="B63" s="133"/>
      <c r="C63" s="163"/>
      <c r="D63" s="163"/>
      <c r="E63" s="133"/>
      <c r="F63" s="133"/>
      <c r="G63" s="163"/>
      <c r="H63" s="170"/>
      <c r="I63" s="170"/>
      <c r="J63" s="170"/>
      <c r="K63" s="146"/>
      <c r="L63" s="170"/>
      <c r="M63" s="170"/>
      <c r="N63" s="505"/>
      <c r="O63" s="505"/>
      <c r="P63" s="171"/>
      <c r="Q63" s="172"/>
    </row>
    <row r="64" spans="1:17" x14ac:dyDescent="0.2">
      <c r="A64" s="159" t="s">
        <v>484</v>
      </c>
      <c r="B64" s="173"/>
      <c r="C64" s="174"/>
      <c r="D64" s="174"/>
      <c r="E64" s="173"/>
      <c r="F64" s="173"/>
      <c r="G64" s="174"/>
      <c r="H64" s="133"/>
      <c r="I64" s="133"/>
      <c r="J64" s="133"/>
      <c r="K64" s="163"/>
      <c r="L64" s="133"/>
      <c r="M64" s="133"/>
      <c r="N64" s="503"/>
      <c r="O64" s="503"/>
      <c r="P64" s="164"/>
      <c r="Q64" s="165"/>
    </row>
    <row r="65" spans="1:20" ht="16" x14ac:dyDescent="0.2">
      <c r="A65" s="133" t="s">
        <v>353</v>
      </c>
      <c r="B65" s="133" t="s">
        <v>351</v>
      </c>
      <c r="C65" s="162" t="e">
        <f>L60</f>
        <v>#DIV/0!</v>
      </c>
      <c r="D65" s="163" t="s">
        <v>299</v>
      </c>
      <c r="E65" s="133"/>
      <c r="F65" s="133"/>
      <c r="G65" s="163"/>
      <c r="H65" s="133"/>
      <c r="I65" s="133"/>
      <c r="J65" s="133"/>
      <c r="K65" s="163"/>
      <c r="L65" s="133"/>
      <c r="M65" s="133"/>
      <c r="N65" s="503"/>
      <c r="O65" s="503" t="e">
        <f>Energy!Q108</f>
        <v>#DIV/0!</v>
      </c>
      <c r="P65" s="164" t="s">
        <v>277</v>
      </c>
      <c r="Q65" s="165"/>
    </row>
    <row r="66" spans="1:20" ht="32" x14ac:dyDescent="0.2">
      <c r="A66" s="133"/>
      <c r="B66" s="133"/>
      <c r="C66" s="163"/>
      <c r="D66" s="163"/>
      <c r="E66" s="133" t="s">
        <v>63</v>
      </c>
      <c r="F66" s="180" t="e">
        <f>C65/3*1.3*0.7/O65</f>
        <v>#DIV/0!</v>
      </c>
      <c r="G66" s="163" t="s">
        <v>299</v>
      </c>
      <c r="H66" s="133"/>
      <c r="I66" s="133"/>
      <c r="J66" s="133"/>
      <c r="K66" s="163"/>
      <c r="L66" s="133"/>
      <c r="M66" s="133"/>
      <c r="N66" s="503"/>
      <c r="O66" s="503"/>
      <c r="P66" s="849" t="s">
        <v>364</v>
      </c>
      <c r="Q66" s="165"/>
    </row>
    <row r="67" spans="1:20" ht="16" x14ac:dyDescent="0.2">
      <c r="A67" s="133"/>
      <c r="B67" s="133"/>
      <c r="C67" s="163"/>
      <c r="D67" s="163"/>
      <c r="E67" s="133" t="s">
        <v>365</v>
      </c>
      <c r="F67" s="692" t="e">
        <f>C65/3*1.3*0.3/O65</f>
        <v>#DIV/0!</v>
      </c>
      <c r="G67" s="163" t="s">
        <v>583</v>
      </c>
      <c r="H67" s="133"/>
      <c r="I67" s="133"/>
      <c r="J67" s="133"/>
      <c r="K67" s="163"/>
      <c r="L67" s="133"/>
      <c r="M67" s="133"/>
      <c r="N67" s="503"/>
      <c r="O67" s="503"/>
      <c r="P67" s="849" t="s">
        <v>367</v>
      </c>
      <c r="Q67" s="165"/>
    </row>
    <row r="68" spans="1:20" ht="32" x14ac:dyDescent="0.2">
      <c r="A68" s="133"/>
      <c r="B68" s="133"/>
      <c r="C68" s="163"/>
      <c r="D68" s="163"/>
      <c r="E68" s="211" t="s">
        <v>597</v>
      </c>
      <c r="F68" s="950" t="e">
        <f>F67*Q68</f>
        <v>#DIV/0!</v>
      </c>
      <c r="G68" s="163" t="s">
        <v>337</v>
      </c>
      <c r="H68" s="133"/>
      <c r="I68" s="133"/>
      <c r="J68" s="133"/>
      <c r="K68" s="163"/>
      <c r="L68" s="133"/>
      <c r="M68" s="133"/>
      <c r="N68" s="503"/>
      <c r="O68" s="503"/>
      <c r="P68" s="111" t="s">
        <v>369</v>
      </c>
      <c r="Q68" s="949">
        <v>0.05</v>
      </c>
    </row>
    <row r="69" spans="1:20" x14ac:dyDescent="0.2">
      <c r="A69" s="133"/>
      <c r="B69" s="133"/>
      <c r="C69" s="163"/>
      <c r="D69" s="163"/>
      <c r="E69" s="211"/>
      <c r="F69" s="180"/>
      <c r="G69" s="163"/>
      <c r="H69" s="133" t="s">
        <v>52</v>
      </c>
      <c r="I69" s="169" t="e">
        <f>Energy!O108</f>
        <v>#DIV/0!</v>
      </c>
      <c r="J69" s="133" t="s">
        <v>233</v>
      </c>
      <c r="K69" s="163"/>
      <c r="L69" s="133"/>
      <c r="M69" s="133"/>
      <c r="N69" s="503"/>
      <c r="O69" s="503"/>
      <c r="P69" s="111"/>
      <c r="Q69" s="408"/>
    </row>
    <row r="70" spans="1:20" ht="32" x14ac:dyDescent="0.2">
      <c r="A70" s="133"/>
      <c r="B70" s="133"/>
      <c r="C70" s="163"/>
      <c r="D70" s="163"/>
      <c r="E70" s="133"/>
      <c r="F70" s="133"/>
      <c r="G70" s="163"/>
      <c r="H70" s="133"/>
      <c r="I70" s="133"/>
      <c r="J70" s="133"/>
      <c r="K70" s="163" t="s">
        <v>370</v>
      </c>
      <c r="L70" s="409" t="e">
        <f>F66+F67+Stoichiometry!G117+Stoichiometry!G117/(Stoichiometry!J5/1000)</f>
        <v>#DIV/0!</v>
      </c>
      <c r="M70" s="133" t="s">
        <v>299</v>
      </c>
      <c r="N70" s="503"/>
      <c r="O70" s="503"/>
      <c r="P70" s="164" t="s">
        <v>371</v>
      </c>
      <c r="Q70" s="165"/>
    </row>
    <row r="71" spans="1:20" x14ac:dyDescent="0.2">
      <c r="A71" s="133"/>
      <c r="B71" s="133"/>
      <c r="C71" s="163"/>
      <c r="D71" s="163"/>
      <c r="E71" s="133"/>
      <c r="F71" s="133"/>
      <c r="G71" s="163"/>
      <c r="H71" s="133"/>
      <c r="I71" s="133"/>
      <c r="J71" s="133"/>
      <c r="K71" s="163" t="s">
        <v>372</v>
      </c>
      <c r="L71" s="169" t="e">
        <f>C65+F66+F67-L70</f>
        <v>#DIV/0!</v>
      </c>
      <c r="M71" s="133" t="s">
        <v>299</v>
      </c>
      <c r="N71" s="503"/>
      <c r="O71" s="503"/>
      <c r="P71" s="164"/>
      <c r="Q71" s="165"/>
    </row>
    <row r="72" spans="1:20" x14ac:dyDescent="0.2">
      <c r="A72" s="133"/>
      <c r="B72" s="133"/>
      <c r="C72" s="163"/>
      <c r="D72" s="163"/>
      <c r="E72" s="133"/>
      <c r="F72" s="133"/>
      <c r="G72" s="163"/>
      <c r="H72" s="133"/>
      <c r="I72" s="133"/>
      <c r="J72" s="133"/>
      <c r="K72" s="163" t="s">
        <v>372</v>
      </c>
      <c r="L72" s="169" t="e">
        <f>L71/N72</f>
        <v>#DIV/0!</v>
      </c>
      <c r="M72" s="133" t="s">
        <v>312</v>
      </c>
      <c r="N72" s="507">
        <v>2</v>
      </c>
      <c r="O72" s="507"/>
      <c r="P72" s="164"/>
      <c r="Q72" s="529"/>
    </row>
    <row r="73" spans="1:20" x14ac:dyDescent="0.2">
      <c r="A73" s="133"/>
      <c r="B73" s="133"/>
      <c r="C73" s="163"/>
      <c r="D73" s="163"/>
      <c r="E73" s="133"/>
      <c r="F73" s="133"/>
      <c r="G73" s="163"/>
      <c r="H73" s="170"/>
      <c r="I73" s="170"/>
      <c r="J73" s="170"/>
      <c r="K73" s="146"/>
      <c r="L73" s="170"/>
      <c r="M73" s="170"/>
      <c r="N73" s="505"/>
      <c r="O73" s="505"/>
      <c r="P73" s="171"/>
      <c r="Q73" s="172"/>
    </row>
    <row r="74" spans="1:20" x14ac:dyDescent="0.2">
      <c r="A74" s="159" t="s">
        <v>373</v>
      </c>
      <c r="B74" s="173"/>
      <c r="C74" s="174"/>
      <c r="D74" s="174"/>
      <c r="E74" s="173"/>
      <c r="F74" s="173"/>
      <c r="G74" s="174"/>
      <c r="H74" s="133"/>
      <c r="I74" s="133"/>
      <c r="J74" s="133"/>
      <c r="K74" s="163"/>
      <c r="L74" s="133"/>
      <c r="M74" s="133"/>
      <c r="N74" s="503"/>
      <c r="O74" s="503"/>
      <c r="P74" s="164"/>
      <c r="Q74" s="165"/>
    </row>
    <row r="75" spans="1:20" x14ac:dyDescent="0.2">
      <c r="A75" s="133" t="s">
        <v>353</v>
      </c>
      <c r="B75" s="133" t="s">
        <v>370</v>
      </c>
      <c r="C75" s="182" t="e">
        <f>L70</f>
        <v>#DIV/0!</v>
      </c>
      <c r="D75" s="163" t="s">
        <v>299</v>
      </c>
      <c r="E75" s="133"/>
      <c r="F75" s="133"/>
      <c r="G75" s="163"/>
      <c r="H75" s="133"/>
      <c r="I75" s="133"/>
      <c r="J75" s="133"/>
      <c r="K75" s="163"/>
      <c r="L75" s="133"/>
      <c r="M75" s="133"/>
      <c r="N75" s="503"/>
      <c r="O75" s="503"/>
      <c r="P75" s="164"/>
      <c r="Q75" s="165"/>
    </row>
    <row r="76" spans="1:20" ht="16" x14ac:dyDescent="0.2">
      <c r="A76" s="133"/>
      <c r="B76" s="133"/>
      <c r="C76" s="163"/>
      <c r="D76" s="163"/>
      <c r="E76" s="133" t="s">
        <v>669</v>
      </c>
      <c r="F76" s="211" t="s">
        <v>670</v>
      </c>
      <c r="G76" s="163"/>
      <c r="H76" s="133"/>
      <c r="I76" s="133"/>
      <c r="J76" s="133"/>
      <c r="K76" s="163"/>
      <c r="L76" s="133"/>
      <c r="M76" s="133"/>
      <c r="N76" s="503"/>
      <c r="O76" s="503"/>
      <c r="P76" s="164"/>
      <c r="Q76" s="165"/>
      <c r="T76" s="168"/>
    </row>
    <row r="77" spans="1:20" ht="16" x14ac:dyDescent="0.2">
      <c r="A77" s="133"/>
      <c r="B77" s="133"/>
      <c r="C77" s="163"/>
      <c r="D77" s="163"/>
      <c r="E77" s="133"/>
      <c r="F77" s="133"/>
      <c r="G77" s="163"/>
      <c r="H77" s="133" t="s">
        <v>52</v>
      </c>
      <c r="I77" s="169" t="e">
        <f>Energy!O109</f>
        <v>#DIV/0!</v>
      </c>
      <c r="J77" s="133" t="s">
        <v>233</v>
      </c>
      <c r="K77" s="163"/>
      <c r="L77" s="133"/>
      <c r="M77" s="133"/>
      <c r="N77" s="503"/>
      <c r="O77" s="503"/>
      <c r="P77" s="164" t="s">
        <v>376</v>
      </c>
      <c r="Q77" s="165"/>
      <c r="T77" s="168"/>
    </row>
    <row r="78" spans="1:20" x14ac:dyDescent="0.2">
      <c r="A78" s="133"/>
      <c r="B78" s="133"/>
      <c r="C78" s="163"/>
      <c r="D78" s="163"/>
      <c r="E78" s="133"/>
      <c r="F78" s="133"/>
      <c r="G78" s="163"/>
      <c r="H78" s="133"/>
      <c r="I78" s="133"/>
      <c r="J78" s="133"/>
      <c r="K78" s="163" t="s">
        <v>370</v>
      </c>
      <c r="L78" s="409" t="e">
        <f>C75</f>
        <v>#DIV/0!</v>
      </c>
      <c r="M78" s="133" t="s">
        <v>299</v>
      </c>
      <c r="N78" s="503"/>
      <c r="O78" s="503"/>
      <c r="P78" s="164"/>
      <c r="Q78" s="165"/>
    </row>
    <row r="79" spans="1:20" x14ac:dyDescent="0.2">
      <c r="A79" s="133"/>
      <c r="B79" s="133"/>
      <c r="C79" s="163"/>
      <c r="D79" s="163"/>
      <c r="E79" s="133"/>
      <c r="F79" s="133"/>
      <c r="G79" s="163"/>
      <c r="H79" s="170"/>
      <c r="I79" s="170"/>
      <c r="J79" s="170"/>
      <c r="K79" s="146" t="s">
        <v>370</v>
      </c>
      <c r="L79" s="686" t="e">
        <f>L78/N79</f>
        <v>#DIV/0!</v>
      </c>
      <c r="M79" s="170" t="s">
        <v>312</v>
      </c>
      <c r="N79" s="505">
        <v>2</v>
      </c>
      <c r="O79" s="505"/>
      <c r="P79" s="171"/>
      <c r="Q79" s="172"/>
    </row>
    <row r="80" spans="1:20" x14ac:dyDescent="0.2">
      <c r="A80" s="159" t="s">
        <v>377</v>
      </c>
      <c r="B80" s="173"/>
      <c r="C80" s="174"/>
      <c r="D80" s="174"/>
      <c r="E80" s="173"/>
      <c r="F80" s="173"/>
      <c r="G80" s="174"/>
      <c r="H80" s="133"/>
      <c r="I80" s="133"/>
      <c r="J80" s="133"/>
      <c r="K80" s="163"/>
      <c r="L80" s="133"/>
      <c r="M80" s="133"/>
      <c r="N80" s="503"/>
      <c r="O80" s="503"/>
      <c r="P80" s="164"/>
      <c r="Q80" s="165"/>
    </row>
    <row r="81" spans="1:20" ht="16" x14ac:dyDescent="0.2">
      <c r="A81" s="133" t="s">
        <v>353</v>
      </c>
      <c r="B81" s="133" t="s">
        <v>370</v>
      </c>
      <c r="C81" s="182" t="e">
        <f>L78</f>
        <v>#DIV/0!</v>
      </c>
      <c r="D81" s="163" t="s">
        <v>299</v>
      </c>
      <c r="E81" s="133"/>
      <c r="F81" s="133"/>
      <c r="G81" s="163"/>
      <c r="H81" s="133"/>
      <c r="I81" s="133"/>
      <c r="J81" s="133"/>
      <c r="K81" s="163"/>
      <c r="L81" s="133"/>
      <c r="M81" s="133"/>
      <c r="N81" s="503"/>
      <c r="O81" s="503"/>
      <c r="P81" s="112" t="s">
        <v>378</v>
      </c>
      <c r="Q81" s="818">
        <v>2</v>
      </c>
    </row>
    <row r="82" spans="1:20" ht="16" x14ac:dyDescent="0.2">
      <c r="A82" s="133"/>
      <c r="B82" s="133"/>
      <c r="C82" s="163"/>
      <c r="D82" s="163"/>
      <c r="E82" s="133" t="s">
        <v>74</v>
      </c>
      <c r="F82" s="183" t="e">
        <f>Stoichiometry!E128*Q82/Q81*Stoichiometry!C114/1000</f>
        <v>#DIV/0!</v>
      </c>
      <c r="G82" s="163" t="s">
        <v>299</v>
      </c>
      <c r="H82" s="133"/>
      <c r="I82" s="133"/>
      <c r="J82" s="133"/>
      <c r="K82" s="163"/>
      <c r="L82" s="133"/>
      <c r="M82" s="133"/>
      <c r="N82" s="503"/>
      <c r="O82" s="503"/>
      <c r="P82" s="112" t="s">
        <v>379</v>
      </c>
      <c r="Q82" s="818">
        <v>3</v>
      </c>
    </row>
    <row r="83" spans="1:20" ht="16" x14ac:dyDescent="0.2">
      <c r="A83" s="133"/>
      <c r="B83" s="133"/>
      <c r="C83" s="163"/>
      <c r="D83" s="163"/>
      <c r="E83" s="133"/>
      <c r="F83" s="183"/>
      <c r="G83" s="163"/>
      <c r="H83" s="133" t="s">
        <v>52</v>
      </c>
      <c r="I83" s="169" t="e">
        <f>Energy!O110</f>
        <v>#DIV/0!</v>
      </c>
      <c r="J83" s="133" t="s">
        <v>233</v>
      </c>
      <c r="K83" s="163"/>
      <c r="L83" s="133"/>
      <c r="M83" s="133"/>
      <c r="N83" s="503"/>
      <c r="O83" s="503"/>
      <c r="P83" s="164" t="s">
        <v>376</v>
      </c>
      <c r="Q83" s="165"/>
    </row>
    <row r="84" spans="1:20" ht="17" x14ac:dyDescent="0.25">
      <c r="A84" s="133"/>
      <c r="B84" s="133"/>
      <c r="C84" s="163"/>
      <c r="D84" s="163"/>
      <c r="E84" s="133"/>
      <c r="F84" s="133"/>
      <c r="G84" s="163"/>
      <c r="H84" s="133"/>
      <c r="I84" s="133"/>
      <c r="J84" s="133"/>
      <c r="K84" s="163" t="s">
        <v>380</v>
      </c>
      <c r="L84" s="178" t="e">
        <f>C81+F82-L86-L87</f>
        <v>#DIV/0!</v>
      </c>
      <c r="M84" s="133" t="s">
        <v>299</v>
      </c>
      <c r="N84" s="503"/>
      <c r="O84" s="503"/>
      <c r="P84" s="164"/>
      <c r="Q84" s="165"/>
    </row>
    <row r="85" spans="1:20" ht="17" x14ac:dyDescent="0.25">
      <c r="A85" s="133"/>
      <c r="B85" s="133"/>
      <c r="C85" s="163"/>
      <c r="D85" s="163"/>
      <c r="E85" s="133"/>
      <c r="F85" s="133"/>
      <c r="G85" s="163"/>
      <c r="H85" s="133"/>
      <c r="I85" s="133"/>
      <c r="J85" s="133"/>
      <c r="K85" s="163" t="s">
        <v>380</v>
      </c>
      <c r="L85" s="178" t="e">
        <f>L84/N85</f>
        <v>#DIV/0!</v>
      </c>
      <c r="M85" s="133" t="s">
        <v>312</v>
      </c>
      <c r="N85" s="507">
        <v>2</v>
      </c>
      <c r="O85" s="507"/>
      <c r="P85" s="164"/>
      <c r="Q85" s="529"/>
    </row>
    <row r="86" spans="1:20" ht="16" x14ac:dyDescent="0.2">
      <c r="A86" s="133"/>
      <c r="B86" s="133"/>
      <c r="C86" s="163"/>
      <c r="D86" s="163"/>
      <c r="E86" s="133"/>
      <c r="F86" s="133"/>
      <c r="G86" s="163"/>
      <c r="H86" s="133"/>
      <c r="I86" s="133"/>
      <c r="J86" s="133"/>
      <c r="K86" s="163" t="s">
        <v>41</v>
      </c>
      <c r="L86" s="180" t="e">
        <f>F67</f>
        <v>#DIV/0!</v>
      </c>
      <c r="M86" s="133" t="s">
        <v>299</v>
      </c>
      <c r="N86" s="503"/>
      <c r="O86" s="503"/>
      <c r="P86" s="164" t="s">
        <v>381</v>
      </c>
      <c r="Q86" s="165"/>
    </row>
    <row r="87" spans="1:20" ht="16" x14ac:dyDescent="0.2">
      <c r="A87" s="133"/>
      <c r="B87" s="133"/>
      <c r="C87" s="163"/>
      <c r="D87" s="163"/>
      <c r="E87" s="133"/>
      <c r="F87" s="133"/>
      <c r="G87" s="163"/>
      <c r="H87" s="133"/>
      <c r="I87" s="133"/>
      <c r="J87" s="133"/>
      <c r="K87" s="163" t="s">
        <v>63</v>
      </c>
      <c r="L87" s="180" t="e">
        <f>F66</f>
        <v>#DIV/0!</v>
      </c>
      <c r="M87" s="133" t="s">
        <v>299</v>
      </c>
      <c r="N87" s="503"/>
      <c r="O87" s="503"/>
      <c r="P87" s="164" t="s">
        <v>381</v>
      </c>
      <c r="Q87" s="165"/>
    </row>
    <row r="88" spans="1:20" x14ac:dyDescent="0.2">
      <c r="A88" s="170"/>
      <c r="B88" s="170"/>
      <c r="C88" s="146"/>
      <c r="D88" s="146"/>
      <c r="E88" s="170"/>
      <c r="F88" s="170"/>
      <c r="G88" s="146"/>
      <c r="H88" s="146"/>
      <c r="I88" s="170"/>
      <c r="J88" s="170"/>
      <c r="K88" s="146"/>
      <c r="L88" s="170"/>
      <c r="M88" s="170"/>
      <c r="N88" s="505"/>
      <c r="O88" s="505"/>
      <c r="P88" s="171"/>
      <c r="Q88" s="172"/>
    </row>
    <row r="89" spans="1:20" x14ac:dyDescent="0.2">
      <c r="A89" s="159" t="s">
        <v>630</v>
      </c>
      <c r="B89" s="173"/>
      <c r="C89" s="174"/>
      <c r="D89" s="174"/>
      <c r="E89" s="173"/>
      <c r="F89" s="173"/>
      <c r="G89" s="174"/>
      <c r="H89" s="133"/>
      <c r="I89" s="133"/>
      <c r="J89" s="133"/>
      <c r="K89" s="163"/>
      <c r="L89" s="133"/>
      <c r="M89" s="133"/>
      <c r="N89" s="503"/>
      <c r="O89" s="503"/>
      <c r="P89" s="164"/>
      <c r="Q89" s="165"/>
    </row>
    <row r="90" spans="1:20" ht="33" x14ac:dyDescent="0.25">
      <c r="A90" s="211" t="s">
        <v>382</v>
      </c>
      <c r="B90" s="133" t="s">
        <v>383</v>
      </c>
      <c r="C90" s="162" t="e">
        <f>L71</f>
        <v>#DIV/0!</v>
      </c>
      <c r="D90" s="163" t="s">
        <v>299</v>
      </c>
      <c r="E90" s="133"/>
      <c r="F90" s="133"/>
      <c r="G90" s="163"/>
      <c r="H90" s="133"/>
      <c r="I90" s="133"/>
      <c r="J90" s="133"/>
      <c r="K90" s="163"/>
      <c r="L90" s="133"/>
      <c r="M90" s="133"/>
      <c r="N90" s="503"/>
      <c r="O90" s="503"/>
      <c r="P90" s="164"/>
      <c r="Q90" s="165"/>
      <c r="T90" s="168"/>
    </row>
    <row r="91" spans="1:20" ht="16" x14ac:dyDescent="0.2">
      <c r="A91" s="133"/>
      <c r="B91" s="133"/>
      <c r="C91" s="162"/>
      <c r="D91" s="163"/>
      <c r="E91" s="133"/>
      <c r="F91" s="133"/>
      <c r="G91" s="163"/>
      <c r="H91" s="133" t="s">
        <v>52</v>
      </c>
      <c r="I91" s="169" t="e">
        <f>Energy!O111</f>
        <v>#DIV/0!</v>
      </c>
      <c r="J91" s="133" t="s">
        <v>233</v>
      </c>
      <c r="K91" s="163"/>
      <c r="L91" s="133"/>
      <c r="M91" s="133"/>
      <c r="N91" s="503"/>
      <c r="O91" s="503"/>
      <c r="P91" s="164" t="s">
        <v>384</v>
      </c>
      <c r="Q91" s="165"/>
    </row>
    <row r="92" spans="1:20" ht="17" x14ac:dyDescent="0.25">
      <c r="A92" s="133"/>
      <c r="B92" s="133"/>
      <c r="C92" s="163"/>
      <c r="D92" s="163"/>
      <c r="E92" s="133"/>
      <c r="F92" s="133"/>
      <c r="G92" s="163"/>
      <c r="H92" s="133"/>
      <c r="I92" s="133"/>
      <c r="J92" s="133"/>
      <c r="K92" s="163" t="s">
        <v>162</v>
      </c>
      <c r="L92" s="169" t="e">
        <f>(Stoichiometry!G116+Stoichiometry!G130)*Efficiencies!E107</f>
        <v>#DIV/0!</v>
      </c>
      <c r="M92" s="133" t="s">
        <v>299</v>
      </c>
      <c r="N92" s="503"/>
      <c r="O92" s="503"/>
      <c r="P92" s="164"/>
      <c r="Q92" s="165"/>
    </row>
    <row r="93" spans="1:20" ht="16" x14ac:dyDescent="0.2">
      <c r="A93" s="133"/>
      <c r="B93" s="133"/>
      <c r="C93" s="163"/>
      <c r="D93" s="163"/>
      <c r="E93" s="133"/>
      <c r="F93" s="133"/>
      <c r="G93" s="163"/>
      <c r="H93" s="133"/>
      <c r="I93" s="133"/>
      <c r="J93" s="133"/>
      <c r="K93" s="163" t="s">
        <v>226</v>
      </c>
      <c r="L93" s="169" t="e">
        <f>C90-L92</f>
        <v>#DIV/0!</v>
      </c>
      <c r="M93" s="133" t="s">
        <v>299</v>
      </c>
      <c r="N93" s="503"/>
      <c r="O93" s="503"/>
      <c r="P93" s="164" t="s">
        <v>385</v>
      </c>
      <c r="Q93" s="165"/>
    </row>
    <row r="94" spans="1:20" x14ac:dyDescent="0.2">
      <c r="A94" s="133"/>
      <c r="B94" s="133"/>
      <c r="C94" s="163"/>
      <c r="D94" s="163"/>
      <c r="E94" s="133"/>
      <c r="F94" s="133"/>
      <c r="G94" s="163"/>
      <c r="H94" s="170"/>
      <c r="I94" s="170"/>
      <c r="J94" s="170"/>
      <c r="K94" s="146"/>
      <c r="L94" s="170"/>
      <c r="M94" s="170"/>
      <c r="N94" s="505"/>
      <c r="O94" s="505"/>
      <c r="P94" s="171"/>
      <c r="Q94" s="172"/>
    </row>
    <row r="95" spans="1:20" x14ac:dyDescent="0.2">
      <c r="A95" s="159" t="s">
        <v>671</v>
      </c>
      <c r="B95" s="173"/>
      <c r="C95" s="174"/>
      <c r="D95" s="174"/>
      <c r="E95" s="173"/>
      <c r="F95" s="173"/>
      <c r="G95" s="174"/>
      <c r="H95" s="133"/>
      <c r="I95" s="133"/>
      <c r="J95" s="133"/>
      <c r="K95" s="163"/>
      <c r="L95" s="133"/>
      <c r="M95" s="133"/>
      <c r="N95" s="503"/>
      <c r="O95" s="503"/>
      <c r="P95" s="164"/>
      <c r="Q95" s="165"/>
    </row>
    <row r="96" spans="1:20" ht="33" x14ac:dyDescent="0.25">
      <c r="A96" s="211" t="s">
        <v>382</v>
      </c>
      <c r="B96" s="133" t="s">
        <v>380</v>
      </c>
      <c r="C96" s="162" t="e">
        <f>L84</f>
        <v>#DIV/0!</v>
      </c>
      <c r="D96" s="163" t="s">
        <v>299</v>
      </c>
      <c r="E96" s="133"/>
      <c r="F96" s="133"/>
      <c r="G96" s="163"/>
      <c r="H96" s="133"/>
      <c r="I96" s="133"/>
      <c r="J96" s="133"/>
      <c r="K96" s="163"/>
      <c r="L96" s="133"/>
      <c r="M96" s="133"/>
      <c r="N96" s="503"/>
      <c r="O96" s="503"/>
      <c r="P96" s="164"/>
      <c r="Q96" s="165"/>
      <c r="T96" s="168"/>
    </row>
    <row r="97" spans="1:29" ht="16" x14ac:dyDescent="0.2">
      <c r="A97" s="133"/>
      <c r="B97" s="133"/>
      <c r="C97" s="162"/>
      <c r="D97" s="163"/>
      <c r="E97" s="133"/>
      <c r="F97" s="133"/>
      <c r="G97" s="163"/>
      <c r="H97" s="133" t="s">
        <v>52</v>
      </c>
      <c r="I97" s="169" t="e">
        <f>Energy!O112</f>
        <v>#DIV/0!</v>
      </c>
      <c r="J97" s="133" t="s">
        <v>233</v>
      </c>
      <c r="K97" s="163"/>
      <c r="L97" s="133"/>
      <c r="M97" s="133"/>
      <c r="N97" s="503"/>
      <c r="O97" s="503"/>
      <c r="P97" s="164" t="s">
        <v>384</v>
      </c>
      <c r="Q97" s="165"/>
    </row>
    <row r="98" spans="1:29" ht="17" x14ac:dyDescent="0.25">
      <c r="A98" s="133"/>
      <c r="B98" s="133"/>
      <c r="C98" s="163"/>
      <c r="D98" s="163"/>
      <c r="E98" s="133"/>
      <c r="F98" s="133"/>
      <c r="G98" s="163"/>
      <c r="H98" s="133"/>
      <c r="I98" s="133"/>
      <c r="J98" s="133"/>
      <c r="K98" s="163" t="s">
        <v>147</v>
      </c>
      <c r="L98" s="169" t="e">
        <f>(Stoichiometry!G117+Stoichiometry!G131)*Efficiencies!E106</f>
        <v>#DIV/0!</v>
      </c>
      <c r="M98" s="133" t="s">
        <v>299</v>
      </c>
      <c r="N98" s="503"/>
      <c r="O98" s="503"/>
      <c r="P98" s="164"/>
      <c r="Q98" s="165"/>
    </row>
    <row r="99" spans="1:29" ht="16" x14ac:dyDescent="0.2">
      <c r="A99" s="133"/>
      <c r="B99" s="133"/>
      <c r="C99" s="163"/>
      <c r="D99" s="163"/>
      <c r="E99" s="133"/>
      <c r="F99" s="133"/>
      <c r="G99" s="163"/>
      <c r="H99" s="133"/>
      <c r="I99" s="133"/>
      <c r="J99" s="133"/>
      <c r="K99" s="163" t="s">
        <v>226</v>
      </c>
      <c r="L99" s="169" t="e">
        <f>C96-L98</f>
        <v>#DIV/0!</v>
      </c>
      <c r="M99" s="133" t="s">
        <v>299</v>
      </c>
      <c r="N99" s="503"/>
      <c r="O99" s="503"/>
      <c r="P99" s="164" t="s">
        <v>385</v>
      </c>
      <c r="Q99" s="165"/>
      <c r="T99" s="168"/>
    </row>
    <row r="100" spans="1:29" x14ac:dyDescent="0.2">
      <c r="A100" s="170"/>
      <c r="B100" s="170"/>
      <c r="C100" s="146"/>
      <c r="D100" s="146"/>
      <c r="E100" s="170"/>
      <c r="F100" s="170"/>
      <c r="G100" s="146"/>
      <c r="H100" s="170"/>
      <c r="I100" s="170"/>
      <c r="J100" s="170"/>
      <c r="K100" s="146"/>
      <c r="L100" s="170"/>
      <c r="M100" s="170"/>
      <c r="N100" s="505"/>
      <c r="O100" s="505"/>
      <c r="P100" s="171"/>
      <c r="Q100" s="172"/>
    </row>
    <row r="101" spans="1:29" x14ac:dyDescent="0.2">
      <c r="A101" s="159" t="s">
        <v>440</v>
      </c>
      <c r="B101" s="322"/>
      <c r="C101" s="174"/>
      <c r="D101" s="174"/>
      <c r="E101" s="173"/>
      <c r="F101" s="174"/>
      <c r="G101" s="174"/>
      <c r="H101" s="173"/>
      <c r="I101" s="173"/>
      <c r="J101" s="173"/>
      <c r="K101" s="174"/>
      <c r="L101" s="173"/>
      <c r="M101" s="173"/>
      <c r="N101" s="508"/>
      <c r="O101" s="508"/>
      <c r="P101" s="323"/>
      <c r="Q101" s="324"/>
    </row>
    <row r="102" spans="1:29" x14ac:dyDescent="0.2">
      <c r="A102" s="170"/>
      <c r="B102" s="146" t="s">
        <v>386</v>
      </c>
      <c r="C102" s="146"/>
      <c r="D102" s="146"/>
      <c r="E102" s="325"/>
      <c r="F102" s="170"/>
      <c r="G102" s="146"/>
      <c r="H102" s="146"/>
      <c r="I102" s="146"/>
      <c r="J102" s="146"/>
      <c r="K102" s="146"/>
      <c r="L102" s="194"/>
      <c r="M102" s="146"/>
      <c r="N102" s="458"/>
      <c r="O102" s="458"/>
      <c r="P102" s="171"/>
      <c r="Q102" s="195"/>
    </row>
    <row r="103" spans="1:29" x14ac:dyDescent="0.2">
      <c r="L103" s="168"/>
      <c r="P103"/>
      <c r="Q103" s="288"/>
    </row>
    <row r="104" spans="1:29" x14ac:dyDescent="0.2">
      <c r="L104" s="250"/>
      <c r="P104"/>
      <c r="Q104" s="288"/>
    </row>
    <row r="105" spans="1:29" x14ac:dyDescent="0.2">
      <c r="A105" s="126"/>
    </row>
    <row r="106" spans="1:29" x14ac:dyDescent="0.2">
      <c r="B106" s="326"/>
    </row>
    <row r="107" spans="1:29" x14ac:dyDescent="0.2">
      <c r="S107" s="168"/>
      <c r="T107" s="184"/>
    </row>
    <row r="108" spans="1:29" ht="16" thickBot="1" x14ac:dyDescent="0.25">
      <c r="A108" s="185"/>
      <c r="B108" s="185"/>
      <c r="C108" s="185"/>
      <c r="D108" s="185"/>
      <c r="E108" s="186"/>
      <c r="F108" s="185"/>
      <c r="G108" s="185"/>
      <c r="H108" s="185"/>
      <c r="I108" s="185"/>
      <c r="J108" s="185"/>
      <c r="K108" s="185"/>
      <c r="L108" s="185"/>
      <c r="M108" s="185"/>
      <c r="N108" s="509"/>
      <c r="O108" s="509"/>
      <c r="P108" s="187"/>
      <c r="Q108" s="188"/>
      <c r="R108" s="185"/>
      <c r="S108" s="185"/>
      <c r="T108" s="185"/>
      <c r="U108" s="185"/>
      <c r="V108" s="185"/>
      <c r="W108" s="185"/>
      <c r="X108" s="185"/>
      <c r="Y108" s="185"/>
      <c r="Z108" s="185"/>
      <c r="AA108" s="185"/>
      <c r="AB108" s="185"/>
      <c r="AC108" s="185"/>
    </row>
    <row r="109" spans="1:29" ht="16" thickTop="1" x14ac:dyDescent="0.2"/>
    <row r="110" spans="1:29" ht="22" thickBot="1" x14ac:dyDescent="0.3">
      <c r="A110" s="189" t="s">
        <v>672</v>
      </c>
    </row>
    <row r="111" spans="1:29" ht="16" x14ac:dyDescent="0.2">
      <c r="A111" s="152" t="s">
        <v>292</v>
      </c>
      <c r="B111" s="99" t="s">
        <v>13</v>
      </c>
      <c r="C111" s="99" t="s">
        <v>262</v>
      </c>
      <c r="D111" s="99" t="s">
        <v>263</v>
      </c>
      <c r="E111" s="100" t="s">
        <v>673</v>
      </c>
      <c r="F111" s="100" t="s">
        <v>523</v>
      </c>
      <c r="G111" s="100" t="s">
        <v>263</v>
      </c>
      <c r="H111" s="102" t="s">
        <v>294</v>
      </c>
      <c r="I111" s="153" t="s">
        <v>262</v>
      </c>
      <c r="J111" s="153" t="s">
        <v>263</v>
      </c>
      <c r="K111" s="103" t="s">
        <v>341</v>
      </c>
      <c r="L111" s="154" t="s">
        <v>262</v>
      </c>
      <c r="M111" s="103" t="s">
        <v>263</v>
      </c>
      <c r="N111" s="520" t="s">
        <v>342</v>
      </c>
      <c r="O111" s="520"/>
      <c r="P111" s="98" t="s">
        <v>296</v>
      </c>
      <c r="Q111" s="155" t="s">
        <v>309</v>
      </c>
      <c r="S111" s="327" t="s">
        <v>13</v>
      </c>
      <c r="T111" s="328" t="s">
        <v>262</v>
      </c>
      <c r="U111" s="329" t="s">
        <v>263</v>
      </c>
    </row>
    <row r="112" spans="1:29" ht="16" x14ac:dyDescent="0.2">
      <c r="A112" s="777" t="s">
        <v>216</v>
      </c>
      <c r="B112" s="158"/>
      <c r="C112" s="158"/>
      <c r="D112" s="158"/>
      <c r="E112" s="158"/>
      <c r="F112" s="158"/>
      <c r="G112" s="158"/>
      <c r="H112" s="158"/>
      <c r="I112" s="158"/>
      <c r="J112" s="158"/>
      <c r="K112" s="158"/>
      <c r="L112" s="158"/>
      <c r="M112" s="158"/>
      <c r="N112" s="510"/>
      <c r="O112" s="510"/>
      <c r="P112" s="190"/>
      <c r="Q112" s="191"/>
      <c r="S112" s="73" t="s">
        <v>336</v>
      </c>
      <c r="T112" s="78">
        <f>B5</f>
        <v>25000</v>
      </c>
      <c r="U112" s="75" t="s">
        <v>337</v>
      </c>
    </row>
    <row r="113" spans="1:22" ht="32" x14ac:dyDescent="0.2">
      <c r="A113" s="211" t="s">
        <v>674</v>
      </c>
      <c r="B113" s="163" t="s">
        <v>107</v>
      </c>
      <c r="C113" s="162" t="e">
        <f>T120</f>
        <v>#DIV/0!</v>
      </c>
      <c r="D113" s="163" t="s">
        <v>299</v>
      </c>
      <c r="E113" s="163"/>
      <c r="F113" s="163"/>
      <c r="G113" s="163"/>
      <c r="H113" s="163"/>
      <c r="I113" s="163"/>
      <c r="J113" s="163"/>
      <c r="K113" s="163"/>
      <c r="L113" s="163"/>
      <c r="M113" s="163"/>
      <c r="N113" s="494"/>
      <c r="O113" s="494"/>
      <c r="P113" s="164" t="s">
        <v>389</v>
      </c>
      <c r="Q113" s="192"/>
      <c r="S113" s="73"/>
      <c r="T113" s="74"/>
      <c r="U113" s="75"/>
    </row>
    <row r="114" spans="1:22" ht="16" x14ac:dyDescent="0.2">
      <c r="A114" s="133" t="s">
        <v>345</v>
      </c>
      <c r="B114" s="163"/>
      <c r="C114" s="163"/>
      <c r="D114" s="163"/>
      <c r="E114" s="163" t="s">
        <v>74</v>
      </c>
      <c r="F114" s="162" t="e">
        <f>IF(Macro!D10=TRUE,Stoichiometry!G146,0)</f>
        <v>#DIV/0!</v>
      </c>
      <c r="G114" s="163" t="s">
        <v>299</v>
      </c>
      <c r="H114" s="163"/>
      <c r="I114" s="163"/>
      <c r="J114" s="163"/>
      <c r="K114" s="163"/>
      <c r="L114" s="163"/>
      <c r="M114" s="163"/>
      <c r="N114" s="494"/>
      <c r="P114" s="164"/>
      <c r="Q114" s="192"/>
      <c r="S114" s="73" t="s">
        <v>390</v>
      </c>
      <c r="T114" s="193" t="e">
        <f>T112*'R3_MEFA'!O6*Battery!E9</f>
        <v>#DIV/0!</v>
      </c>
      <c r="U114" s="75" t="s">
        <v>337</v>
      </c>
    </row>
    <row r="115" spans="1:22" ht="16" x14ac:dyDescent="0.2">
      <c r="A115" s="133"/>
      <c r="B115" s="163"/>
      <c r="C115" s="163"/>
      <c r="D115" s="163"/>
      <c r="E115" s="163"/>
      <c r="F115" s="162"/>
      <c r="G115" s="163"/>
      <c r="H115" s="163" t="s">
        <v>52</v>
      </c>
      <c r="I115" s="162" t="e">
        <f>IF(Macro!D10=TRUE,Energy!O113,0)</f>
        <v>#DIV/0!</v>
      </c>
      <c r="J115" s="163" t="s">
        <v>233</v>
      </c>
      <c r="K115" s="163"/>
      <c r="L115" s="163"/>
      <c r="M115" s="163"/>
      <c r="N115" s="494"/>
      <c r="P115" s="164" t="s">
        <v>391</v>
      </c>
      <c r="Q115" s="192"/>
      <c r="S115" s="73" t="s">
        <v>103</v>
      </c>
      <c r="T115" s="193" t="e">
        <f>T112*Battery!E12*Efficiencies!E75</f>
        <v>#DIV/0!</v>
      </c>
      <c r="U115" s="75" t="s">
        <v>337</v>
      </c>
    </row>
    <row r="116" spans="1:22" ht="16" x14ac:dyDescent="0.2">
      <c r="A116" s="133"/>
      <c r="B116" s="163"/>
      <c r="C116" s="163"/>
      <c r="D116" s="163"/>
      <c r="E116" s="163"/>
      <c r="F116" s="163"/>
      <c r="G116" s="163"/>
      <c r="H116" s="163"/>
      <c r="I116" s="163"/>
      <c r="J116" s="163"/>
      <c r="K116" s="163" t="s">
        <v>347</v>
      </c>
      <c r="L116" s="162" t="e">
        <f>IF(Macro!D10=TRUE,Stoichiometry!G155,0)</f>
        <v>#DIV/0!</v>
      </c>
      <c r="M116" s="163" t="s">
        <v>299</v>
      </c>
      <c r="N116" s="494"/>
      <c r="O116" s="494"/>
      <c r="P116" s="164" t="s">
        <v>392</v>
      </c>
      <c r="Q116" s="192"/>
      <c r="S116" s="73" t="s">
        <v>102</v>
      </c>
      <c r="T116" s="193" t="e">
        <f>T112*Battery!E13*Efficiencies!E75*T124</f>
        <v>#DIV/0!</v>
      </c>
      <c r="U116" s="75" t="s">
        <v>337</v>
      </c>
      <c r="V116" s="581"/>
    </row>
    <row r="117" spans="1:22" ht="16" x14ac:dyDescent="0.2">
      <c r="A117" s="133"/>
      <c r="B117" s="163"/>
      <c r="C117" s="163"/>
      <c r="D117" s="163"/>
      <c r="E117" s="163"/>
      <c r="F117" s="163"/>
      <c r="G117" s="163"/>
      <c r="H117" s="163"/>
      <c r="I117" s="163"/>
      <c r="J117" s="163"/>
      <c r="K117" s="163" t="s">
        <v>347</v>
      </c>
      <c r="L117" s="402" t="e">
        <f>L116/Stoichiometry!C155</f>
        <v>#DIV/0!</v>
      </c>
      <c r="M117" s="163" t="s">
        <v>312</v>
      </c>
      <c r="N117" s="494"/>
      <c r="O117" s="494"/>
      <c r="P117" s="164"/>
      <c r="Q117" s="192"/>
      <c r="S117" s="73" t="s">
        <v>49</v>
      </c>
      <c r="T117" s="196" t="e">
        <f>B5*T123*'R3_MEFA'!O7*Battery!E20</f>
        <v>#DIV/0!</v>
      </c>
      <c r="U117" s="75" t="s">
        <v>337</v>
      </c>
    </row>
    <row r="118" spans="1:22" ht="18" x14ac:dyDescent="0.2">
      <c r="A118" s="170"/>
      <c r="B118" s="194"/>
      <c r="C118" s="146"/>
      <c r="D118" s="146"/>
      <c r="E118" s="146"/>
      <c r="F118" s="146"/>
      <c r="G118" s="146"/>
      <c r="H118" s="146"/>
      <c r="I118" s="146"/>
      <c r="J118" s="146"/>
      <c r="K118" s="146"/>
      <c r="L118" s="146"/>
      <c r="M118" s="146"/>
      <c r="N118" s="458"/>
      <c r="O118" s="458"/>
      <c r="P118" s="171"/>
      <c r="Q118" s="195"/>
      <c r="S118" s="73" t="s">
        <v>675</v>
      </c>
      <c r="T118" s="196" t="e">
        <f>'R3_MEFA'!F89</f>
        <v>#DIV/0!</v>
      </c>
      <c r="U118" s="75" t="s">
        <v>337</v>
      </c>
    </row>
    <row r="119" spans="1:22" ht="16" x14ac:dyDescent="0.2">
      <c r="A119" s="156" t="s">
        <v>217</v>
      </c>
      <c r="B119" s="197"/>
      <c r="C119" s="163"/>
      <c r="D119" s="163"/>
      <c r="E119" s="163"/>
      <c r="F119" s="163"/>
      <c r="G119" s="163"/>
      <c r="H119" s="163"/>
      <c r="I119" s="163"/>
      <c r="J119" s="163"/>
      <c r="K119" s="163"/>
      <c r="L119" s="163"/>
      <c r="M119" s="163"/>
      <c r="N119" s="494"/>
      <c r="O119" s="494"/>
      <c r="P119" s="164"/>
      <c r="Q119" s="192"/>
      <c r="S119" s="331" t="s">
        <v>394</v>
      </c>
      <c r="T119" s="196" t="e">
        <f>'R3_MEFA'!F88</f>
        <v>#DIV/0!</v>
      </c>
      <c r="U119" s="75" t="s">
        <v>337</v>
      </c>
    </row>
    <row r="120" spans="1:22" ht="17" thickBot="1" x14ac:dyDescent="0.25">
      <c r="A120" s="211" t="s">
        <v>349</v>
      </c>
      <c r="B120" s="163" t="s">
        <v>347</v>
      </c>
      <c r="C120" s="162" t="e">
        <f>L116</f>
        <v>#DIV/0!</v>
      </c>
      <c r="D120" s="163" t="s">
        <v>299</v>
      </c>
      <c r="E120" s="162"/>
      <c r="F120" s="163"/>
      <c r="G120" s="163"/>
      <c r="H120" s="163"/>
      <c r="I120" s="163"/>
      <c r="J120" s="163"/>
      <c r="K120" s="163"/>
      <c r="L120" s="163"/>
      <c r="M120" s="163"/>
      <c r="N120" s="494"/>
      <c r="O120" s="494"/>
      <c r="P120" s="164"/>
      <c r="Q120" s="192"/>
      <c r="S120" s="403" t="s">
        <v>676</v>
      </c>
      <c r="T120" s="332" t="e">
        <f>IF(Macro!D10=TRUE,SUM(T114:T119),0)</f>
        <v>#DIV/0!</v>
      </c>
      <c r="U120" s="80" t="s">
        <v>337</v>
      </c>
    </row>
    <row r="121" spans="1:22" ht="17" thickBot="1" x14ac:dyDescent="0.25">
      <c r="A121" s="133"/>
      <c r="B121" s="163"/>
      <c r="C121" s="163"/>
      <c r="D121" s="163"/>
      <c r="E121" s="198" t="s">
        <v>226</v>
      </c>
      <c r="F121" s="162" t="e">
        <f>IF(Macro!D10=TRUE,(Stoichiometry!G136/(Stoichiometry!J11/1000)+Stoichiometry!G137/(Stoichiometry!J7/1000)+Stoichiometry!G138/(Stoichiometry!J8/1000)+Stoichiometry!G139/(Stoichiometry!J10/1000))*Q121,0)</f>
        <v>#DIV/0!</v>
      </c>
      <c r="G121" s="163" t="s">
        <v>299</v>
      </c>
      <c r="H121" s="163"/>
      <c r="I121" s="163"/>
      <c r="J121" s="163"/>
      <c r="K121" s="163"/>
      <c r="L121" s="163"/>
      <c r="M121" s="163"/>
      <c r="N121" s="494"/>
      <c r="O121" s="494"/>
      <c r="P121" s="111" t="s">
        <v>350</v>
      </c>
      <c r="Q121" s="818">
        <v>1.2</v>
      </c>
    </row>
    <row r="122" spans="1:22" x14ac:dyDescent="0.2">
      <c r="A122" s="133"/>
      <c r="B122" s="163"/>
      <c r="C122" s="163"/>
      <c r="D122" s="163"/>
      <c r="E122" s="198"/>
      <c r="F122" s="182"/>
      <c r="G122" s="163"/>
      <c r="H122" s="163" t="s">
        <v>52</v>
      </c>
      <c r="I122" s="210" t="e">
        <f>IF(Macro!D10=TRUE,Energy!O114,0)</f>
        <v>#DIV/0!</v>
      </c>
      <c r="J122" s="163" t="s">
        <v>233</v>
      </c>
      <c r="K122" s="163"/>
      <c r="L122" s="163"/>
      <c r="M122" s="163"/>
      <c r="N122" s="494"/>
      <c r="O122" s="494"/>
      <c r="P122" s="179"/>
      <c r="Q122" s="470"/>
      <c r="S122" s="404" t="s">
        <v>260</v>
      </c>
      <c r="T122" s="270"/>
      <c r="U122" s="270"/>
      <c r="V122" s="405"/>
    </row>
    <row r="123" spans="1:22" ht="16" x14ac:dyDescent="0.2">
      <c r="A123" s="133"/>
      <c r="B123" s="163"/>
      <c r="C123" s="163"/>
      <c r="D123" s="163"/>
      <c r="E123" s="163"/>
      <c r="F123" s="163"/>
      <c r="G123" s="163"/>
      <c r="H123" s="163"/>
      <c r="I123" s="163"/>
      <c r="J123" s="163"/>
      <c r="K123" s="163" t="s">
        <v>351</v>
      </c>
      <c r="L123" s="162" t="e">
        <f>C120+F121</f>
        <v>#DIV/0!</v>
      </c>
      <c r="M123" s="163" t="s">
        <v>299</v>
      </c>
      <c r="N123" s="162"/>
      <c r="O123" s="494"/>
      <c r="P123" s="164"/>
      <c r="Q123" s="192"/>
      <c r="S123" s="395" t="s">
        <v>396</v>
      </c>
      <c r="T123" s="528">
        <f>1-F5</f>
        <v>0.7</v>
      </c>
      <c r="U123" s="124" t="s">
        <v>397</v>
      </c>
      <c r="V123" s="406">
        <v>0.7</v>
      </c>
    </row>
    <row r="124" spans="1:22" ht="16" thickBot="1" x14ac:dyDescent="0.25">
      <c r="A124" s="156"/>
      <c r="B124" s="163"/>
      <c r="C124" s="163"/>
      <c r="D124" s="163"/>
      <c r="E124" s="163"/>
      <c r="F124" s="163"/>
      <c r="G124" s="163"/>
      <c r="H124" s="163"/>
      <c r="I124" s="163"/>
      <c r="J124" s="163"/>
      <c r="K124" s="163" t="s">
        <v>351</v>
      </c>
      <c r="L124" s="199" t="e">
        <f>IF(Macro!D10=TRUE,L123/N124,0)</f>
        <v>#DIV/0!</v>
      </c>
      <c r="M124" s="163" t="s">
        <v>312</v>
      </c>
      <c r="N124" s="162" t="e">
        <f>IF(Macro!D10=TRUE,Stoichiometry!C53*C120/L123+1*F121/L123,0)</f>
        <v>#DIV/0!</v>
      </c>
      <c r="O124" s="511"/>
      <c r="P124" s="205"/>
      <c r="Q124" s="192"/>
      <c r="S124" s="140" t="s">
        <v>398</v>
      </c>
      <c r="T124" s="821">
        <v>0.86</v>
      </c>
      <c r="U124" s="141" t="s">
        <v>399</v>
      </c>
      <c r="V124" s="407">
        <f>1-T124</f>
        <v>0.14000000000000001</v>
      </c>
    </row>
    <row r="125" spans="1:22" x14ac:dyDescent="0.2">
      <c r="A125" s="200"/>
      <c r="B125" s="201"/>
      <c r="C125" s="202"/>
      <c r="D125" s="202"/>
      <c r="E125" s="202"/>
      <c r="F125" s="202"/>
      <c r="G125" s="202"/>
      <c r="H125" s="202"/>
      <c r="I125" s="202"/>
      <c r="J125" s="202"/>
      <c r="K125" s="202"/>
      <c r="L125" s="202"/>
      <c r="M125" s="202"/>
      <c r="N125" s="512"/>
      <c r="O125" s="512"/>
      <c r="P125" s="203"/>
      <c r="Q125" s="204"/>
    </row>
    <row r="126" spans="1:22" x14ac:dyDescent="0.2">
      <c r="A126" s="156" t="s">
        <v>209</v>
      </c>
      <c r="B126" s="162"/>
      <c r="C126" s="163"/>
      <c r="D126" s="163"/>
      <c r="E126" s="163"/>
      <c r="F126" s="163"/>
      <c r="G126" s="163"/>
      <c r="H126" s="163"/>
      <c r="I126" s="163"/>
      <c r="J126" s="163"/>
      <c r="K126" s="163"/>
      <c r="L126" s="163"/>
      <c r="M126" s="163"/>
      <c r="N126" s="494"/>
      <c r="O126" s="494"/>
      <c r="P126" s="164"/>
      <c r="Q126" s="192"/>
      <c r="S126" s="71"/>
      <c r="T126" s="338"/>
      <c r="U126" s="71"/>
    </row>
    <row r="127" spans="1:22" x14ac:dyDescent="0.2">
      <c r="A127" s="133"/>
      <c r="B127" s="163" t="s">
        <v>351</v>
      </c>
      <c r="C127" s="162" t="e">
        <f>L123</f>
        <v>#DIV/0!</v>
      </c>
      <c r="D127" s="163" t="s">
        <v>299</v>
      </c>
      <c r="E127" s="162"/>
      <c r="F127" s="163"/>
      <c r="G127" s="163"/>
      <c r="H127" s="163"/>
      <c r="I127" s="163"/>
      <c r="J127" s="163"/>
      <c r="K127" s="163"/>
      <c r="L127" s="163"/>
      <c r="M127" s="163"/>
      <c r="N127" s="494"/>
      <c r="O127" s="494"/>
      <c r="P127" s="164"/>
      <c r="Q127" s="192"/>
      <c r="S127" s="71"/>
      <c r="T127" s="338"/>
      <c r="U127" s="71"/>
    </row>
    <row r="128" spans="1:22" x14ac:dyDescent="0.2">
      <c r="A128" s="133"/>
      <c r="B128" s="163"/>
      <c r="C128" s="162"/>
      <c r="D128" s="163"/>
      <c r="E128" s="162"/>
      <c r="F128" s="163"/>
      <c r="G128" s="163"/>
      <c r="H128" s="163" t="s">
        <v>52</v>
      </c>
      <c r="I128" s="210" t="e">
        <f>IF(Macro!D10=TRUE,Energy!O115,0)</f>
        <v>#DIV/0!</v>
      </c>
      <c r="J128" s="163" t="s">
        <v>233</v>
      </c>
      <c r="K128" s="163"/>
      <c r="L128" s="163"/>
      <c r="M128" s="163"/>
      <c r="N128" s="494"/>
      <c r="O128" s="494"/>
      <c r="P128" s="179"/>
      <c r="Q128" s="470"/>
      <c r="S128" s="71"/>
      <c r="T128" s="338"/>
      <c r="U128" s="71"/>
      <c r="V128" s="237"/>
    </row>
    <row r="129" spans="1:21" ht="16" x14ac:dyDescent="0.2">
      <c r="A129" s="133"/>
      <c r="B129" s="163"/>
      <c r="C129" s="162"/>
      <c r="D129" s="163"/>
      <c r="E129" s="162"/>
      <c r="F129" s="163"/>
      <c r="G129" s="163"/>
      <c r="H129" s="163"/>
      <c r="I129" s="163"/>
      <c r="J129" s="163"/>
      <c r="K129" s="163" t="s">
        <v>33</v>
      </c>
      <c r="L129" s="198" t="e">
        <f>IF(Macro!D10=TRUE,Stoichiometry!G152*Efficiencies!E110,0)</f>
        <v>#DIV/0!</v>
      </c>
      <c r="M129" s="163" t="s">
        <v>299</v>
      </c>
      <c r="N129" s="494"/>
      <c r="O129" s="494"/>
      <c r="P129" s="164" t="s">
        <v>400</v>
      </c>
      <c r="Q129" s="192"/>
      <c r="S129" s="247"/>
    </row>
    <row r="130" spans="1:21" ht="16" x14ac:dyDescent="0.2">
      <c r="A130" s="133"/>
      <c r="B130" s="163"/>
      <c r="C130" s="163"/>
      <c r="D130" s="163"/>
      <c r="E130" s="163"/>
      <c r="F130" s="163"/>
      <c r="G130" s="163"/>
      <c r="H130" s="163"/>
      <c r="I130" s="163"/>
      <c r="J130" s="163"/>
      <c r="K130" s="163" t="s">
        <v>329</v>
      </c>
      <c r="L130" s="198" t="e">
        <f>IF(Macro!D10=TRUE,Stoichiometry!G142*Efficiencies!E111,0)</f>
        <v>#DIV/0!</v>
      </c>
      <c r="M130" s="163" t="s">
        <v>299</v>
      </c>
      <c r="N130" s="494"/>
      <c r="O130" s="494"/>
      <c r="P130" s="164" t="s">
        <v>677</v>
      </c>
      <c r="Q130" s="192"/>
      <c r="S130" s="71"/>
      <c r="T130" s="71"/>
      <c r="U130" s="71"/>
    </row>
    <row r="131" spans="1:21" x14ac:dyDescent="0.2">
      <c r="A131" s="156"/>
      <c r="B131" s="163"/>
      <c r="C131" s="163"/>
      <c r="D131" s="163"/>
      <c r="E131" s="163"/>
      <c r="F131" s="163"/>
      <c r="G131" s="163"/>
      <c r="H131" s="163"/>
      <c r="I131" s="163"/>
      <c r="J131" s="163"/>
      <c r="K131" s="163" t="s">
        <v>351</v>
      </c>
      <c r="L131" s="162" t="e">
        <f>C127-L129-L130</f>
        <v>#DIV/0!</v>
      </c>
      <c r="M131" s="163" t="s">
        <v>299</v>
      </c>
      <c r="N131" s="494"/>
      <c r="O131" s="494"/>
      <c r="P131" s="164"/>
      <c r="Q131" s="192"/>
      <c r="S131" s="92"/>
      <c r="T131" s="362"/>
      <c r="U131" s="71"/>
    </row>
    <row r="132" spans="1:21" x14ac:dyDescent="0.2">
      <c r="A132" s="133"/>
      <c r="B132" s="162"/>
      <c r="C132" s="163"/>
      <c r="D132" s="163"/>
      <c r="E132" s="163"/>
      <c r="F132" s="163"/>
      <c r="G132" s="163"/>
      <c r="H132" s="163"/>
      <c r="I132" s="163"/>
      <c r="J132" s="163"/>
      <c r="K132" s="163" t="s">
        <v>351</v>
      </c>
      <c r="L132" s="162" t="e">
        <f>L131/N132</f>
        <v>#DIV/0!</v>
      </c>
      <c r="M132" s="163" t="s">
        <v>312</v>
      </c>
      <c r="N132" s="513">
        <v>1</v>
      </c>
      <c r="O132" s="513"/>
      <c r="P132" s="205"/>
      <c r="Q132" s="192"/>
    </row>
    <row r="133" spans="1:21" x14ac:dyDescent="0.2">
      <c r="A133" s="170"/>
      <c r="B133" s="206"/>
      <c r="C133" s="146"/>
      <c r="D133" s="146"/>
      <c r="E133" s="146"/>
      <c r="F133" s="146"/>
      <c r="G133" s="146"/>
      <c r="H133" s="146"/>
      <c r="I133" s="146"/>
      <c r="J133" s="146"/>
      <c r="K133" s="146"/>
      <c r="L133" s="206"/>
      <c r="M133" s="146"/>
      <c r="N133" s="458"/>
      <c r="O133" s="458"/>
      <c r="P133" s="207"/>
      <c r="Q133" s="195"/>
    </row>
    <row r="134" spans="1:21" x14ac:dyDescent="0.2">
      <c r="A134" s="156" t="s">
        <v>357</v>
      </c>
      <c r="B134" s="162"/>
      <c r="C134" s="163"/>
      <c r="D134" s="163"/>
      <c r="E134" s="163"/>
      <c r="F134" s="163"/>
      <c r="G134" s="163"/>
      <c r="H134" s="163"/>
      <c r="I134" s="163"/>
      <c r="J134" s="163"/>
      <c r="K134" s="163"/>
      <c r="L134" s="162"/>
      <c r="M134" s="163"/>
      <c r="N134" s="494"/>
      <c r="O134" s="494"/>
      <c r="P134" s="205"/>
      <c r="Q134" s="192"/>
    </row>
    <row r="135" spans="1:21" ht="16" x14ac:dyDescent="0.2">
      <c r="A135" s="211" t="s">
        <v>349</v>
      </c>
      <c r="B135" s="162" t="s">
        <v>351</v>
      </c>
      <c r="C135" s="162" t="e">
        <f>L131</f>
        <v>#DIV/0!</v>
      </c>
      <c r="D135" s="163" t="s">
        <v>299</v>
      </c>
      <c r="E135" s="163"/>
      <c r="F135" s="163"/>
      <c r="G135" s="163"/>
      <c r="H135" s="163"/>
      <c r="I135" s="163"/>
      <c r="J135" s="163"/>
      <c r="K135" s="163"/>
      <c r="L135" s="162"/>
      <c r="M135" s="163"/>
      <c r="N135" s="494"/>
      <c r="O135" s="494"/>
      <c r="P135" s="205"/>
      <c r="Q135" s="192"/>
    </row>
    <row r="136" spans="1:21" ht="16" x14ac:dyDescent="0.2">
      <c r="A136" s="133"/>
      <c r="B136" s="162"/>
      <c r="C136" s="163"/>
      <c r="D136" s="163"/>
      <c r="E136" s="163" t="s">
        <v>78</v>
      </c>
      <c r="F136" s="162" t="e">
        <f>C135*Q136</f>
        <v>#DIV/0!</v>
      </c>
      <c r="G136" s="163" t="s">
        <v>312</v>
      </c>
      <c r="H136" s="163"/>
      <c r="I136" s="163"/>
      <c r="J136" s="163"/>
      <c r="K136" s="163"/>
      <c r="L136" s="162"/>
      <c r="M136" s="163"/>
      <c r="N136" s="494"/>
      <c r="O136" s="494"/>
      <c r="P136" s="205" t="s">
        <v>358</v>
      </c>
      <c r="Q136" s="822">
        <v>0.04</v>
      </c>
    </row>
    <row r="137" spans="1:21" x14ac:dyDescent="0.2">
      <c r="A137" s="133"/>
      <c r="B137" s="162"/>
      <c r="C137" s="163"/>
      <c r="D137" s="163"/>
      <c r="E137" s="163" t="s">
        <v>78</v>
      </c>
      <c r="F137" s="162" t="e">
        <f>F136*Stoichiometry!C160</f>
        <v>#DIV/0!</v>
      </c>
      <c r="G137" s="163" t="s">
        <v>299</v>
      </c>
      <c r="H137" s="163"/>
      <c r="I137" s="163"/>
      <c r="J137" s="163"/>
      <c r="K137" s="163"/>
      <c r="L137" s="162"/>
      <c r="M137" s="163"/>
      <c r="N137" s="494"/>
      <c r="O137" s="494"/>
      <c r="P137" s="205"/>
      <c r="Q137" s="192"/>
    </row>
    <row r="138" spans="1:21" x14ac:dyDescent="0.2">
      <c r="A138" s="133"/>
      <c r="B138" s="162"/>
      <c r="C138" s="163"/>
      <c r="D138" s="163"/>
      <c r="E138" s="163"/>
      <c r="F138" s="162"/>
      <c r="G138" s="163"/>
      <c r="H138" s="163" t="s">
        <v>52</v>
      </c>
      <c r="I138" s="210" t="e">
        <f>IF(Macro!D10=TRUE,Energy!O116,0)</f>
        <v>#DIV/0!</v>
      </c>
      <c r="J138" s="163" t="s">
        <v>233</v>
      </c>
      <c r="K138" s="163"/>
      <c r="L138" s="162"/>
      <c r="M138" s="163"/>
      <c r="N138" s="494"/>
      <c r="O138" s="494"/>
      <c r="P138" s="179"/>
      <c r="Q138" s="470"/>
    </row>
    <row r="139" spans="1:21" x14ac:dyDescent="0.2">
      <c r="A139" s="133"/>
      <c r="B139" s="162"/>
      <c r="C139" s="163"/>
      <c r="D139" s="163"/>
      <c r="E139" s="163"/>
      <c r="F139" s="163"/>
      <c r="G139" s="163"/>
      <c r="H139" s="163"/>
      <c r="I139" s="163"/>
      <c r="J139" s="163"/>
      <c r="K139" s="163" t="s">
        <v>351</v>
      </c>
      <c r="L139" s="162" t="e">
        <f>C135+F137</f>
        <v>#DIV/0!</v>
      </c>
      <c r="M139" s="163" t="s">
        <v>299</v>
      </c>
      <c r="N139" s="494"/>
      <c r="O139" s="494"/>
      <c r="P139" s="205"/>
      <c r="Q139" s="192"/>
    </row>
    <row r="140" spans="1:21" x14ac:dyDescent="0.2">
      <c r="A140" s="133"/>
      <c r="B140" s="162"/>
      <c r="C140" s="163"/>
      <c r="D140" s="163"/>
      <c r="E140" s="163"/>
      <c r="F140" s="163"/>
      <c r="G140" s="163"/>
      <c r="H140" s="163"/>
      <c r="I140" s="163"/>
      <c r="J140" s="163"/>
      <c r="K140" s="163" t="s">
        <v>351</v>
      </c>
      <c r="L140" s="162" t="e">
        <f>L139/N140</f>
        <v>#DIV/0!</v>
      </c>
      <c r="M140" s="163" t="s">
        <v>312</v>
      </c>
      <c r="N140" s="513">
        <v>1</v>
      </c>
      <c r="O140" s="513"/>
      <c r="P140" s="205"/>
      <c r="Q140" s="192"/>
    </row>
    <row r="141" spans="1:21" x14ac:dyDescent="0.2">
      <c r="A141" s="170"/>
      <c r="B141" s="146"/>
      <c r="C141" s="146"/>
      <c r="D141" s="146"/>
      <c r="E141" s="206"/>
      <c r="F141" s="146"/>
      <c r="G141" s="146"/>
      <c r="H141" s="146"/>
      <c r="I141" s="146"/>
      <c r="J141" s="146"/>
      <c r="K141" s="146"/>
      <c r="L141" s="146"/>
      <c r="M141" s="146"/>
      <c r="N141" s="458"/>
      <c r="O141" s="458"/>
      <c r="P141" s="171"/>
      <c r="Q141" s="195"/>
    </row>
    <row r="142" spans="1:21" ht="16" x14ac:dyDescent="0.2">
      <c r="A142" s="778" t="s">
        <v>402</v>
      </c>
      <c r="B142" s="163"/>
      <c r="C142" s="163"/>
      <c r="D142" s="163"/>
      <c r="E142" s="163"/>
      <c r="F142" s="163"/>
      <c r="G142" s="163"/>
      <c r="H142" s="163"/>
      <c r="I142" s="163"/>
      <c r="J142" s="163"/>
      <c r="K142" s="163"/>
      <c r="L142" s="163"/>
      <c r="M142" s="163"/>
      <c r="N142" s="494"/>
      <c r="O142" s="494"/>
      <c r="P142" s="164"/>
      <c r="Q142" s="192"/>
    </row>
    <row r="143" spans="1:21" x14ac:dyDescent="0.2">
      <c r="A143" s="133" t="s">
        <v>349</v>
      </c>
      <c r="B143" s="163" t="s">
        <v>351</v>
      </c>
      <c r="C143" s="162" t="e">
        <f>L139</f>
        <v>#DIV/0!</v>
      </c>
      <c r="D143" s="163" t="s">
        <v>299</v>
      </c>
      <c r="E143" s="163"/>
      <c r="F143" s="163"/>
      <c r="G143" s="163"/>
      <c r="H143" s="163"/>
      <c r="I143" s="163"/>
      <c r="J143" s="163"/>
      <c r="K143" s="163"/>
      <c r="L143" s="163"/>
      <c r="M143" s="163"/>
      <c r="N143" s="494"/>
      <c r="O143" s="494"/>
      <c r="P143" s="164"/>
      <c r="Q143" s="192"/>
    </row>
    <row r="144" spans="1:21" ht="16" x14ac:dyDescent="0.2">
      <c r="A144" s="133"/>
      <c r="B144" s="162"/>
      <c r="C144" s="163"/>
      <c r="D144" s="163"/>
      <c r="E144" s="163" t="s">
        <v>70</v>
      </c>
      <c r="F144" s="162" t="e">
        <f>F114*Q144</f>
        <v>#DIV/0!</v>
      </c>
      <c r="G144" s="163" t="s">
        <v>299</v>
      </c>
      <c r="H144" s="163"/>
      <c r="I144" s="163"/>
      <c r="J144" s="163"/>
      <c r="K144" s="163"/>
      <c r="L144" s="163"/>
      <c r="M144" s="163"/>
      <c r="N144" s="494"/>
      <c r="O144" s="494"/>
      <c r="P144" s="111" t="s">
        <v>359</v>
      </c>
      <c r="Q144" s="818">
        <v>2</v>
      </c>
    </row>
    <row r="145" spans="1:17" x14ac:dyDescent="0.2">
      <c r="A145" s="133"/>
      <c r="B145" s="162"/>
      <c r="C145" s="163"/>
      <c r="D145" s="163"/>
      <c r="E145" s="163"/>
      <c r="F145" s="162"/>
      <c r="G145" s="163"/>
      <c r="H145" s="163" t="s">
        <v>52</v>
      </c>
      <c r="I145" s="210" t="e">
        <f>IF(Macro!D10=TRUE,Energy!O117,0)</f>
        <v>#DIV/0!</v>
      </c>
      <c r="J145" s="163" t="s">
        <v>233</v>
      </c>
      <c r="K145" s="163"/>
      <c r="L145" s="163"/>
      <c r="M145" s="163"/>
      <c r="N145" s="494"/>
      <c r="O145" s="494"/>
      <c r="P145" s="179"/>
      <c r="Q145" s="470"/>
    </row>
    <row r="146" spans="1:17" x14ac:dyDescent="0.2">
      <c r="A146" s="133"/>
      <c r="B146" s="162"/>
      <c r="C146" s="163"/>
      <c r="D146" s="163"/>
      <c r="E146" s="163"/>
      <c r="F146" s="163"/>
      <c r="G146" s="163"/>
      <c r="H146" s="163"/>
      <c r="I146" s="163"/>
      <c r="J146" s="163"/>
      <c r="K146" s="163" t="s">
        <v>351</v>
      </c>
      <c r="L146" s="162" t="e">
        <f>C143+F144</f>
        <v>#DIV/0!</v>
      </c>
      <c r="M146" s="163" t="s">
        <v>299</v>
      </c>
      <c r="N146" s="494"/>
      <c r="O146" s="494"/>
      <c r="P146" s="164"/>
      <c r="Q146" s="192"/>
    </row>
    <row r="147" spans="1:17" x14ac:dyDescent="0.2">
      <c r="A147" s="133"/>
      <c r="B147" s="163"/>
      <c r="C147" s="163"/>
      <c r="D147" s="163"/>
      <c r="E147" s="163"/>
      <c r="F147" s="163"/>
      <c r="G147" s="163"/>
      <c r="H147" s="163"/>
      <c r="I147" s="163"/>
      <c r="J147" s="163"/>
      <c r="K147" s="163" t="s">
        <v>351</v>
      </c>
      <c r="L147" s="162" t="e">
        <f>L146/N147</f>
        <v>#DIV/0!</v>
      </c>
      <c r="M147" s="163" t="s">
        <v>312</v>
      </c>
      <c r="N147" s="513">
        <v>1</v>
      </c>
      <c r="O147" s="513"/>
      <c r="P147" s="205"/>
      <c r="Q147" s="192"/>
    </row>
    <row r="148" spans="1:17" x14ac:dyDescent="0.2">
      <c r="A148" s="170"/>
      <c r="B148" s="146"/>
      <c r="C148" s="146"/>
      <c r="D148" s="146"/>
      <c r="E148" s="206"/>
      <c r="F148" s="146"/>
      <c r="G148" s="146"/>
      <c r="H148" s="146"/>
      <c r="I148" s="146"/>
      <c r="J148" s="146"/>
      <c r="K148" s="146"/>
      <c r="L148" s="146"/>
      <c r="M148" s="146"/>
      <c r="N148" s="458"/>
      <c r="O148" s="458"/>
      <c r="P148" s="171"/>
      <c r="Q148" s="195"/>
    </row>
    <row r="149" spans="1:17" x14ac:dyDescent="0.2">
      <c r="A149" s="156" t="s">
        <v>403</v>
      </c>
      <c r="B149" s="163"/>
      <c r="C149" s="163"/>
      <c r="D149" s="163"/>
      <c r="E149" s="163"/>
      <c r="F149" s="163"/>
      <c r="G149" s="163"/>
      <c r="H149" s="163"/>
      <c r="I149" s="163"/>
      <c r="J149" s="163"/>
      <c r="K149" s="163"/>
      <c r="L149" s="163"/>
      <c r="M149" s="163"/>
      <c r="N149" s="494"/>
      <c r="O149" s="494"/>
      <c r="P149" s="164"/>
      <c r="Q149" s="192"/>
    </row>
    <row r="150" spans="1:17" x14ac:dyDescent="0.2">
      <c r="A150" s="133" t="s">
        <v>361</v>
      </c>
      <c r="B150" s="163" t="s">
        <v>351</v>
      </c>
      <c r="C150" s="162" t="e">
        <f>L146</f>
        <v>#DIV/0!</v>
      </c>
      <c r="D150" s="163" t="s">
        <v>299</v>
      </c>
      <c r="E150" s="163"/>
      <c r="F150" s="163"/>
      <c r="G150" s="163"/>
      <c r="H150" s="163"/>
      <c r="I150" s="163"/>
      <c r="J150" s="163"/>
      <c r="K150" s="163"/>
      <c r="L150" s="163"/>
      <c r="M150" s="163"/>
      <c r="N150" s="494"/>
      <c r="O150" s="494"/>
      <c r="P150" s="164"/>
      <c r="Q150" s="192"/>
    </row>
    <row r="151" spans="1:17" x14ac:dyDescent="0.2">
      <c r="A151" s="156"/>
      <c r="B151" s="163"/>
      <c r="C151" s="162"/>
      <c r="D151" s="163"/>
      <c r="E151" s="163"/>
      <c r="F151" s="163"/>
      <c r="G151" s="163"/>
      <c r="H151" s="474" t="s">
        <v>52</v>
      </c>
      <c r="I151" s="476" t="e">
        <f>IF(Macro!D10=TRUE,Energy!O118,0)</f>
        <v>#DIV/0!</v>
      </c>
      <c r="J151" s="474" t="s">
        <v>233</v>
      </c>
      <c r="K151" s="474"/>
      <c r="L151" s="474"/>
      <c r="M151" s="474"/>
      <c r="N151" s="514"/>
      <c r="O151" s="514"/>
      <c r="P151" s="474"/>
      <c r="Q151" s="475"/>
    </row>
    <row r="152" spans="1:17" ht="16" x14ac:dyDescent="0.2">
      <c r="A152" s="133"/>
      <c r="B152" s="163"/>
      <c r="C152" s="163"/>
      <c r="D152" s="163"/>
      <c r="E152" s="162"/>
      <c r="F152" s="163"/>
      <c r="G152" s="163"/>
      <c r="H152" s="163"/>
      <c r="I152" s="163"/>
      <c r="J152" s="163"/>
      <c r="K152" s="111" t="s">
        <v>50</v>
      </c>
      <c r="L152" s="718" t="e">
        <f>IF(Macro!D10=TRUE,Stoichiometry!G139*(Stoichiometry!D157/Stoichiometry!D139)*Efficiencies!E112,0)</f>
        <v>#DIV/0!</v>
      </c>
      <c r="M152" s="163" t="s">
        <v>299</v>
      </c>
      <c r="N152" s="494"/>
      <c r="O152" s="494"/>
      <c r="P152" s="164"/>
      <c r="Q152" s="192"/>
    </row>
    <row r="153" spans="1:17" x14ac:dyDescent="0.2">
      <c r="A153" s="133"/>
      <c r="B153" s="163"/>
      <c r="C153" s="163"/>
      <c r="D153" s="163"/>
      <c r="E153" s="162"/>
      <c r="F153" s="163"/>
      <c r="G153" s="163"/>
      <c r="H153" s="163"/>
      <c r="I153" s="163"/>
      <c r="J153" s="163"/>
      <c r="K153" s="163" t="s">
        <v>32</v>
      </c>
      <c r="L153" s="210" t="e">
        <f>IF(Macro!D10=TRUE,Stoichiometry!G136*(Stoichiometry!D158/Stoichiometry!D136)*Efficiencies!E113,0)</f>
        <v>#DIV/0!</v>
      </c>
      <c r="M153" s="163" t="s">
        <v>299</v>
      </c>
      <c r="N153" s="494"/>
      <c r="O153" s="494"/>
      <c r="P153" s="164"/>
      <c r="Q153" s="192"/>
    </row>
    <row r="154" spans="1:17" x14ac:dyDescent="0.2">
      <c r="A154" s="133"/>
      <c r="B154" s="163"/>
      <c r="C154" s="163"/>
      <c r="D154" s="163"/>
      <c r="E154" s="162"/>
      <c r="F154" s="163"/>
      <c r="G154" s="163"/>
      <c r="H154" s="163"/>
      <c r="I154" s="163"/>
      <c r="J154" s="163"/>
      <c r="K154" s="163" t="s">
        <v>351</v>
      </c>
      <c r="L154" s="162" t="e">
        <f>C150-L152-L153</f>
        <v>#DIV/0!</v>
      </c>
      <c r="M154" s="163" t="s">
        <v>299</v>
      </c>
      <c r="N154" s="494"/>
      <c r="O154" s="494"/>
      <c r="P154" s="164"/>
      <c r="Q154" s="192"/>
    </row>
    <row r="155" spans="1:17" x14ac:dyDescent="0.2">
      <c r="A155" s="133"/>
      <c r="B155" s="163"/>
      <c r="C155" s="163"/>
      <c r="D155" s="163"/>
      <c r="E155" s="163"/>
      <c r="F155" s="163"/>
      <c r="G155" s="163"/>
      <c r="H155" s="163"/>
      <c r="I155" s="163"/>
      <c r="J155" s="163"/>
      <c r="K155" s="163" t="s">
        <v>351</v>
      </c>
      <c r="L155" s="162" t="e">
        <f>L154/N155</f>
        <v>#DIV/0!</v>
      </c>
      <c r="M155" s="163" t="s">
        <v>312</v>
      </c>
      <c r="N155" s="513">
        <v>1</v>
      </c>
      <c r="O155" s="513"/>
      <c r="P155" s="205"/>
      <c r="Q155" s="192"/>
    </row>
    <row r="156" spans="1:17" x14ac:dyDescent="0.2">
      <c r="A156" s="170"/>
      <c r="B156" s="146"/>
      <c r="C156" s="146"/>
      <c r="D156" s="146"/>
      <c r="E156" s="146"/>
      <c r="F156" s="146"/>
      <c r="G156" s="146"/>
      <c r="H156" s="146"/>
      <c r="I156" s="146"/>
      <c r="J156" s="146"/>
      <c r="K156" s="146"/>
      <c r="L156" s="146"/>
      <c r="M156" s="146"/>
      <c r="N156" s="458"/>
      <c r="O156" s="458"/>
      <c r="P156" s="171"/>
      <c r="Q156" s="195"/>
    </row>
    <row r="157" spans="1:17" x14ac:dyDescent="0.2">
      <c r="A157" s="156" t="s">
        <v>405</v>
      </c>
      <c r="B157" s="163"/>
      <c r="C157" s="163"/>
      <c r="D157" s="163"/>
      <c r="E157" s="163"/>
      <c r="F157" s="163"/>
      <c r="G157" s="163"/>
      <c r="H157" s="163"/>
      <c r="I157" s="163"/>
      <c r="J157" s="163"/>
      <c r="K157" s="163"/>
      <c r="L157" s="163"/>
      <c r="M157" s="163"/>
      <c r="N157" s="494"/>
      <c r="O157" s="494"/>
      <c r="P157" s="164"/>
      <c r="Q157" s="192"/>
    </row>
    <row r="158" spans="1:17" ht="16" x14ac:dyDescent="0.2">
      <c r="A158" s="133" t="s">
        <v>353</v>
      </c>
      <c r="B158" s="163" t="s">
        <v>351</v>
      </c>
      <c r="C158" s="162" t="e">
        <f>L154</f>
        <v>#DIV/0!</v>
      </c>
      <c r="D158" s="163" t="s">
        <v>299</v>
      </c>
      <c r="E158" s="163"/>
      <c r="F158" s="163"/>
      <c r="G158" s="163"/>
      <c r="H158" s="163"/>
      <c r="I158" s="163"/>
      <c r="J158" s="163"/>
      <c r="K158" s="163"/>
      <c r="L158" s="163"/>
      <c r="M158" s="163"/>
      <c r="N158" s="494"/>
      <c r="O158" s="494" t="e">
        <f>Energy!Q119</f>
        <v>#DIV/0!</v>
      </c>
      <c r="P158" s="164" t="s">
        <v>277</v>
      </c>
      <c r="Q158" s="192"/>
    </row>
    <row r="159" spans="1:17" ht="32" x14ac:dyDescent="0.2">
      <c r="A159" s="133"/>
      <c r="B159" s="163"/>
      <c r="C159" s="163"/>
      <c r="D159" s="163"/>
      <c r="E159" s="163" t="s">
        <v>63</v>
      </c>
      <c r="F159" s="198" t="e">
        <f>IF(Macro!D10=TRUE,C158/3*1.3*0.7/O158,0)</f>
        <v>#DIV/0!</v>
      </c>
      <c r="G159" s="163" t="s">
        <v>299</v>
      </c>
      <c r="H159" s="163"/>
      <c r="I159" s="163"/>
      <c r="J159" s="163"/>
      <c r="K159" s="163"/>
      <c r="L159" s="163"/>
      <c r="M159" s="163"/>
      <c r="N159" s="494"/>
      <c r="O159" s="494"/>
      <c r="P159" s="850" t="s">
        <v>364</v>
      </c>
      <c r="Q159" s="192"/>
    </row>
    <row r="160" spans="1:17" ht="32" x14ac:dyDescent="0.2">
      <c r="A160" s="133"/>
      <c r="B160" s="163"/>
      <c r="C160" s="163"/>
      <c r="D160" s="163"/>
      <c r="E160" s="163" t="s">
        <v>406</v>
      </c>
      <c r="F160" s="719" t="e">
        <f>IF(Macro!D10=TRUE,C158/3*1.3*0.3/O158,0)</f>
        <v>#DIV/0!</v>
      </c>
      <c r="G160" s="163" t="s">
        <v>366</v>
      </c>
      <c r="H160" s="163"/>
      <c r="I160" s="163"/>
      <c r="J160" s="163"/>
      <c r="K160" s="163"/>
      <c r="L160" s="163"/>
      <c r="M160" s="163"/>
      <c r="N160" s="494"/>
      <c r="O160" s="494"/>
      <c r="P160" s="850" t="s">
        <v>407</v>
      </c>
      <c r="Q160" s="192"/>
    </row>
    <row r="161" spans="1:20" ht="32" x14ac:dyDescent="0.2">
      <c r="A161" s="133"/>
      <c r="B161" s="163"/>
      <c r="C161" s="163"/>
      <c r="D161" s="163"/>
      <c r="E161" s="164" t="s">
        <v>602</v>
      </c>
      <c r="F161" s="951" t="e">
        <f>F160*Q161</f>
        <v>#DIV/0!</v>
      </c>
      <c r="G161" s="163" t="s">
        <v>337</v>
      </c>
      <c r="H161" s="163"/>
      <c r="I161" s="133"/>
      <c r="J161" s="163"/>
      <c r="K161" s="163"/>
      <c r="L161" s="163"/>
      <c r="M161" s="163"/>
      <c r="N161" s="494"/>
      <c r="O161" s="494"/>
      <c r="P161" s="111" t="s">
        <v>369</v>
      </c>
      <c r="Q161" s="947">
        <v>0.05</v>
      </c>
    </row>
    <row r="162" spans="1:20" x14ac:dyDescent="0.2">
      <c r="A162" s="133"/>
      <c r="B162" s="163"/>
      <c r="C162" s="163"/>
      <c r="D162" s="163"/>
      <c r="E162" s="164"/>
      <c r="F162" s="197"/>
      <c r="G162" s="163"/>
      <c r="H162" s="163" t="s">
        <v>52</v>
      </c>
      <c r="I162" s="162" t="e">
        <f>IF(Macro!D10=TRUE,Energy!O119,0)</f>
        <v>#DIV/0!</v>
      </c>
      <c r="J162" s="163" t="s">
        <v>233</v>
      </c>
      <c r="K162" s="163"/>
      <c r="L162" s="163"/>
      <c r="M162" s="163"/>
      <c r="N162" s="494"/>
      <c r="O162" s="494"/>
      <c r="P162" s="111"/>
      <c r="Q162" s="245"/>
    </row>
    <row r="163" spans="1:20" ht="32" x14ac:dyDescent="0.2">
      <c r="A163" s="133"/>
      <c r="B163" s="163"/>
      <c r="C163" s="163"/>
      <c r="D163" s="163"/>
      <c r="E163" s="163"/>
      <c r="F163" s="163"/>
      <c r="G163" s="163"/>
      <c r="H163" s="163"/>
      <c r="I163" s="133"/>
      <c r="J163" s="163"/>
      <c r="K163" s="163" t="s">
        <v>409</v>
      </c>
      <c r="L163" s="162" t="e">
        <f>IF(Macro!D10=TRUE,F159+F160+Stoichiometry!G149+Stoichiometry!G149/(Stoichiometry!J7/1000),0)</f>
        <v>#DIV/0!</v>
      </c>
      <c r="M163" s="163" t="s">
        <v>299</v>
      </c>
      <c r="N163" s="494"/>
      <c r="O163" s="494"/>
      <c r="P163" s="164" t="s">
        <v>410</v>
      </c>
      <c r="Q163" s="192"/>
    </row>
    <row r="164" spans="1:20" x14ac:dyDescent="0.2">
      <c r="A164" s="133"/>
      <c r="B164" s="163"/>
      <c r="C164" s="163"/>
      <c r="D164" s="163"/>
      <c r="E164" s="163"/>
      <c r="F164" s="163"/>
      <c r="G164" s="163"/>
      <c r="H164" s="163"/>
      <c r="I164" s="133"/>
      <c r="J164" s="163"/>
      <c r="K164" s="163" t="s">
        <v>351</v>
      </c>
      <c r="L164" s="162" t="e">
        <f>C158-L163</f>
        <v>#DIV/0!</v>
      </c>
      <c r="M164" s="133" t="s">
        <v>299</v>
      </c>
      <c r="N164" s="503"/>
      <c r="O164" s="503"/>
      <c r="P164" s="205"/>
      <c r="Q164" s="165"/>
    </row>
    <row r="165" spans="1:20" x14ac:dyDescent="0.2">
      <c r="A165" s="133"/>
      <c r="B165" s="163"/>
      <c r="C165" s="163"/>
      <c r="D165" s="133"/>
      <c r="E165" s="163"/>
      <c r="F165" s="163"/>
      <c r="G165" s="163"/>
      <c r="H165" s="163"/>
      <c r="I165" s="133"/>
      <c r="J165" s="163"/>
      <c r="K165" s="163" t="s">
        <v>351</v>
      </c>
      <c r="L165" s="162" t="e">
        <f>L164/N165</f>
        <v>#DIV/0!</v>
      </c>
      <c r="M165" s="133" t="s">
        <v>312</v>
      </c>
      <c r="N165" s="507">
        <v>1</v>
      </c>
      <c r="O165" s="507"/>
      <c r="P165" s="401"/>
      <c r="Q165" s="529"/>
    </row>
    <row r="166" spans="1:20" x14ac:dyDescent="0.2">
      <c r="A166" s="170"/>
      <c r="B166" s="146"/>
      <c r="C166" s="146"/>
      <c r="D166" s="170"/>
      <c r="E166" s="146"/>
      <c r="F166" s="146"/>
      <c r="G166" s="146"/>
      <c r="H166" s="146"/>
      <c r="I166" s="146"/>
      <c r="J166" s="146"/>
      <c r="K166" s="146"/>
      <c r="L166" s="146"/>
      <c r="M166" s="146"/>
      <c r="N166" s="458"/>
      <c r="O166" s="458"/>
      <c r="P166" s="171"/>
      <c r="Q166" s="195"/>
    </row>
    <row r="167" spans="1:20" x14ac:dyDescent="0.2">
      <c r="A167" s="159" t="s">
        <v>411</v>
      </c>
      <c r="B167" s="174"/>
      <c r="C167" s="163"/>
      <c r="D167" s="174"/>
      <c r="E167" s="174"/>
      <c r="F167" s="163"/>
      <c r="G167" s="163"/>
      <c r="H167" s="163"/>
      <c r="I167" s="163"/>
      <c r="J167" s="163"/>
      <c r="K167" s="163"/>
      <c r="L167" s="163"/>
      <c r="M167" s="163"/>
      <c r="N167" s="494"/>
      <c r="O167" s="494"/>
      <c r="P167" s="164"/>
      <c r="Q167" s="192"/>
    </row>
    <row r="168" spans="1:20" x14ac:dyDescent="0.2">
      <c r="A168" s="133" t="s">
        <v>353</v>
      </c>
      <c r="B168" s="163" t="s">
        <v>409</v>
      </c>
      <c r="C168" s="162" t="e">
        <f>L163</f>
        <v>#DIV/0!</v>
      </c>
      <c r="D168" s="163" t="s">
        <v>299</v>
      </c>
      <c r="E168" s="163"/>
      <c r="F168" s="163"/>
      <c r="G168" s="163"/>
      <c r="H168" s="163"/>
      <c r="I168" s="163"/>
      <c r="J168" s="163"/>
      <c r="K168" s="163"/>
      <c r="L168" s="163"/>
      <c r="M168" s="163"/>
      <c r="N168" s="494"/>
      <c r="O168" s="494"/>
      <c r="P168" s="164"/>
      <c r="Q168" s="192"/>
    </row>
    <row r="169" spans="1:20" ht="29" customHeight="1" x14ac:dyDescent="0.2">
      <c r="A169" s="133"/>
      <c r="B169" s="163"/>
      <c r="C169" s="163"/>
      <c r="D169" s="163"/>
      <c r="E169" s="164" t="s">
        <v>413</v>
      </c>
      <c r="F169" s="164" t="s">
        <v>375</v>
      </c>
      <c r="G169" s="163"/>
      <c r="H169" s="163"/>
      <c r="I169" s="163"/>
      <c r="J169" s="163"/>
      <c r="K169" s="163"/>
      <c r="L169" s="163"/>
      <c r="M169" s="163"/>
      <c r="N169" s="494"/>
      <c r="O169" s="494"/>
      <c r="P169" s="164"/>
      <c r="Q169" s="192"/>
      <c r="T169" s="168"/>
    </row>
    <row r="170" spans="1:20" ht="16" x14ac:dyDescent="0.2">
      <c r="A170" s="133"/>
      <c r="B170" s="163"/>
      <c r="C170" s="163"/>
      <c r="D170" s="163"/>
      <c r="E170" s="163"/>
      <c r="F170" s="163"/>
      <c r="G170" s="163"/>
      <c r="H170" s="163" t="s">
        <v>52</v>
      </c>
      <c r="I170" s="162" t="e">
        <f>IF(Macro!D10=TRUE,Energy!O120,0)</f>
        <v>#DIV/0!</v>
      </c>
      <c r="J170" s="163" t="s">
        <v>233</v>
      </c>
      <c r="K170" s="163"/>
      <c r="L170" s="163"/>
      <c r="M170" s="163"/>
      <c r="N170" s="494"/>
      <c r="O170" s="494"/>
      <c r="P170" s="164" t="s">
        <v>376</v>
      </c>
      <c r="Q170" s="192"/>
      <c r="T170" s="168"/>
    </row>
    <row r="171" spans="1:20" x14ac:dyDescent="0.2">
      <c r="A171" s="133"/>
      <c r="B171" s="163"/>
      <c r="C171" s="163"/>
      <c r="D171" s="163"/>
      <c r="E171" s="163"/>
      <c r="F171" s="163"/>
      <c r="G171" s="163"/>
      <c r="H171" s="163"/>
      <c r="I171" s="163"/>
      <c r="J171" s="163"/>
      <c r="K171" s="163" t="s">
        <v>409</v>
      </c>
      <c r="L171" s="162" t="e">
        <f>C168</f>
        <v>#DIV/0!</v>
      </c>
      <c r="M171" s="163" t="s">
        <v>299</v>
      </c>
      <c r="N171" s="494"/>
      <c r="O171" s="494"/>
      <c r="P171" s="164"/>
      <c r="Q171" s="192"/>
    </row>
    <row r="172" spans="1:20" x14ac:dyDescent="0.2">
      <c r="A172" s="170"/>
      <c r="B172" s="146"/>
      <c r="C172" s="146"/>
      <c r="D172" s="146"/>
      <c r="E172" s="146"/>
      <c r="F172" s="146"/>
      <c r="G172" s="146"/>
      <c r="H172" s="146"/>
      <c r="I172" s="146"/>
      <c r="J172" s="146"/>
      <c r="K172" s="146" t="s">
        <v>409</v>
      </c>
      <c r="L172" s="206" t="e">
        <f>L171/N172</f>
        <v>#DIV/0!</v>
      </c>
      <c r="M172" s="146" t="s">
        <v>312</v>
      </c>
      <c r="N172" s="458">
        <v>2</v>
      </c>
      <c r="O172" s="458"/>
      <c r="P172" s="171"/>
      <c r="Q172" s="195"/>
    </row>
    <row r="173" spans="1:20" x14ac:dyDescent="0.2">
      <c r="A173" s="156" t="s">
        <v>414</v>
      </c>
      <c r="B173" s="163"/>
      <c r="C173" s="163"/>
      <c r="D173" s="163"/>
      <c r="E173" s="163"/>
      <c r="F173" s="163"/>
      <c r="G173" s="163"/>
      <c r="H173" s="163"/>
      <c r="I173" s="163"/>
      <c r="J173" s="163"/>
      <c r="K173" s="163"/>
      <c r="L173" s="163"/>
      <c r="M173" s="163"/>
      <c r="N173" s="494"/>
      <c r="O173" s="494"/>
      <c r="P173" s="164"/>
      <c r="Q173" s="192"/>
    </row>
    <row r="174" spans="1:20" ht="16" x14ac:dyDescent="0.2">
      <c r="A174" s="133" t="s">
        <v>353</v>
      </c>
      <c r="B174" s="163" t="s">
        <v>409</v>
      </c>
      <c r="C174" s="162" t="e">
        <f>L171</f>
        <v>#DIV/0!</v>
      </c>
      <c r="D174" s="163" t="s">
        <v>299</v>
      </c>
      <c r="E174" s="163"/>
      <c r="F174" s="163"/>
      <c r="G174" s="163"/>
      <c r="H174" s="163"/>
      <c r="I174" s="163"/>
      <c r="J174" s="163"/>
      <c r="K174" s="163"/>
      <c r="L174" s="163"/>
      <c r="M174" s="163"/>
      <c r="N174" s="494"/>
      <c r="O174" s="494"/>
      <c r="P174" s="112" t="s">
        <v>378</v>
      </c>
      <c r="Q174" s="818">
        <v>2</v>
      </c>
    </row>
    <row r="175" spans="1:20" ht="16" x14ac:dyDescent="0.2">
      <c r="A175" s="133"/>
      <c r="B175" s="163"/>
      <c r="C175" s="163"/>
      <c r="D175" s="163"/>
      <c r="E175" s="163" t="s">
        <v>74</v>
      </c>
      <c r="F175" s="333" t="e">
        <f>Stoichiometry!E163*Q175/Q174*Stoichiometry!C146/1000</f>
        <v>#DIV/0!</v>
      </c>
      <c r="G175" s="163" t="s">
        <v>299</v>
      </c>
      <c r="H175" s="163"/>
      <c r="I175" s="163"/>
      <c r="J175" s="163"/>
      <c r="K175" s="163"/>
      <c r="L175" s="163"/>
      <c r="M175" s="163"/>
      <c r="N175" s="494"/>
      <c r="O175" s="494"/>
      <c r="P175" s="112" t="s">
        <v>379</v>
      </c>
      <c r="Q175" s="818">
        <v>3</v>
      </c>
    </row>
    <row r="176" spans="1:20" ht="16" x14ac:dyDescent="0.2">
      <c r="A176" s="133"/>
      <c r="B176" s="163"/>
      <c r="C176" s="163"/>
      <c r="D176" s="163"/>
      <c r="E176" s="163"/>
      <c r="F176" s="333"/>
      <c r="G176" s="163"/>
      <c r="H176" s="163" t="s">
        <v>52</v>
      </c>
      <c r="I176" s="162" t="e">
        <f>IF(Macro!D10=TRUE,Energy!O121,0)</f>
        <v>#DIV/0!</v>
      </c>
      <c r="J176" s="163" t="s">
        <v>233</v>
      </c>
      <c r="K176" s="163"/>
      <c r="L176" s="162"/>
      <c r="M176" s="163"/>
      <c r="N176" s="494"/>
      <c r="O176" s="494"/>
      <c r="P176" s="164" t="s">
        <v>376</v>
      </c>
      <c r="Q176" s="192"/>
    </row>
    <row r="177" spans="1:20" x14ac:dyDescent="0.2">
      <c r="A177" s="133"/>
      <c r="B177" s="163"/>
      <c r="C177" s="163"/>
      <c r="D177" s="163"/>
      <c r="E177" s="163"/>
      <c r="F177" s="163"/>
      <c r="G177" s="163"/>
      <c r="H177" s="163"/>
      <c r="I177" s="163"/>
      <c r="J177" s="163"/>
      <c r="K177" s="163" t="s">
        <v>416</v>
      </c>
      <c r="L177" s="162" t="e">
        <f>C174+F175-L179-L180</f>
        <v>#DIV/0!</v>
      </c>
      <c r="M177" s="163" t="s">
        <v>299</v>
      </c>
      <c r="N177" s="494"/>
      <c r="O177" s="494"/>
      <c r="P177" s="164"/>
      <c r="Q177" s="192"/>
    </row>
    <row r="178" spans="1:20" x14ac:dyDescent="0.2">
      <c r="A178" s="133"/>
      <c r="B178" s="163"/>
      <c r="C178" s="163"/>
      <c r="D178" s="133"/>
      <c r="E178" s="163"/>
      <c r="F178" s="163"/>
      <c r="G178" s="163"/>
      <c r="H178" s="163"/>
      <c r="I178" s="163"/>
      <c r="J178" s="163"/>
      <c r="K178" s="163" t="s">
        <v>416</v>
      </c>
      <c r="L178" s="162" t="e">
        <f>L177/N178</f>
        <v>#DIV/0!</v>
      </c>
      <c r="M178" s="163" t="s">
        <v>312</v>
      </c>
      <c r="N178" s="513">
        <v>2</v>
      </c>
      <c r="O178" s="513"/>
      <c r="P178" s="164"/>
      <c r="Q178" s="529"/>
    </row>
    <row r="179" spans="1:20" ht="16" x14ac:dyDescent="0.2">
      <c r="A179" s="133"/>
      <c r="B179" s="163"/>
      <c r="C179" s="163"/>
      <c r="D179" s="133"/>
      <c r="E179" s="163"/>
      <c r="F179" s="163"/>
      <c r="G179" s="163"/>
      <c r="H179" s="163"/>
      <c r="I179" s="163"/>
      <c r="J179" s="163"/>
      <c r="K179" s="163" t="s">
        <v>45</v>
      </c>
      <c r="L179" s="198" t="e">
        <f>F160</f>
        <v>#DIV/0!</v>
      </c>
      <c r="M179" s="163" t="s">
        <v>299</v>
      </c>
      <c r="N179" s="494"/>
      <c r="O179" s="494"/>
      <c r="P179" s="164" t="s">
        <v>381</v>
      </c>
      <c r="Q179" s="192"/>
    </row>
    <row r="180" spans="1:20" ht="16" x14ac:dyDescent="0.2">
      <c r="A180" s="133"/>
      <c r="B180" s="163"/>
      <c r="C180" s="163"/>
      <c r="D180" s="133"/>
      <c r="E180" s="163"/>
      <c r="F180" s="133"/>
      <c r="G180" s="163"/>
      <c r="H180" s="163"/>
      <c r="I180" s="163"/>
      <c r="J180" s="163"/>
      <c r="K180" s="163" t="s">
        <v>63</v>
      </c>
      <c r="L180" s="198" t="e">
        <f>F159</f>
        <v>#DIV/0!</v>
      </c>
      <c r="M180" s="163" t="s">
        <v>299</v>
      </c>
      <c r="N180" s="494"/>
      <c r="O180" s="494"/>
      <c r="P180" s="164" t="s">
        <v>381</v>
      </c>
      <c r="Q180" s="192"/>
    </row>
    <row r="181" spans="1:20" x14ac:dyDescent="0.2">
      <c r="A181" s="170"/>
      <c r="B181" s="146"/>
      <c r="C181" s="146"/>
      <c r="D181" s="170"/>
      <c r="E181" s="146"/>
      <c r="F181" s="170"/>
      <c r="G181" s="146"/>
      <c r="H181" s="146"/>
      <c r="I181" s="146"/>
      <c r="J181" s="146"/>
      <c r="K181" s="146"/>
      <c r="L181" s="146"/>
      <c r="M181" s="146"/>
      <c r="N181" s="458"/>
      <c r="O181" s="458"/>
      <c r="P181" s="171"/>
      <c r="Q181" s="195"/>
    </row>
    <row r="182" spans="1:20" x14ac:dyDescent="0.2">
      <c r="A182" s="159" t="s">
        <v>632</v>
      </c>
      <c r="B182" s="163"/>
      <c r="C182" s="163"/>
      <c r="D182" s="174"/>
      <c r="E182" s="163"/>
      <c r="F182" s="174"/>
      <c r="G182" s="163"/>
      <c r="H182" s="163"/>
      <c r="I182" s="163"/>
      <c r="J182" s="163"/>
      <c r="K182" s="163"/>
      <c r="L182" s="163"/>
      <c r="M182" s="163"/>
      <c r="N182" s="494"/>
      <c r="O182" s="494"/>
      <c r="P182" s="164"/>
      <c r="Q182" s="192"/>
    </row>
    <row r="183" spans="1:20" ht="32" x14ac:dyDescent="0.2">
      <c r="A183" s="211" t="s">
        <v>382</v>
      </c>
      <c r="B183" s="179" t="s">
        <v>416</v>
      </c>
      <c r="C183" s="182" t="e">
        <f>L177</f>
        <v>#DIV/0!</v>
      </c>
      <c r="D183" s="163" t="s">
        <v>299</v>
      </c>
      <c r="E183" s="163"/>
      <c r="F183" s="163"/>
      <c r="G183" s="163"/>
      <c r="H183" s="163"/>
      <c r="I183" s="163"/>
      <c r="J183" s="163"/>
      <c r="K183" s="163"/>
      <c r="L183" s="163"/>
      <c r="M183" s="163"/>
      <c r="N183" s="494"/>
      <c r="O183" s="494"/>
      <c r="P183" s="164"/>
      <c r="Q183" s="192"/>
      <c r="T183" s="168"/>
    </row>
    <row r="184" spans="1:20" ht="16" x14ac:dyDescent="0.2">
      <c r="A184" s="133"/>
      <c r="B184" s="163"/>
      <c r="C184" s="182"/>
      <c r="D184" s="163"/>
      <c r="E184" s="163"/>
      <c r="F184" s="163"/>
      <c r="G184" s="163"/>
      <c r="H184" s="163" t="s">
        <v>52</v>
      </c>
      <c r="I184" s="162" t="e">
        <f>IF(Macro!D10=TRUE,Energy!O122,0)</f>
        <v>#DIV/0!</v>
      </c>
      <c r="J184" s="163" t="s">
        <v>233</v>
      </c>
      <c r="K184" s="163"/>
      <c r="L184" s="163"/>
      <c r="M184" s="163"/>
      <c r="N184" s="494"/>
      <c r="O184" s="494"/>
      <c r="P184" s="164" t="s">
        <v>384</v>
      </c>
      <c r="Q184" s="192"/>
    </row>
    <row r="185" spans="1:20" x14ac:dyDescent="0.2">
      <c r="A185" s="133"/>
      <c r="B185" s="163"/>
      <c r="C185" s="163"/>
      <c r="D185" s="163"/>
      <c r="E185" s="163"/>
      <c r="F185" s="163"/>
      <c r="G185" s="163"/>
      <c r="H185" s="163"/>
      <c r="I185" s="163"/>
      <c r="J185" s="163"/>
      <c r="K185" s="163" t="s">
        <v>68</v>
      </c>
      <c r="L185" s="162" t="e">
        <f>IF(Macro!D10=TRUE,(Stoichiometry!G149+Stoichiometry!G164)*Efficiencies!E115,0)</f>
        <v>#DIV/0!</v>
      </c>
      <c r="M185" s="163" t="s">
        <v>299</v>
      </c>
      <c r="N185" s="494"/>
      <c r="O185" s="494"/>
      <c r="P185" s="164"/>
      <c r="Q185" s="192"/>
    </row>
    <row r="186" spans="1:20" ht="16" x14ac:dyDescent="0.2">
      <c r="A186" s="133"/>
      <c r="B186" s="163"/>
      <c r="C186" s="163"/>
      <c r="D186" s="163"/>
      <c r="E186" s="163"/>
      <c r="F186" s="163"/>
      <c r="G186" s="163"/>
      <c r="H186" s="163"/>
      <c r="I186" s="163"/>
      <c r="J186" s="163"/>
      <c r="K186" s="163" t="s">
        <v>226</v>
      </c>
      <c r="L186" s="162" t="e">
        <f>C183-L185</f>
        <v>#DIV/0!</v>
      </c>
      <c r="M186" s="163" t="s">
        <v>299</v>
      </c>
      <c r="N186" s="494"/>
      <c r="O186" s="494"/>
      <c r="P186" s="164" t="s">
        <v>385</v>
      </c>
      <c r="Q186" s="192"/>
      <c r="T186" s="168"/>
    </row>
    <row r="187" spans="1:20" x14ac:dyDescent="0.2">
      <c r="A187" s="170"/>
      <c r="B187" s="146"/>
      <c r="C187" s="146"/>
      <c r="D187" s="146"/>
      <c r="E187" s="146"/>
      <c r="F187" s="146"/>
      <c r="G187" s="146"/>
      <c r="H187" s="146"/>
      <c r="I187" s="146"/>
      <c r="J187" s="146"/>
      <c r="K187" s="146"/>
      <c r="L187" s="146"/>
      <c r="M187" s="146"/>
      <c r="N187" s="458"/>
      <c r="O187" s="458"/>
      <c r="P187" s="171"/>
      <c r="Q187" s="195"/>
    </row>
    <row r="188" spans="1:20" ht="16" x14ac:dyDescent="0.2">
      <c r="A188" s="778" t="s">
        <v>426</v>
      </c>
      <c r="B188" s="163"/>
      <c r="C188" s="163"/>
      <c r="D188" s="163"/>
      <c r="E188" s="163"/>
      <c r="F188" s="163"/>
      <c r="G188" s="163"/>
      <c r="H188" s="163"/>
      <c r="I188" s="163"/>
      <c r="J188" s="163"/>
      <c r="K188" s="163"/>
      <c r="L188" s="163"/>
      <c r="M188" s="163"/>
      <c r="N188" s="494"/>
      <c r="O188" s="494"/>
      <c r="P188" s="164"/>
      <c r="Q188" s="192"/>
    </row>
    <row r="189" spans="1:20" ht="16" x14ac:dyDescent="0.2">
      <c r="A189" s="211" t="s">
        <v>349</v>
      </c>
      <c r="B189" s="163" t="s">
        <v>351</v>
      </c>
      <c r="C189" s="162" t="e">
        <f>L164</f>
        <v>#DIV/0!</v>
      </c>
      <c r="D189" s="163" t="s">
        <v>299</v>
      </c>
      <c r="E189" s="163"/>
      <c r="F189" s="163"/>
      <c r="G189" s="163"/>
      <c r="H189" s="163"/>
      <c r="I189" s="163"/>
      <c r="J189" s="163"/>
      <c r="K189" s="163"/>
      <c r="L189" s="163"/>
      <c r="M189" s="163"/>
      <c r="N189" s="494"/>
      <c r="O189" s="494"/>
      <c r="P189" s="164"/>
      <c r="Q189" s="192"/>
    </row>
    <row r="190" spans="1:20" x14ac:dyDescent="0.2">
      <c r="A190" s="133"/>
      <c r="B190" s="163"/>
      <c r="C190" s="163"/>
      <c r="D190" s="163"/>
      <c r="E190" s="163" t="s">
        <v>69</v>
      </c>
      <c r="F190" s="162" t="e">
        <f>IF(Macro!D10=TRUE,X203*Q192,0)</f>
        <v>#DIV/0!</v>
      </c>
      <c r="G190" s="163" t="s">
        <v>299</v>
      </c>
      <c r="H190" s="163"/>
      <c r="I190" s="163"/>
      <c r="J190" s="163"/>
      <c r="K190" s="163"/>
      <c r="L190" s="163"/>
      <c r="M190" s="163"/>
      <c r="N190" s="494"/>
      <c r="O190" s="494"/>
      <c r="P190" s="112"/>
      <c r="Q190" s="192"/>
    </row>
    <row r="191" spans="1:20" x14ac:dyDescent="0.2">
      <c r="A191" s="133"/>
      <c r="B191" s="163"/>
      <c r="C191" s="163"/>
      <c r="D191" s="163"/>
      <c r="E191" s="163"/>
      <c r="F191" s="162"/>
      <c r="G191" s="163"/>
      <c r="H191" s="163" t="s">
        <v>52</v>
      </c>
      <c r="I191" s="210">
        <f>IF(Macro!D10=TRUE,Energy!O123,0)</f>
        <v>152841.2083224855</v>
      </c>
      <c r="J191" s="163" t="s">
        <v>233</v>
      </c>
      <c r="K191" s="163"/>
      <c r="L191" s="163"/>
      <c r="M191" s="163"/>
      <c r="N191" s="494"/>
      <c r="O191" s="494"/>
      <c r="P191" s="112"/>
      <c r="Q191" s="470"/>
    </row>
    <row r="192" spans="1:20" ht="16" x14ac:dyDescent="0.2">
      <c r="A192" s="133"/>
      <c r="B192" s="163"/>
      <c r="C192" s="163"/>
      <c r="D192" s="163"/>
      <c r="E192" s="163"/>
      <c r="F192" s="163"/>
      <c r="G192" s="163"/>
      <c r="H192" s="163"/>
      <c r="I192" s="163"/>
      <c r="J192" s="163"/>
      <c r="K192" s="163" t="s">
        <v>351</v>
      </c>
      <c r="L192" s="162" t="e">
        <f>C189+F190</f>
        <v>#DIV/0!</v>
      </c>
      <c r="M192" s="163" t="s">
        <v>299</v>
      </c>
      <c r="N192" s="494"/>
      <c r="O192" s="494"/>
      <c r="P192" s="112" t="s">
        <v>430</v>
      </c>
      <c r="Q192" s="818">
        <v>1.1000000000000001</v>
      </c>
    </row>
    <row r="193" spans="1:28" x14ac:dyDescent="0.2">
      <c r="A193" s="133"/>
      <c r="B193" s="163"/>
      <c r="C193" s="163"/>
      <c r="D193" s="163"/>
      <c r="E193" s="163"/>
      <c r="F193" s="163"/>
      <c r="G193" s="163"/>
      <c r="H193" s="163"/>
      <c r="I193" s="163"/>
      <c r="J193" s="163"/>
      <c r="K193" s="163" t="s">
        <v>351</v>
      </c>
      <c r="L193" s="162" t="e">
        <f>L192/N193</f>
        <v>#DIV/0!</v>
      </c>
      <c r="M193" s="163" t="s">
        <v>312</v>
      </c>
      <c r="N193" s="513">
        <v>1</v>
      </c>
      <c r="O193" s="513"/>
      <c r="P193" s="205"/>
      <c r="Q193" s="192"/>
    </row>
    <row r="194" spans="1:28" x14ac:dyDescent="0.2">
      <c r="A194" s="170"/>
      <c r="B194" s="146"/>
      <c r="C194" s="146"/>
      <c r="D194" s="146"/>
      <c r="E194" s="146"/>
      <c r="F194" s="146"/>
      <c r="G194" s="146"/>
      <c r="H194" s="146"/>
      <c r="I194" s="146"/>
      <c r="J194" s="146"/>
      <c r="K194" s="146"/>
      <c r="L194" s="146"/>
      <c r="M194" s="146"/>
      <c r="N194" s="458"/>
      <c r="O194" s="458"/>
      <c r="P194" s="171"/>
      <c r="Q194" s="195"/>
    </row>
    <row r="195" spans="1:28" x14ac:dyDescent="0.2">
      <c r="A195" s="156" t="s">
        <v>437</v>
      </c>
      <c r="B195" s="163"/>
      <c r="C195" s="163"/>
      <c r="D195" s="163"/>
      <c r="E195" s="163"/>
      <c r="F195" s="163"/>
      <c r="G195" s="163"/>
      <c r="H195" s="163"/>
      <c r="I195" s="163"/>
      <c r="J195" s="163"/>
      <c r="K195" s="163"/>
      <c r="L195" s="163"/>
      <c r="M195" s="163"/>
      <c r="N195" s="494"/>
      <c r="O195" s="494"/>
      <c r="P195" s="164"/>
      <c r="Q195" s="192"/>
    </row>
    <row r="196" spans="1:28" x14ac:dyDescent="0.2">
      <c r="A196" s="133" t="s">
        <v>438</v>
      </c>
      <c r="B196" s="163" t="s">
        <v>351</v>
      </c>
      <c r="C196" s="162" t="e">
        <f>L192</f>
        <v>#DIV/0!</v>
      </c>
      <c r="D196" s="163" t="s">
        <v>299</v>
      </c>
      <c r="E196" s="163"/>
      <c r="F196" s="163"/>
      <c r="G196" s="163"/>
      <c r="H196" s="163"/>
      <c r="I196" s="163"/>
      <c r="J196" s="163"/>
      <c r="K196" s="163"/>
      <c r="L196" s="163"/>
      <c r="M196" s="163"/>
      <c r="N196" s="494"/>
      <c r="O196" s="494"/>
      <c r="P196" s="164"/>
      <c r="Q196" s="192"/>
      <c r="T196" t="s">
        <v>427</v>
      </c>
    </row>
    <row r="197" spans="1:28" x14ac:dyDescent="0.2">
      <c r="A197" s="133"/>
      <c r="B197" s="163"/>
      <c r="C197" s="162"/>
      <c r="D197" s="163"/>
      <c r="E197" s="163"/>
      <c r="F197" s="163"/>
      <c r="G197" s="163"/>
      <c r="H197" s="163" t="s">
        <v>52</v>
      </c>
      <c r="I197" s="210">
        <f>IF(Macro!D10=TRUE,Energy!O124,0)</f>
        <v>117815.0980819159</v>
      </c>
      <c r="J197" s="163" t="s">
        <v>233</v>
      </c>
      <c r="K197" s="133"/>
      <c r="L197" s="163"/>
      <c r="M197" s="163"/>
      <c r="N197" s="494"/>
      <c r="O197" s="494"/>
      <c r="P197" s="164"/>
      <c r="Q197" s="470"/>
      <c r="T197" s="1023" t="s">
        <v>102</v>
      </c>
      <c r="U197" s="1024"/>
      <c r="V197" s="1024"/>
      <c r="W197" s="1025"/>
      <c r="X197" s="1023" t="s">
        <v>428</v>
      </c>
      <c r="Y197" s="1024"/>
      <c r="Z197" s="1025"/>
      <c r="AA197" s="1026" t="s">
        <v>429</v>
      </c>
      <c r="AB197" s="1026"/>
    </row>
    <row r="198" spans="1:28" ht="48" x14ac:dyDescent="0.2">
      <c r="A198" s="133"/>
      <c r="B198" s="163"/>
      <c r="C198" s="163"/>
      <c r="D198" s="163"/>
      <c r="E198" s="163"/>
      <c r="F198" s="163"/>
      <c r="G198" s="163"/>
      <c r="H198" s="163"/>
      <c r="I198" s="163"/>
      <c r="J198" s="163"/>
      <c r="K198" s="109" t="s">
        <v>555</v>
      </c>
      <c r="L198" s="162" t="e">
        <f>IF(Macro!D10=TRUE,AB200,0)</f>
        <v>#DIV/0!</v>
      </c>
      <c r="M198" s="163" t="s">
        <v>299</v>
      </c>
      <c r="N198" s="494"/>
      <c r="O198" s="494"/>
      <c r="P198" s="164" t="s">
        <v>439</v>
      </c>
      <c r="Q198" s="192"/>
      <c r="S198" s="124"/>
      <c r="T198" s="124" t="s">
        <v>431</v>
      </c>
      <c r="U198" s="700" t="s">
        <v>608</v>
      </c>
      <c r="V198" s="124" t="s">
        <v>433</v>
      </c>
      <c r="W198" s="700" t="s">
        <v>678</v>
      </c>
      <c r="X198" s="124" t="s">
        <v>433</v>
      </c>
      <c r="Y198" s="124" t="s">
        <v>608</v>
      </c>
      <c r="Z198" s="124" t="s">
        <v>679</v>
      </c>
      <c r="AA198" s="124" t="s">
        <v>431</v>
      </c>
      <c r="AB198" s="124" t="s">
        <v>608</v>
      </c>
    </row>
    <row r="199" spans="1:28" x14ac:dyDescent="0.2">
      <c r="A199" s="133"/>
      <c r="B199" s="163"/>
      <c r="C199" s="163"/>
      <c r="D199" s="163"/>
      <c r="E199" s="163"/>
      <c r="F199" s="163"/>
      <c r="G199" s="163"/>
      <c r="H199" s="163"/>
      <c r="I199" s="163"/>
      <c r="J199" s="163"/>
      <c r="K199" s="109"/>
      <c r="L199" s="162"/>
      <c r="M199" s="163"/>
      <c r="N199" s="494"/>
      <c r="O199" s="494"/>
      <c r="P199" s="164"/>
      <c r="Q199" s="192"/>
      <c r="S199" s="124" t="s">
        <v>435</v>
      </c>
      <c r="T199" s="524" t="e">
        <f>T116</f>
        <v>#DIV/0!</v>
      </c>
      <c r="U199" s="498">
        <v>6.94</v>
      </c>
      <c r="V199" s="524" t="e">
        <f>T199*1000000/U199</f>
        <v>#DIV/0!</v>
      </c>
      <c r="W199" s="702">
        <v>0.5</v>
      </c>
      <c r="X199" s="396" t="e">
        <f>V199*W199</f>
        <v>#DIV/0!</v>
      </c>
      <c r="Y199" s="701">
        <v>60.01</v>
      </c>
      <c r="Z199" s="396" t="e">
        <f>X199*Y199/1000000</f>
        <v>#DIV/0!</v>
      </c>
      <c r="AA199" s="136" t="e">
        <f>Z199+T199</f>
        <v>#DIV/0!</v>
      </c>
      <c r="AB199" s="124">
        <v>73.89</v>
      </c>
    </row>
    <row r="200" spans="1:28" ht="15.5" customHeight="1" x14ac:dyDescent="0.2">
      <c r="A200" s="133"/>
      <c r="B200" s="163"/>
      <c r="C200" s="163"/>
      <c r="D200" s="163"/>
      <c r="E200" s="163"/>
      <c r="F200" s="163"/>
      <c r="G200" s="163"/>
      <c r="H200" s="163"/>
      <c r="I200" s="163"/>
      <c r="J200" s="163"/>
      <c r="K200" s="163" t="s">
        <v>24</v>
      </c>
      <c r="L200" s="162" t="e">
        <f>C196-L198</f>
        <v>#DIV/0!</v>
      </c>
      <c r="M200" s="163" t="s">
        <v>299</v>
      </c>
      <c r="N200" s="494"/>
      <c r="O200" s="494"/>
      <c r="P200" s="164"/>
      <c r="Q200" s="192"/>
      <c r="AA200" s="1033" t="s">
        <v>680</v>
      </c>
      <c r="AB200" s="851" t="e">
        <f>AA199*Efficiencies!E116</f>
        <v>#DIV/0!</v>
      </c>
    </row>
    <row r="201" spans="1:28" x14ac:dyDescent="0.2">
      <c r="A201" s="325"/>
      <c r="B201" s="334"/>
      <c r="C201" s="334"/>
      <c r="D201" s="334"/>
      <c r="E201" s="334"/>
      <c r="F201" s="334"/>
      <c r="G201" s="334"/>
      <c r="H201" s="334"/>
      <c r="I201" s="334"/>
      <c r="J201" s="334"/>
      <c r="K201" s="334"/>
      <c r="L201" s="334"/>
      <c r="M201" s="334"/>
      <c r="N201" s="515"/>
      <c r="O201" s="515"/>
      <c r="P201" s="335"/>
      <c r="Q201" s="195"/>
      <c r="T201" s="1026" t="s">
        <v>102</v>
      </c>
      <c r="U201" s="1026"/>
      <c r="V201" s="1026"/>
      <c r="W201" s="1023" t="s">
        <v>69</v>
      </c>
      <c r="X201" s="1025"/>
      <c r="AA201" s="1033"/>
    </row>
    <row r="202" spans="1:28" x14ac:dyDescent="0.2">
      <c r="A202" s="159" t="s">
        <v>440</v>
      </c>
      <c r="B202" s="174"/>
      <c r="C202" s="174"/>
      <c r="D202" s="174"/>
      <c r="E202" s="174"/>
      <c r="F202" s="174"/>
      <c r="G202" s="174"/>
      <c r="H202" s="174"/>
      <c r="I202" s="174"/>
      <c r="J202" s="174"/>
      <c r="K202" s="174"/>
      <c r="L202" s="174"/>
      <c r="M202" s="174"/>
      <c r="N202" s="516"/>
      <c r="O202" s="516"/>
      <c r="P202" s="323"/>
      <c r="Q202" s="399"/>
      <c r="S202" s="124"/>
      <c r="T202" s="124" t="s">
        <v>431</v>
      </c>
      <c r="U202" s="124" t="s">
        <v>608</v>
      </c>
      <c r="V202" s="124" t="s">
        <v>433</v>
      </c>
      <c r="W202" s="124" t="s">
        <v>608</v>
      </c>
      <c r="X202" s="124" t="s">
        <v>679</v>
      </c>
    </row>
    <row r="203" spans="1:28" x14ac:dyDescent="0.2">
      <c r="A203" s="133" t="s">
        <v>417</v>
      </c>
      <c r="B203" s="163" t="s">
        <v>24</v>
      </c>
      <c r="C203" s="162">
        <f>IF(Macro!D22=TRUE,L200,0)</f>
        <v>0</v>
      </c>
      <c r="D203" s="163" t="s">
        <v>299</v>
      </c>
      <c r="E203" s="163"/>
      <c r="F203" s="163"/>
      <c r="G203" s="163"/>
      <c r="H203" s="163"/>
      <c r="I203" s="163"/>
      <c r="J203" s="163"/>
      <c r="K203" s="163"/>
      <c r="L203" s="163"/>
      <c r="M203" s="163"/>
      <c r="N203" s="494"/>
      <c r="O203" s="494"/>
      <c r="P203" s="164"/>
      <c r="Q203" s="192"/>
      <c r="S203" s="124" t="s">
        <v>435</v>
      </c>
      <c r="T203" s="524" t="e">
        <f>T116</f>
        <v>#DIV/0!</v>
      </c>
      <c r="U203" s="498">
        <v>6.94</v>
      </c>
      <c r="V203" s="524" t="e">
        <f>T203*1000000/U203</f>
        <v>#DIV/0!</v>
      </c>
      <c r="W203" s="701">
        <v>105.99</v>
      </c>
      <c r="X203" s="396" t="e">
        <f>AA199/AB199*W203</f>
        <v>#DIV/0!</v>
      </c>
    </row>
    <row r="204" spans="1:28" x14ac:dyDescent="0.2">
      <c r="A204" s="133"/>
      <c r="B204" s="163" t="s">
        <v>24</v>
      </c>
      <c r="C204" s="210">
        <f>C203/N204</f>
        <v>0</v>
      </c>
      <c r="D204" s="163" t="s">
        <v>312</v>
      </c>
      <c r="E204" s="163"/>
      <c r="F204" s="163"/>
      <c r="G204" s="163"/>
      <c r="H204" s="163"/>
      <c r="I204" s="163"/>
      <c r="J204" s="163"/>
      <c r="K204" s="163"/>
      <c r="L204" s="163"/>
      <c r="M204" s="163"/>
      <c r="N204" s="513">
        <v>1</v>
      </c>
      <c r="O204" s="513"/>
      <c r="P204" s="205"/>
      <c r="Q204" s="192"/>
      <c r="T204" s="703"/>
      <c r="U204" s="358"/>
      <c r="V204" s="358"/>
      <c r="W204" s="358"/>
    </row>
    <row r="205" spans="1:28" ht="16" x14ac:dyDescent="0.2">
      <c r="A205" s="133"/>
      <c r="B205" s="163"/>
      <c r="C205" s="198">
        <f>C204/Macro!$D$16/Q205</f>
        <v>0</v>
      </c>
      <c r="D205" s="163" t="s">
        <v>441</v>
      </c>
      <c r="E205" s="163"/>
      <c r="F205" s="163"/>
      <c r="G205" s="163"/>
      <c r="H205" s="163"/>
      <c r="I205" s="163"/>
      <c r="J205" s="163"/>
      <c r="K205" s="163"/>
      <c r="L205" s="163"/>
      <c r="M205" s="163"/>
      <c r="N205" s="494"/>
      <c r="O205" s="494"/>
      <c r="P205" s="111" t="s">
        <v>442</v>
      </c>
      <c r="Q205" s="818">
        <v>24</v>
      </c>
      <c r="T205" s="704"/>
      <c r="U205" s="358"/>
      <c r="V205" s="358"/>
      <c r="W205" s="358"/>
    </row>
    <row r="206" spans="1:28" x14ac:dyDescent="0.2">
      <c r="A206" s="133"/>
      <c r="B206" s="163"/>
      <c r="C206" s="162">
        <f>C205*1000/60</f>
        <v>0</v>
      </c>
      <c r="D206" s="163" t="s">
        <v>443</v>
      </c>
      <c r="E206" s="163"/>
      <c r="F206" s="163"/>
      <c r="G206" s="163"/>
      <c r="H206" s="163"/>
      <c r="I206" s="163"/>
      <c r="J206" s="163"/>
      <c r="K206" s="163"/>
      <c r="L206" s="163"/>
      <c r="M206" s="163"/>
      <c r="N206" s="494"/>
      <c r="O206" s="494"/>
      <c r="P206" s="111"/>
      <c r="Q206" s="192"/>
      <c r="T206" s="703"/>
      <c r="U206" s="358"/>
      <c r="V206" s="358"/>
      <c r="W206" s="358"/>
    </row>
    <row r="207" spans="1:28" ht="16" x14ac:dyDescent="0.2">
      <c r="A207" s="133"/>
      <c r="B207" s="163"/>
      <c r="C207" s="163"/>
      <c r="D207" s="163"/>
      <c r="E207" s="163"/>
      <c r="F207" s="163"/>
      <c r="G207" s="163"/>
      <c r="H207" s="163" t="s">
        <v>52</v>
      </c>
      <c r="I207" s="162">
        <f>Energy!O125</f>
        <v>0</v>
      </c>
      <c r="J207" s="163" t="s">
        <v>233</v>
      </c>
      <c r="K207" s="163"/>
      <c r="L207" s="163"/>
      <c r="M207" s="163"/>
      <c r="N207" s="494"/>
      <c r="O207" s="494"/>
      <c r="P207" s="164" t="s">
        <v>384</v>
      </c>
      <c r="Q207" s="192"/>
    </row>
    <row r="208" spans="1:28" x14ac:dyDescent="0.2">
      <c r="A208" s="133"/>
      <c r="B208" s="163"/>
      <c r="C208" s="163"/>
      <c r="D208" s="163"/>
      <c r="E208" s="163"/>
      <c r="F208" s="163"/>
      <c r="G208" s="163"/>
      <c r="H208" s="163"/>
      <c r="I208" s="163"/>
      <c r="J208" s="163"/>
      <c r="K208" s="163" t="s">
        <v>226</v>
      </c>
      <c r="L208" s="162">
        <f>C203-L209</f>
        <v>0</v>
      </c>
      <c r="M208" s="163" t="s">
        <v>299</v>
      </c>
      <c r="N208" s="494"/>
      <c r="O208" s="494"/>
      <c r="P208" s="163" t="s">
        <v>444</v>
      </c>
      <c r="Q208" s="192"/>
      <c r="R208" s="299"/>
    </row>
    <row r="209" spans="1:20" ht="32" x14ac:dyDescent="0.2">
      <c r="A209" s="133"/>
      <c r="B209" s="163"/>
      <c r="C209" s="163"/>
      <c r="D209" s="163"/>
      <c r="E209" s="163"/>
      <c r="F209" s="163"/>
      <c r="G209" s="163"/>
      <c r="H209" s="163"/>
      <c r="I209" s="163"/>
      <c r="J209" s="163"/>
      <c r="K209" s="163" t="s">
        <v>64</v>
      </c>
      <c r="L209" s="162">
        <f>C203/Q209</f>
        <v>0</v>
      </c>
      <c r="M209" s="162" t="s">
        <v>299</v>
      </c>
      <c r="N209" s="517"/>
      <c r="O209" s="517"/>
      <c r="P209" s="164" t="s">
        <v>445</v>
      </c>
      <c r="Q209" s="818">
        <v>10</v>
      </c>
    </row>
    <row r="210" spans="1:20" x14ac:dyDescent="0.2">
      <c r="A210" s="170"/>
      <c r="B210" s="146"/>
      <c r="C210" s="146"/>
      <c r="D210" s="146"/>
      <c r="E210" s="146"/>
      <c r="F210" s="146"/>
      <c r="G210" s="146"/>
      <c r="H210" s="146"/>
      <c r="I210" s="146"/>
      <c r="J210" s="146"/>
      <c r="K210" s="146"/>
      <c r="L210" s="146"/>
      <c r="M210" s="400"/>
      <c r="N210" s="518"/>
      <c r="O210" s="518"/>
      <c r="P210" s="146"/>
      <c r="Q210" s="195"/>
      <c r="T210" s="168"/>
    </row>
    <row r="211" spans="1:20" x14ac:dyDescent="0.2">
      <c r="P211"/>
    </row>
    <row r="213" spans="1:20" x14ac:dyDescent="0.2">
      <c r="T213" s="168"/>
    </row>
  </sheetData>
  <mergeCells count="6">
    <mergeCell ref="T197:W197"/>
    <mergeCell ref="X197:Z197"/>
    <mergeCell ref="AA197:AB197"/>
    <mergeCell ref="T201:V201"/>
    <mergeCell ref="W201:X201"/>
    <mergeCell ref="AA200:AA201"/>
  </mergeCells>
  <pageMargins left="0.7" right="0.7" top="0.78740157499999996" bottom="0.78740157499999996" header="0.3" footer="0.3"/>
  <pageSetup paperSize="9"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Tabelle15">
    <tabColor theme="0" tint="-0.499984740745262"/>
  </sheetPr>
  <dimension ref="A1:P64"/>
  <sheetViews>
    <sheetView zoomScale="115" zoomScaleNormal="115" workbookViewId="0"/>
  </sheetViews>
  <sheetFormatPr baseColWidth="10" defaultColWidth="11.5" defaultRowHeight="15" x14ac:dyDescent="0.2"/>
  <cols>
    <col min="1" max="1" width="14.1640625" customWidth="1"/>
    <col min="2" max="2" width="28.83203125" bestFit="1" customWidth="1"/>
    <col min="3" max="3" width="51.33203125" bestFit="1" customWidth="1"/>
    <col min="4" max="4" width="15.5" bestFit="1" customWidth="1"/>
    <col min="5" max="5" width="9.1640625" bestFit="1" customWidth="1"/>
    <col min="6" max="6" width="14" customWidth="1"/>
    <col min="7" max="7" width="14.6640625" customWidth="1"/>
    <col min="8" max="8" width="14.5" customWidth="1"/>
    <col min="9" max="9" width="22.5" bestFit="1" customWidth="1"/>
    <col min="10" max="10" width="17.5" customWidth="1"/>
    <col min="11" max="11" width="13.83203125" bestFit="1" customWidth="1"/>
    <col min="12" max="12" width="13.5" bestFit="1" customWidth="1"/>
    <col min="13" max="14" width="13.5" customWidth="1"/>
    <col min="15" max="16" width="40.6640625" customWidth="1"/>
    <col min="17" max="25" width="20.6640625" customWidth="1"/>
  </cols>
  <sheetData>
    <row r="1" spans="1:16" ht="22" thickBot="1" x14ac:dyDescent="0.25">
      <c r="A1" s="64" t="s">
        <v>681</v>
      </c>
    </row>
    <row r="2" spans="1:16" ht="15" customHeight="1" x14ac:dyDescent="0.2">
      <c r="A2" s="64"/>
      <c r="C2" s="848" t="s">
        <v>258</v>
      </c>
      <c r="D2" s="68" t="s">
        <v>259</v>
      </c>
      <c r="E2" s="69"/>
      <c r="F2" s="70"/>
    </row>
    <row r="3" spans="1:16" ht="15" customHeight="1" x14ac:dyDescent="0.2">
      <c r="A3" s="64"/>
      <c r="C3" s="71"/>
      <c r="D3" s="73" t="s">
        <v>261</v>
      </c>
      <c r="E3" s="74" t="s">
        <v>262</v>
      </c>
      <c r="F3" s="75" t="s">
        <v>263</v>
      </c>
    </row>
    <row r="4" spans="1:16" ht="15" customHeight="1" x14ac:dyDescent="0.2">
      <c r="A4" s="64"/>
      <c r="C4" s="71"/>
      <c r="D4" s="86"/>
      <c r="E4" s="87"/>
      <c r="F4" s="88"/>
    </row>
    <row r="5" spans="1:16" ht="15" customHeight="1" x14ac:dyDescent="0.2">
      <c r="A5" s="64"/>
      <c r="C5" s="71"/>
      <c r="D5" s="86" t="s">
        <v>447</v>
      </c>
      <c r="E5" s="477">
        <f>IF(Macro!$D$8=1,2500,IF(Macro!$D$8=2,25000,75000))</f>
        <v>25000</v>
      </c>
      <c r="F5" s="88" t="s">
        <v>274</v>
      </c>
    </row>
    <row r="6" spans="1:16" ht="15" customHeight="1" x14ac:dyDescent="0.2">
      <c r="A6" s="64"/>
      <c r="C6" s="71"/>
      <c r="D6" s="86" t="s">
        <v>268</v>
      </c>
      <c r="E6" s="477" t="e">
        <f>E5/Battery!C3*1000</f>
        <v>#DIV/0!</v>
      </c>
      <c r="F6" s="88" t="s">
        <v>615</v>
      </c>
    </row>
    <row r="7" spans="1:16" ht="15" customHeight="1" x14ac:dyDescent="0.2">
      <c r="A7" s="64"/>
      <c r="C7" s="71"/>
      <c r="D7" s="86" t="s">
        <v>259</v>
      </c>
      <c r="E7" s="824" t="e">
        <f>E6/Macro!D16/Macro!D18/8</f>
        <v>#DIV/0!</v>
      </c>
      <c r="F7" s="88" t="s">
        <v>449</v>
      </c>
    </row>
    <row r="8" spans="1:16" ht="15" customHeight="1" x14ac:dyDescent="0.2">
      <c r="A8" s="64"/>
      <c r="C8" s="71"/>
      <c r="D8" s="86" t="s">
        <v>450</v>
      </c>
      <c r="E8" s="824" t="e">
        <f>E6/Macro!D16/Macro!D20/8</f>
        <v>#DIV/0!</v>
      </c>
      <c r="F8" s="88" t="s">
        <v>449</v>
      </c>
    </row>
    <row r="9" spans="1:16" ht="15" customHeight="1" thickBot="1" x14ac:dyDescent="0.25">
      <c r="A9" s="64"/>
      <c r="C9" s="71"/>
      <c r="D9" s="79" t="s">
        <v>518</v>
      </c>
      <c r="E9" s="847">
        <f>Macro!D16-1+1</f>
        <v>330</v>
      </c>
      <c r="F9" s="80" t="s">
        <v>616</v>
      </c>
    </row>
    <row r="10" spans="1:16" ht="15" customHeight="1" thickBot="1" x14ac:dyDescent="0.25"/>
    <row r="11" spans="1:16" ht="33" thickBot="1" x14ac:dyDescent="0.25">
      <c r="A11" s="780" t="s">
        <v>86</v>
      </c>
      <c r="B11" s="381" t="s">
        <v>292</v>
      </c>
      <c r="C11" s="287" t="s">
        <v>453</v>
      </c>
      <c r="D11" s="381" t="s">
        <v>617</v>
      </c>
      <c r="E11" s="287" t="s">
        <v>447</v>
      </c>
      <c r="F11" s="287" t="s">
        <v>618</v>
      </c>
      <c r="G11" s="381" t="s">
        <v>456</v>
      </c>
      <c r="H11" s="287" t="s">
        <v>106</v>
      </c>
      <c r="I11" s="381" t="s">
        <v>458</v>
      </c>
      <c r="J11" s="381" t="s">
        <v>619</v>
      </c>
      <c r="K11" s="381" t="s">
        <v>459</v>
      </c>
      <c r="L11" s="287" t="s">
        <v>620</v>
      </c>
      <c r="M11" s="381" t="s">
        <v>461</v>
      </c>
      <c r="N11" s="381" t="s">
        <v>682</v>
      </c>
      <c r="O11" s="287" t="s">
        <v>621</v>
      </c>
      <c r="P11" s="290" t="s">
        <v>683</v>
      </c>
    </row>
    <row r="12" spans="1:16" x14ac:dyDescent="0.2">
      <c r="A12" s="1027" t="s">
        <v>259</v>
      </c>
      <c r="B12" s="288" t="s">
        <v>176</v>
      </c>
      <c r="C12" s="288" t="s">
        <v>464</v>
      </c>
      <c r="D12" s="288" t="s">
        <v>1085</v>
      </c>
      <c r="E12" s="832">
        <v>0.33333333333333331</v>
      </c>
      <c r="F12" s="826">
        <f>(107.7/100.6)*14500</f>
        <v>15523.359840954276</v>
      </c>
      <c r="G12" s="829">
        <v>0</v>
      </c>
      <c r="H12" s="274">
        <f t="shared" ref="H12:H15" si="0">(1+G12)*F12</f>
        <v>15523.359840954276</v>
      </c>
      <c r="I12" s="816">
        <v>1</v>
      </c>
      <c r="J12" s="274" t="e">
        <f>H12*(E7/E12)^I12</f>
        <v>#DIV/0!</v>
      </c>
      <c r="K12" s="829">
        <v>0</v>
      </c>
      <c r="L12" s="274" t="e">
        <f t="shared" ref="L12:L15" si="1">K12*J12</f>
        <v>#DIV/0!</v>
      </c>
      <c r="M12" s="656">
        <f>IF(IF(Macro!$H$14=1,5,Macro!T42)=0,5,IF(Macro!$H$14=1,5,Macro!T81))</f>
        <v>5</v>
      </c>
      <c r="N12" s="274" t="e">
        <f>J12/M12</f>
        <v>#DIV/0!</v>
      </c>
      <c r="O12" t="s">
        <v>465</v>
      </c>
      <c r="P12" s="264" t="s">
        <v>1088</v>
      </c>
    </row>
    <row r="13" spans="1:16" x14ac:dyDescent="0.2">
      <c r="A13" s="1028"/>
      <c r="B13" s="288" t="s">
        <v>684</v>
      </c>
      <c r="C13" s="288" t="s">
        <v>466</v>
      </c>
      <c r="D13" s="288" t="s">
        <v>1086</v>
      </c>
      <c r="E13" s="832">
        <v>6</v>
      </c>
      <c r="F13" s="826">
        <f>(107.7/100.6)*29000</f>
        <v>31046.719681908551</v>
      </c>
      <c r="G13" s="829">
        <v>0</v>
      </c>
      <c r="H13" s="274">
        <f t="shared" si="0"/>
        <v>31046.719681908551</v>
      </c>
      <c r="I13" s="816">
        <v>1</v>
      </c>
      <c r="J13" s="274">
        <f>H13</f>
        <v>31046.719681908551</v>
      </c>
      <c r="K13" s="829">
        <v>0</v>
      </c>
      <c r="L13" s="274">
        <f t="shared" si="1"/>
        <v>0</v>
      </c>
      <c r="M13" s="656">
        <f>IF(IF(Macro!$H$14=1,5,Macro!T43)=0,5,IF(Macro!$H$14=1,5,Macro!T82))</f>
        <v>5</v>
      </c>
      <c r="N13" s="274">
        <f t="shared" ref="N13:N15" si="2">J13/M13</f>
        <v>6209.3439363817106</v>
      </c>
      <c r="O13" t="s">
        <v>467</v>
      </c>
      <c r="P13" s="264" t="s">
        <v>468</v>
      </c>
    </row>
    <row r="14" spans="1:16" x14ac:dyDescent="0.2">
      <c r="A14" s="1028"/>
      <c r="B14" s="288" t="s">
        <v>297</v>
      </c>
      <c r="C14" s="288" t="s">
        <v>469</v>
      </c>
      <c r="D14" s="288" t="s">
        <v>1085</v>
      </c>
      <c r="E14" s="832">
        <f>8/'R3_MEFA'!C7</f>
        <v>1.6</v>
      </c>
      <c r="F14" s="826">
        <f>(107.7/100.6)*12000</f>
        <v>12846.918489065607</v>
      </c>
      <c r="G14" s="829">
        <v>0</v>
      </c>
      <c r="H14" s="274">
        <f t="shared" si="0"/>
        <v>12846.918489065607</v>
      </c>
      <c r="I14" s="816">
        <v>1</v>
      </c>
      <c r="J14" s="274" t="e">
        <f>H14*(E7/E14)^I14</f>
        <v>#DIV/0!</v>
      </c>
      <c r="K14" s="829">
        <v>0.02</v>
      </c>
      <c r="L14" s="274" t="e">
        <f t="shared" si="1"/>
        <v>#DIV/0!</v>
      </c>
      <c r="M14" s="656">
        <f>IF(IF(Macro!$H$14=1,5,Macro!T44)=0,5,IF(Macro!$H$14=1,5,Macro!T83))</f>
        <v>5</v>
      </c>
      <c r="N14" s="274" t="e">
        <f>J14/M14</f>
        <v>#DIV/0!</v>
      </c>
      <c r="O14" t="s">
        <v>467</v>
      </c>
      <c r="P14" s="264" t="s">
        <v>470</v>
      </c>
    </row>
    <row r="15" spans="1:16" ht="16" thickBot="1" x14ac:dyDescent="0.25">
      <c r="A15" s="1029"/>
      <c r="B15" s="288" t="s">
        <v>259</v>
      </c>
      <c r="C15" s="288" t="s">
        <v>471</v>
      </c>
      <c r="D15" s="288" t="s">
        <v>1085</v>
      </c>
      <c r="E15" s="832">
        <f>1/'R3_MEFA'!C8</f>
        <v>0.33333333333333331</v>
      </c>
      <c r="F15" s="826">
        <f>(107.7/100.6)*3000</f>
        <v>3211.7296222664017</v>
      </c>
      <c r="G15" s="829">
        <v>0</v>
      </c>
      <c r="H15" s="274">
        <f t="shared" si="0"/>
        <v>3211.7296222664017</v>
      </c>
      <c r="I15" s="816">
        <v>1</v>
      </c>
      <c r="J15" s="274" t="e">
        <f>H15*(E7/E15)^I15</f>
        <v>#DIV/0!</v>
      </c>
      <c r="K15" s="829">
        <v>0.02</v>
      </c>
      <c r="L15" s="274" t="e">
        <f t="shared" si="1"/>
        <v>#DIV/0!</v>
      </c>
      <c r="M15" s="657">
        <f>IF(IF(Macro!$H$14=1,5,Macro!T45)=0,5,IF(Macro!$H$14=1,5,Macro!T84))</f>
        <v>5</v>
      </c>
      <c r="N15" s="276" t="e">
        <f t="shared" si="2"/>
        <v>#DIV/0!</v>
      </c>
      <c r="O15" t="s">
        <v>467</v>
      </c>
      <c r="P15" s="264"/>
    </row>
    <row r="16" spans="1:16" ht="17" x14ac:dyDescent="0.2">
      <c r="A16" s="1030" t="s">
        <v>1097</v>
      </c>
      <c r="B16" s="270" t="s">
        <v>195</v>
      </c>
      <c r="C16" s="784" t="s">
        <v>344</v>
      </c>
      <c r="D16" s="269" t="s">
        <v>478</v>
      </c>
      <c r="E16" s="834">
        <v>2</v>
      </c>
      <c r="F16" s="828">
        <v>420000</v>
      </c>
      <c r="G16" s="831">
        <v>1</v>
      </c>
      <c r="H16" s="587">
        <f t="shared" ref="H16:H17" si="3">(1+G16)*F16</f>
        <v>840000</v>
      </c>
      <c r="I16" s="834">
        <v>0.6</v>
      </c>
      <c r="J16" s="587" t="e">
        <f>H16*(('R3_Hydro_MEFA'!L19/Macro!$D$16/Macro!$D$20/8/E16)^I16)</f>
        <v>#DIV/0!</v>
      </c>
      <c r="K16" s="831">
        <v>0.05</v>
      </c>
      <c r="L16" s="587" t="e">
        <f t="shared" ref="L16:L17" si="4">K16*J16</f>
        <v>#DIV/0!</v>
      </c>
      <c r="M16" s="658">
        <f>IF(IF(Macro!$H$14=1,5,Macro!T46)=0,5,IF(Macro!$H$14=1,5,Macro!T85))</f>
        <v>5</v>
      </c>
      <c r="N16" s="271" t="e">
        <f t="shared" ref="N16:N17" si="5">J16/M16</f>
        <v>#DIV/0!</v>
      </c>
      <c r="O16" s="270" t="s">
        <v>148</v>
      </c>
      <c r="P16" s="273"/>
    </row>
    <row r="17" spans="1:16" ht="17" thickBot="1" x14ac:dyDescent="0.25">
      <c r="A17" s="1029"/>
      <c r="B17" s="748" t="s">
        <v>197</v>
      </c>
      <c r="C17" s="748" t="s">
        <v>473</v>
      </c>
      <c r="D17" s="289" t="s">
        <v>1087</v>
      </c>
      <c r="E17" s="835">
        <v>1.5</v>
      </c>
      <c r="F17" s="827">
        <f>(107.7/100.6)*420000</f>
        <v>449642.14711729623</v>
      </c>
      <c r="G17" s="830">
        <v>0.6</v>
      </c>
      <c r="H17" s="276">
        <f t="shared" si="3"/>
        <v>719427.43538767402</v>
      </c>
      <c r="I17" s="835">
        <v>0.8</v>
      </c>
      <c r="J17" s="586">
        <f>H17*($E$5/(Macro!$D$16*Macro!$D$20*8)/(E17))^I17</f>
        <v>1304625.4613501837</v>
      </c>
      <c r="K17" s="830">
        <v>0.05</v>
      </c>
      <c r="L17" s="276">
        <f t="shared" si="4"/>
        <v>65231.273067509188</v>
      </c>
      <c r="M17" s="657">
        <f>IF(IF(Macro!$H$14=1,5,Macro!T47)=0,5,IF(Macro!$H$14=1,5,Macro!T86))</f>
        <v>5</v>
      </c>
      <c r="N17" s="276">
        <f t="shared" si="5"/>
        <v>260925.09227003675</v>
      </c>
      <c r="O17" s="275" t="s">
        <v>467</v>
      </c>
      <c r="P17" s="278"/>
    </row>
    <row r="18" spans="1:16" ht="16" x14ac:dyDescent="0.2">
      <c r="A18" s="1031" t="s">
        <v>640</v>
      </c>
      <c r="B18" t="s">
        <v>199</v>
      </c>
      <c r="C18" s="122" t="s">
        <v>626</v>
      </c>
      <c r="D18" s="288" t="s">
        <v>1087</v>
      </c>
      <c r="E18" s="832">
        <v>1.72</v>
      </c>
      <c r="F18" s="826">
        <f>(107.7/100.6)*100000</f>
        <v>107057.65407554673</v>
      </c>
      <c r="G18" s="829">
        <v>0.6</v>
      </c>
      <c r="H18" s="274">
        <f t="shared" ref="H18:H19" si="6">(1+G18)*F18</f>
        <v>171292.24652087479</v>
      </c>
      <c r="I18" s="816">
        <v>0.8</v>
      </c>
      <c r="J18" s="284">
        <f>H18*($E$5/(Macro!$D$16*Macro!$D$20*8)/(E18))^I18</f>
        <v>278411.26870287571</v>
      </c>
      <c r="K18" s="829">
        <v>0.05</v>
      </c>
      <c r="L18" s="274">
        <f t="shared" ref="L18:L21" si="7">K18*J18</f>
        <v>13920.563435143786</v>
      </c>
      <c r="M18" s="656">
        <f>IF(IF(Macro!$H$14=1,5,Macro!T48)=0,5,IF(Macro!$H$14=1,5,Macro!T87))</f>
        <v>5</v>
      </c>
      <c r="N18" s="274">
        <f t="shared" ref="N18:N21" si="8">J18/M18</f>
        <v>55682.253740575143</v>
      </c>
      <c r="O18" t="s">
        <v>467</v>
      </c>
      <c r="P18" s="264"/>
    </row>
    <row r="19" spans="1:16" ht="16" x14ac:dyDescent="0.2">
      <c r="A19" s="1031"/>
      <c r="B19" t="s">
        <v>686</v>
      </c>
      <c r="C19" s="751" t="s">
        <v>624</v>
      </c>
      <c r="D19" s="288" t="s">
        <v>1087</v>
      </c>
      <c r="E19" s="846">
        <v>2.2000000000000002</v>
      </c>
      <c r="F19" s="826">
        <f>(107.7/100.6)*50000</f>
        <v>53528.827037773364</v>
      </c>
      <c r="G19" s="829">
        <v>0.6</v>
      </c>
      <c r="H19" s="274">
        <f t="shared" si="6"/>
        <v>85646.123260437394</v>
      </c>
      <c r="I19" s="816">
        <v>0.6</v>
      </c>
      <c r="J19" s="284">
        <f>H19*($E$5/(Macro!$D$16*Macro!$D$20*8)/(E19))^I19</f>
        <v>106361.14337639287</v>
      </c>
      <c r="K19" s="829">
        <v>0.05</v>
      </c>
      <c r="L19" s="274">
        <f t="shared" si="7"/>
        <v>5318.0571688196433</v>
      </c>
      <c r="M19" s="656">
        <f>IF(IF(Macro!$H$14=1,5,Macro!T49)=0,5,IF(Macro!$H$14=1,5,Macro!T88))</f>
        <v>5</v>
      </c>
      <c r="N19" s="274">
        <f t="shared" si="8"/>
        <v>21272.228675278573</v>
      </c>
      <c r="O19" t="s">
        <v>467</v>
      </c>
      <c r="P19" s="264"/>
    </row>
    <row r="20" spans="1:16" x14ac:dyDescent="0.2">
      <c r="A20" s="1031"/>
      <c r="B20" t="s">
        <v>1060</v>
      </c>
      <c r="C20" s="288" t="s">
        <v>1080</v>
      </c>
      <c r="D20" s="288" t="s">
        <v>1087</v>
      </c>
      <c r="E20" s="832">
        <v>1.73</v>
      </c>
      <c r="F20" s="826">
        <f>(107.7/100.6)*40000</f>
        <v>42823.06163021869</v>
      </c>
      <c r="G20" s="829">
        <v>0.6</v>
      </c>
      <c r="H20" s="274">
        <f>(1+G20)*F20</f>
        <v>68516.898608349904</v>
      </c>
      <c r="I20" s="816">
        <v>0.6</v>
      </c>
      <c r="J20" s="284">
        <f>H20*($E$5/(Macro!$D$16*Macro!$D$20*8)/(E20))^I20</f>
        <v>98287.645353367945</v>
      </c>
      <c r="K20" s="829">
        <v>0.05</v>
      </c>
      <c r="L20" s="274">
        <f t="shared" si="7"/>
        <v>4914.3822676683976</v>
      </c>
      <c r="M20" s="656">
        <f>IF(IF(Macro!$H$14=1,5,Macro!T50)=0,5,IF(Macro!$H$14=1,5,Macro!T89))</f>
        <v>5</v>
      </c>
      <c r="N20" s="274">
        <f t="shared" si="8"/>
        <v>19657.52907067359</v>
      </c>
      <c r="O20" t="s">
        <v>467</v>
      </c>
      <c r="P20" s="264"/>
    </row>
    <row r="21" spans="1:16" ht="17" thickBot="1" x14ac:dyDescent="0.25">
      <c r="A21" s="1032"/>
      <c r="B21" s="275" t="s">
        <v>200</v>
      </c>
      <c r="C21" s="748" t="s">
        <v>625</v>
      </c>
      <c r="D21" s="288" t="s">
        <v>1087</v>
      </c>
      <c r="E21" s="846">
        <v>2.3199999999999998</v>
      </c>
      <c r="F21" s="826">
        <f>(107.7/100.6)*40000</f>
        <v>42823.06163021869</v>
      </c>
      <c r="G21" s="829">
        <v>0.6</v>
      </c>
      <c r="H21" s="284">
        <f t="shared" ref="H21" si="9">(1+G21)*F21</f>
        <v>68516.898608349904</v>
      </c>
      <c r="I21" s="816">
        <v>0.6</v>
      </c>
      <c r="J21" s="284">
        <f>H21*($E$5/(Macro!$D$16*Macro!$D$20*8)/(E21))^I21</f>
        <v>82420.226157814366</v>
      </c>
      <c r="K21" s="829">
        <v>0.05</v>
      </c>
      <c r="L21" s="284">
        <f t="shared" si="7"/>
        <v>4121.0113078907189</v>
      </c>
      <c r="M21" s="656">
        <f>IF(IF(Macro!$H$14=1,5,Macro!T51)=0,5,IF(Macro!$H$14=1,5,Macro!T90))</f>
        <v>5</v>
      </c>
      <c r="N21" s="274">
        <f t="shared" si="8"/>
        <v>16484.045231562872</v>
      </c>
      <c r="O21" t="s">
        <v>467</v>
      </c>
      <c r="P21" s="264"/>
    </row>
    <row r="22" spans="1:16" ht="16" x14ac:dyDescent="0.2">
      <c r="A22" s="1030" t="s">
        <v>260</v>
      </c>
      <c r="B22" s="782" t="s">
        <v>687</v>
      </c>
      <c r="C22" s="782" t="s">
        <v>688</v>
      </c>
      <c r="D22" s="269" t="s">
        <v>1087</v>
      </c>
      <c r="E22" s="834">
        <v>3.8</v>
      </c>
      <c r="F22" s="828">
        <v>240000</v>
      </c>
      <c r="G22" s="831">
        <v>0.6</v>
      </c>
      <c r="H22" s="271">
        <f t="shared" ref="H22:H39" si="10">(1+G22)*F22</f>
        <v>384000</v>
      </c>
      <c r="I22" s="834">
        <v>0.6</v>
      </c>
      <c r="J22" s="587">
        <f>H22*(($E$5/(Macro!$D$16*Macro!$D$20*8))/E22)^I22</f>
        <v>343550.00772862375</v>
      </c>
      <c r="K22" s="831">
        <v>0.05</v>
      </c>
      <c r="L22" s="271">
        <f t="shared" ref="L22:L48" si="11">K22*J22</f>
        <v>17177.500386431188</v>
      </c>
      <c r="M22" s="658">
        <f>IF(IF(Macro!$H$14=1,5,Macro!T52)=0,5,IF(Macro!$H$14=1,5,Macro!T91))</f>
        <v>5</v>
      </c>
      <c r="N22" s="271">
        <f t="shared" ref="N22:N50" si="12">J22/M22</f>
        <v>68710.00154572475</v>
      </c>
      <c r="O22" s="270" t="s">
        <v>148</v>
      </c>
      <c r="P22" s="273"/>
    </row>
    <row r="23" spans="1:16" ht="16" x14ac:dyDescent="0.2">
      <c r="A23" s="1028"/>
      <c r="B23" s="288" t="s">
        <v>197</v>
      </c>
      <c r="C23" s="751" t="s">
        <v>689</v>
      </c>
      <c r="D23" s="288" t="s">
        <v>1087</v>
      </c>
      <c r="E23" s="816">
        <v>1.6</v>
      </c>
      <c r="F23" s="826">
        <f>(107.7/100.6)*420000</f>
        <v>449642.14711729623</v>
      </c>
      <c r="G23" s="829">
        <v>0.6</v>
      </c>
      <c r="H23" s="274">
        <f t="shared" si="10"/>
        <v>719427.43538767402</v>
      </c>
      <c r="I23" s="816">
        <v>0.8</v>
      </c>
      <c r="J23" s="284">
        <f>H23*(($E$5/(Macro!$D$16*Macro!$D$20*8))/E23)^I23</f>
        <v>1238975.9354187171</v>
      </c>
      <c r="K23" s="829">
        <v>0.05</v>
      </c>
      <c r="L23" s="274">
        <f t="shared" si="11"/>
        <v>61948.796770935856</v>
      </c>
      <c r="M23" s="656">
        <f>IF(IF(Macro!$H$14=1,5,Macro!T53)=0,5,IF(Macro!$H$14=1,5,Macro!T92))</f>
        <v>5</v>
      </c>
      <c r="N23" s="274">
        <f t="shared" si="12"/>
        <v>247795.18708374343</v>
      </c>
      <c r="O23" t="s">
        <v>467</v>
      </c>
      <c r="P23" s="264"/>
    </row>
    <row r="24" spans="1:16" x14ac:dyDescent="0.2">
      <c r="A24" s="1028"/>
      <c r="B24" s="288" t="s">
        <v>185</v>
      </c>
      <c r="C24" s="288" t="s">
        <v>691</v>
      </c>
      <c r="D24" s="288" t="s">
        <v>1087</v>
      </c>
      <c r="E24" s="816">
        <v>2.1</v>
      </c>
      <c r="F24" s="826">
        <f>(107.7/100.6)*100000</f>
        <v>107057.65407554673</v>
      </c>
      <c r="G24" s="829">
        <v>0.6</v>
      </c>
      <c r="H24" s="274">
        <f t="shared" si="10"/>
        <v>171292.24652087479</v>
      </c>
      <c r="I24" s="816">
        <v>0.8</v>
      </c>
      <c r="J24" s="284">
        <f>H24*(($E$5/(Macro!$D$16*Macro!$D$20*8))/E24)^I24</f>
        <v>237319.88603660912</v>
      </c>
      <c r="K24" s="829">
        <v>0.05</v>
      </c>
      <c r="L24" s="274">
        <f t="shared" si="11"/>
        <v>11865.994301830457</v>
      </c>
      <c r="M24" s="656">
        <f>IF(IF(Macro!$H$14=1,5,Macro!T54)=0,5,IF(Macro!$H$14=1,5,Macro!T93))</f>
        <v>5</v>
      </c>
      <c r="N24" s="274">
        <f t="shared" si="12"/>
        <v>47463.977207321826</v>
      </c>
      <c r="O24" t="s">
        <v>467</v>
      </c>
      <c r="P24" s="264"/>
    </row>
    <row r="25" spans="1:16" ht="16" thickBot="1" x14ac:dyDescent="0.25">
      <c r="A25" s="1029"/>
      <c r="B25" s="289" t="s">
        <v>186</v>
      </c>
      <c r="C25" s="289" t="s">
        <v>692</v>
      </c>
      <c r="D25" s="289" t="s">
        <v>1087</v>
      </c>
      <c r="E25" s="835">
        <v>4.5</v>
      </c>
      <c r="F25" s="827">
        <f>(107.7/100.6)*100000</f>
        <v>107057.65407554673</v>
      </c>
      <c r="G25" s="830">
        <v>0.6</v>
      </c>
      <c r="H25" s="276">
        <f t="shared" si="10"/>
        <v>171292.24652087479</v>
      </c>
      <c r="I25" s="835">
        <v>0.8</v>
      </c>
      <c r="J25" s="586">
        <f>H25*(($E$5/(Macro!$D$16*Macro!$D$20*8))/E25)^I25</f>
        <v>128985.10331857877</v>
      </c>
      <c r="K25" s="830">
        <v>0.05</v>
      </c>
      <c r="L25" s="276">
        <f t="shared" si="11"/>
        <v>6449.2551659289384</v>
      </c>
      <c r="M25" s="657">
        <f>IF(IF(Macro!$H$14=1,5,Macro!T55)=0,5,IF(Macro!$H$14=1,5,Macro!T94))</f>
        <v>5</v>
      </c>
      <c r="N25" s="276">
        <f t="shared" si="12"/>
        <v>25797.020663715753</v>
      </c>
      <c r="O25" s="275" t="s">
        <v>467</v>
      </c>
      <c r="P25" s="278"/>
    </row>
    <row r="26" spans="1:16" ht="17" x14ac:dyDescent="0.2">
      <c r="A26" s="1030" t="s">
        <v>509</v>
      </c>
      <c r="B26" s="784" t="s">
        <v>216</v>
      </c>
      <c r="C26" s="270" t="s">
        <v>344</v>
      </c>
      <c r="D26" s="269" t="s">
        <v>478</v>
      </c>
      <c r="E26" s="834">
        <v>2</v>
      </c>
      <c r="F26" s="828">
        <v>420000</v>
      </c>
      <c r="G26" s="831">
        <v>1</v>
      </c>
      <c r="H26" s="271">
        <f t="shared" si="10"/>
        <v>840000</v>
      </c>
      <c r="I26" s="834">
        <v>0.6</v>
      </c>
      <c r="J26" s="587" t="e">
        <f>H26*(('R3_Hydro_MEFA'!L19/Macro!$D$16/Macro!$D$20/8/E26)^I26)</f>
        <v>#DIV/0!</v>
      </c>
      <c r="K26" s="831">
        <v>0.05</v>
      </c>
      <c r="L26" s="271" t="e">
        <f t="shared" si="11"/>
        <v>#DIV/0!</v>
      </c>
      <c r="M26" s="658">
        <f>IF(IF(Macro!$H$14=1,5,Macro!T56)=0,5,IF(Macro!$H$14=1,5,Macro!T95))</f>
        <v>5</v>
      </c>
      <c r="N26" s="271" t="e">
        <f t="shared" si="12"/>
        <v>#DIV/0!</v>
      </c>
      <c r="O26" s="270" t="s">
        <v>148</v>
      </c>
      <c r="P26" s="273"/>
    </row>
    <row r="27" spans="1:16" ht="17" x14ac:dyDescent="0.2">
      <c r="A27" s="1031"/>
      <c r="B27" t="s">
        <v>217</v>
      </c>
      <c r="C27" t="s">
        <v>479</v>
      </c>
      <c r="D27" s="288" t="s">
        <v>478</v>
      </c>
      <c r="E27" s="816">
        <v>10</v>
      </c>
      <c r="F27" s="826">
        <v>175000</v>
      </c>
      <c r="G27" s="829">
        <v>1</v>
      </c>
      <c r="H27" s="274">
        <f t="shared" si="10"/>
        <v>350000</v>
      </c>
      <c r="I27" s="816">
        <v>0.52</v>
      </c>
      <c r="J27" s="284" t="e">
        <f>H27*(('R3_Hydro_MEFA'!L26/Macro!$D$16/Macro!$D$20/8/E27)^I27)</f>
        <v>#DIV/0!</v>
      </c>
      <c r="K27" s="829">
        <v>0.05</v>
      </c>
      <c r="L27" s="274" t="e">
        <f t="shared" si="11"/>
        <v>#DIV/0!</v>
      </c>
      <c r="M27" s="656">
        <f>IF(IF(Macro!$H$14=1,5,Macro!T57)=0,5,IF(Macro!$H$14=1,5,Macro!T96))</f>
        <v>5</v>
      </c>
      <c r="N27" s="274" t="e">
        <f t="shared" si="12"/>
        <v>#DIV/0!</v>
      </c>
      <c r="O27" t="s">
        <v>148</v>
      </c>
      <c r="P27" s="264"/>
    </row>
    <row r="28" spans="1:16" ht="17" x14ac:dyDescent="0.2">
      <c r="A28" s="1031"/>
      <c r="B28" t="s">
        <v>223</v>
      </c>
      <c r="C28" t="s">
        <v>485</v>
      </c>
      <c r="D28" s="288" t="s">
        <v>478</v>
      </c>
      <c r="E28" s="816">
        <v>10</v>
      </c>
      <c r="F28" s="826">
        <v>175000</v>
      </c>
      <c r="G28" s="829">
        <v>1</v>
      </c>
      <c r="H28" s="274">
        <f t="shared" si="10"/>
        <v>350000</v>
      </c>
      <c r="I28" s="816">
        <v>0.52</v>
      </c>
      <c r="J28" s="284" t="e">
        <f>H28*(('R3_Hydro_MEFA'!L33/Macro!$D$16/Macro!$D$20/8/E28)^I28)</f>
        <v>#DIV/0!</v>
      </c>
      <c r="K28" s="829">
        <v>0.05</v>
      </c>
      <c r="L28" s="274" t="e">
        <f t="shared" si="11"/>
        <v>#DIV/0!</v>
      </c>
      <c r="M28" s="656">
        <f>IF(IF(Macro!$H$14=1,5,Macro!T58)=0,5,IF(Macro!$H$14=1,5,Macro!T97))</f>
        <v>5</v>
      </c>
      <c r="N28" s="274" t="e">
        <f t="shared" si="12"/>
        <v>#DIV/0!</v>
      </c>
      <c r="O28" t="s">
        <v>148</v>
      </c>
      <c r="P28" s="264"/>
    </row>
    <row r="29" spans="1:16" ht="17" x14ac:dyDescent="0.2">
      <c r="A29" s="1031"/>
      <c r="B29" t="s">
        <v>224</v>
      </c>
      <c r="C29" t="s">
        <v>480</v>
      </c>
      <c r="D29" s="288" t="s">
        <v>478</v>
      </c>
      <c r="E29" s="816">
        <v>10</v>
      </c>
      <c r="F29" s="826">
        <v>35000</v>
      </c>
      <c r="G29" s="829">
        <v>1</v>
      </c>
      <c r="H29" s="274">
        <f t="shared" si="10"/>
        <v>70000</v>
      </c>
      <c r="I29" s="816">
        <v>0.75</v>
      </c>
      <c r="J29" s="284" t="e">
        <f>H29*((('R3_Hydro_MEFA'!L39/'R3_Hydro_MEFA'!N33)/Macro!$D$16/Macro!$D$20/8/E29)^I29)</f>
        <v>#DIV/0!</v>
      </c>
      <c r="K29" s="829">
        <v>0.05</v>
      </c>
      <c r="L29" s="274" t="e">
        <f t="shared" si="11"/>
        <v>#DIV/0!</v>
      </c>
      <c r="M29" s="656">
        <f>IF(IF(Macro!$H$14=1,5,Macro!T59)=0,5,IF(Macro!$H$14=1,5,Macro!T98))</f>
        <v>5</v>
      </c>
      <c r="N29" s="274" t="e">
        <f t="shared" si="12"/>
        <v>#DIV/0!</v>
      </c>
      <c r="O29" t="s">
        <v>148</v>
      </c>
      <c r="P29" s="264"/>
    </row>
    <row r="30" spans="1:16" ht="17" x14ac:dyDescent="0.2">
      <c r="A30" s="1031"/>
      <c r="B30" t="s">
        <v>357</v>
      </c>
      <c r="C30" t="s">
        <v>479</v>
      </c>
      <c r="D30" s="288" t="s">
        <v>478</v>
      </c>
      <c r="E30" s="816">
        <v>10</v>
      </c>
      <c r="F30" s="826">
        <v>175000</v>
      </c>
      <c r="G30" s="829">
        <v>1</v>
      </c>
      <c r="H30" s="274">
        <f t="shared" si="10"/>
        <v>350000</v>
      </c>
      <c r="I30" s="816">
        <v>0.52</v>
      </c>
      <c r="J30" s="284" t="e">
        <f>H30*(('R3_Hydro_MEFA'!L48/Macro!$D$16/Macro!$D$20/8/E30)^I30)</f>
        <v>#DIV/0!</v>
      </c>
      <c r="K30" s="829">
        <v>0.05</v>
      </c>
      <c r="L30" s="274" t="e">
        <f t="shared" si="11"/>
        <v>#DIV/0!</v>
      </c>
      <c r="M30" s="656">
        <f>IF(IF(Macro!$H$14=1,5,Macro!T60)=0,5,IF(Macro!$H$14=1,5,Macro!T99))</f>
        <v>5</v>
      </c>
      <c r="N30" s="274" t="e">
        <f t="shared" si="12"/>
        <v>#DIV/0!</v>
      </c>
      <c r="O30" t="s">
        <v>148</v>
      </c>
      <c r="P30" s="264"/>
    </row>
    <row r="31" spans="1:16" ht="17" x14ac:dyDescent="0.2">
      <c r="A31" s="1031"/>
      <c r="B31" s="122" t="s">
        <v>481</v>
      </c>
      <c r="C31" t="s">
        <v>479</v>
      </c>
      <c r="D31" s="288" t="s">
        <v>478</v>
      </c>
      <c r="E31" s="816">
        <v>10</v>
      </c>
      <c r="F31" s="826">
        <v>175000</v>
      </c>
      <c r="G31" s="829">
        <v>1</v>
      </c>
      <c r="H31" s="274">
        <f t="shared" si="10"/>
        <v>350000</v>
      </c>
      <c r="I31" s="816">
        <v>0.52</v>
      </c>
      <c r="J31" s="284" t="e">
        <f>H31*(('R3_Hydro_MEFA'!L55/Macro!$D$16/Macro!$D$20/8/E31)^I31)</f>
        <v>#DIV/0!</v>
      </c>
      <c r="K31" s="829">
        <v>0.05</v>
      </c>
      <c r="L31" s="274" t="e">
        <f t="shared" si="11"/>
        <v>#DIV/0!</v>
      </c>
      <c r="M31" s="656">
        <f>IF(IF(Macro!$H$14=1,5,Macro!T61)=0,5,IF(Macro!$H$14=1,5,Macro!T100))</f>
        <v>5</v>
      </c>
      <c r="N31" s="274" t="e">
        <f t="shared" si="12"/>
        <v>#DIV/0!</v>
      </c>
      <c r="O31" t="s">
        <v>148</v>
      </c>
      <c r="P31" s="264"/>
    </row>
    <row r="32" spans="1:16" ht="17" x14ac:dyDescent="0.2">
      <c r="A32" s="1031"/>
      <c r="B32" t="s">
        <v>360</v>
      </c>
      <c r="C32" t="s">
        <v>693</v>
      </c>
      <c r="D32" s="288" t="s">
        <v>478</v>
      </c>
      <c r="E32" s="816">
        <v>10</v>
      </c>
      <c r="F32" s="826">
        <v>35000</v>
      </c>
      <c r="G32" s="829">
        <v>1</v>
      </c>
      <c r="H32" s="274">
        <f t="shared" si="10"/>
        <v>70000</v>
      </c>
      <c r="I32" s="816">
        <v>0.75</v>
      </c>
      <c r="J32" s="284" t="e">
        <f>H32*(('R3_Hydro_MEFA'!L61/Macro!$D$16/Macro!$D$20/8/E32)^I32)</f>
        <v>#DIV/0!</v>
      </c>
      <c r="K32" s="829">
        <v>0.05</v>
      </c>
      <c r="L32" s="274" t="e">
        <f t="shared" si="11"/>
        <v>#DIV/0!</v>
      </c>
      <c r="M32" s="656">
        <f>IF(IF(Macro!$H$14=1,5,Macro!T62)=0,5,IF(Macro!$H$14=1,5,Macro!T101))</f>
        <v>5</v>
      </c>
      <c r="N32" s="274" t="e">
        <f t="shared" si="12"/>
        <v>#DIV/0!</v>
      </c>
      <c r="O32" t="s">
        <v>148</v>
      </c>
      <c r="P32" s="264"/>
    </row>
    <row r="33" spans="1:16" ht="17" x14ac:dyDescent="0.2">
      <c r="A33" s="1031"/>
      <c r="B33" t="s">
        <v>484</v>
      </c>
      <c r="C33" t="s">
        <v>485</v>
      </c>
      <c r="D33" s="288" t="s">
        <v>478</v>
      </c>
      <c r="E33" s="816">
        <v>10</v>
      </c>
      <c r="F33" s="826">
        <v>175000</v>
      </c>
      <c r="G33" s="829">
        <v>1</v>
      </c>
      <c r="H33" s="274">
        <f t="shared" si="10"/>
        <v>350000</v>
      </c>
      <c r="I33" s="816">
        <v>0.52</v>
      </c>
      <c r="J33" s="284" t="e">
        <f>H33*((SUM('R3_Hydro_MEFA'!L70:L71)/'R3_Hydro_MEFA'!N61/Macro!$D$16/Macro!$D$20/8/E33)^I33)</f>
        <v>#DIV/0!</v>
      </c>
      <c r="K33" s="829">
        <v>0.05</v>
      </c>
      <c r="L33" s="274" t="e">
        <f t="shared" si="11"/>
        <v>#DIV/0!</v>
      </c>
      <c r="M33" s="656">
        <f>IF(IF(Macro!$H$14=1,5,Macro!T63)=0,5,IF(Macro!$H$14=1,5,Macro!T102))</f>
        <v>5</v>
      </c>
      <c r="N33" s="274" t="e">
        <f t="shared" si="12"/>
        <v>#DIV/0!</v>
      </c>
      <c r="O33" t="s">
        <v>148</v>
      </c>
      <c r="P33" s="264"/>
    </row>
    <row r="34" spans="1:16" ht="17" x14ac:dyDescent="0.2">
      <c r="A34" s="1031"/>
      <c r="B34" t="s">
        <v>373</v>
      </c>
      <c r="C34" t="s">
        <v>479</v>
      </c>
      <c r="D34" s="288" t="s">
        <v>478</v>
      </c>
      <c r="E34" s="816">
        <v>10</v>
      </c>
      <c r="F34" s="826">
        <v>175000</v>
      </c>
      <c r="G34" s="829">
        <v>1</v>
      </c>
      <c r="H34" s="274">
        <f t="shared" si="10"/>
        <v>350000</v>
      </c>
      <c r="I34" s="816">
        <v>0.52</v>
      </c>
      <c r="J34" s="284" t="e">
        <f>H34*(('R3_Hydro_MEFA'!L78/'R3_Hydro_MEFA'!N72/Macro!$D$16/Macro!$D$20/8/E34)^I34)</f>
        <v>#DIV/0!</v>
      </c>
      <c r="K34" s="829">
        <v>0.05</v>
      </c>
      <c r="L34" s="274" t="e">
        <f t="shared" si="11"/>
        <v>#DIV/0!</v>
      </c>
      <c r="M34" s="656">
        <f>IF(IF(Macro!$H$14=1,5,Macro!T64)=0,5,IF(Macro!$H$14=1,5,Macro!T103))</f>
        <v>5</v>
      </c>
      <c r="N34" s="274" t="e">
        <f t="shared" si="12"/>
        <v>#DIV/0!</v>
      </c>
      <c r="O34" t="s">
        <v>148</v>
      </c>
      <c r="P34" s="264"/>
    </row>
    <row r="35" spans="1:16" ht="17" x14ac:dyDescent="0.2">
      <c r="A35" s="1031"/>
      <c r="B35" t="s">
        <v>377</v>
      </c>
      <c r="C35" t="s">
        <v>479</v>
      </c>
      <c r="D35" s="288" t="s">
        <v>478</v>
      </c>
      <c r="E35" s="816">
        <v>10</v>
      </c>
      <c r="F35" s="826">
        <v>175000</v>
      </c>
      <c r="G35" s="829">
        <v>1</v>
      </c>
      <c r="H35" s="274">
        <f t="shared" si="10"/>
        <v>350000</v>
      </c>
      <c r="I35" s="816">
        <v>0.52</v>
      </c>
      <c r="J35" s="284" t="e">
        <f>H35*((SUM('R3_Hydro_MEFA'!L84,'R3_Hydro_MEFA'!L86:L87)/'R3_Hydro_MEFA'!N79/Macro!$D$16/Macro!$D$20/8/E35)^I35)</f>
        <v>#DIV/0!</v>
      </c>
      <c r="K35" s="829">
        <v>0.05</v>
      </c>
      <c r="L35" s="274" t="e">
        <f t="shared" si="11"/>
        <v>#DIV/0!</v>
      </c>
      <c r="M35" s="656">
        <f>IF(IF(Macro!$H$14=1,5,Macro!T65)=0,5,IF(Macro!$H$14=1,5,Macro!T104))</f>
        <v>5</v>
      </c>
      <c r="N35" s="274" t="e">
        <f t="shared" si="12"/>
        <v>#DIV/0!</v>
      </c>
      <c r="O35" t="s">
        <v>148</v>
      </c>
      <c r="P35" s="264"/>
    </row>
    <row r="36" spans="1:16" x14ac:dyDescent="0.2">
      <c r="A36" s="1031"/>
      <c r="B36" t="s">
        <v>630</v>
      </c>
      <c r="C36" t="s">
        <v>487</v>
      </c>
      <c r="D36" s="288" t="s">
        <v>488</v>
      </c>
      <c r="E36" s="816">
        <v>1</v>
      </c>
      <c r="F36" s="826">
        <v>1500000</v>
      </c>
      <c r="G36" s="829">
        <v>1</v>
      </c>
      <c r="H36" s="284">
        <f t="shared" si="10"/>
        <v>3000000</v>
      </c>
      <c r="I36" s="816">
        <v>0.65</v>
      </c>
      <c r="J36" s="284" t="e">
        <f>H36*(('R3_Hydro_MEFA'!L92/(Macro!$D$16*Macro!$D$20*8*E36))^I36)</f>
        <v>#DIV/0!</v>
      </c>
      <c r="K36" s="829">
        <v>0.05</v>
      </c>
      <c r="L36" s="284" t="e">
        <f t="shared" si="11"/>
        <v>#DIV/0!</v>
      </c>
      <c r="M36" s="659">
        <f>IF(IF(Macro!$H$14=1,5,Macro!T66)=0,5,IF(Macro!$H$14=1,5,Macro!T105))</f>
        <v>5</v>
      </c>
      <c r="N36" s="284" t="e">
        <f t="shared" si="12"/>
        <v>#DIV/0!</v>
      </c>
      <c r="O36" t="s">
        <v>148</v>
      </c>
      <c r="P36" s="264"/>
    </row>
    <row r="37" spans="1:16" ht="16" thickBot="1" x14ac:dyDescent="0.25">
      <c r="A37" s="1032"/>
      <c r="B37" s="275" t="s">
        <v>631</v>
      </c>
      <c r="C37" s="275" t="s">
        <v>487</v>
      </c>
      <c r="D37" s="288" t="s">
        <v>488</v>
      </c>
      <c r="E37" s="816">
        <v>1</v>
      </c>
      <c r="F37" s="826">
        <v>1500000</v>
      </c>
      <c r="G37" s="829">
        <v>1</v>
      </c>
      <c r="H37" s="284">
        <f t="shared" si="10"/>
        <v>3000000</v>
      </c>
      <c r="I37" s="816">
        <v>0.65</v>
      </c>
      <c r="J37" s="284" t="e">
        <f>H37*(('R3_Hydro_MEFA'!L98/(Macro!$D$16*Macro!$D$20*8*E37))^I37)</f>
        <v>#DIV/0!</v>
      </c>
      <c r="K37" s="829">
        <v>0.05</v>
      </c>
      <c r="L37" s="284" t="e">
        <f t="shared" si="11"/>
        <v>#DIV/0!</v>
      </c>
      <c r="M37" s="659">
        <f>IF(IF(Macro!$H$14=1,5,Macro!T67)=0,5,IF(Macro!$H$14=1,5,Macro!T106))</f>
        <v>5</v>
      </c>
      <c r="N37" s="284" t="e">
        <f t="shared" si="12"/>
        <v>#DIV/0!</v>
      </c>
      <c r="O37" t="s">
        <v>148</v>
      </c>
      <c r="P37" s="264"/>
    </row>
    <row r="38" spans="1:16" ht="17.25" customHeight="1" x14ac:dyDescent="0.2">
      <c r="A38" s="1030" t="s">
        <v>510</v>
      </c>
      <c r="B38" s="269" t="s">
        <v>1061</v>
      </c>
      <c r="C38" s="269" t="s">
        <v>344</v>
      </c>
      <c r="D38" s="269" t="s">
        <v>478</v>
      </c>
      <c r="E38" s="834">
        <v>2</v>
      </c>
      <c r="F38" s="828">
        <v>420000</v>
      </c>
      <c r="G38" s="831">
        <v>1</v>
      </c>
      <c r="H38" s="587">
        <f t="shared" si="10"/>
        <v>840000</v>
      </c>
      <c r="I38" s="834">
        <v>0.6</v>
      </c>
      <c r="J38" s="587" t="e">
        <f>H38*(('R3_Hydro_MEFA'!L117/Macro!$D$16/Macro!$D$20/8/E38)^I38)</f>
        <v>#DIV/0!</v>
      </c>
      <c r="K38" s="831">
        <v>0.05</v>
      </c>
      <c r="L38" s="587" t="e">
        <f t="shared" si="11"/>
        <v>#DIV/0!</v>
      </c>
      <c r="M38" s="660">
        <f>IF(IF(Macro!$H$14=1,5,Macro!T68)=0,5,IF(Macro!$H$14=1,5,Macro!T107))</f>
        <v>5</v>
      </c>
      <c r="N38" s="587" t="e">
        <f t="shared" si="12"/>
        <v>#DIV/0!</v>
      </c>
      <c r="O38" s="270" t="s">
        <v>148</v>
      </c>
      <c r="P38" s="273"/>
    </row>
    <row r="39" spans="1:16" ht="17" x14ac:dyDescent="0.2">
      <c r="A39" s="1031"/>
      <c r="B39" s="288" t="s">
        <v>1062</v>
      </c>
      <c r="C39" s="288" t="s">
        <v>485</v>
      </c>
      <c r="D39" s="288" t="s">
        <v>478</v>
      </c>
      <c r="E39" s="816">
        <v>10</v>
      </c>
      <c r="F39" s="826">
        <v>175000</v>
      </c>
      <c r="G39" s="829">
        <v>1</v>
      </c>
      <c r="H39" s="284">
        <f t="shared" si="10"/>
        <v>350000</v>
      </c>
      <c r="I39" s="816">
        <v>0.52</v>
      </c>
      <c r="J39" s="284" t="e">
        <f>H39*(('R3_Hydro_MEFA'!L124/Macro!$D$16/Macro!$D$20/8/E39)^I39)</f>
        <v>#DIV/0!</v>
      </c>
      <c r="K39" s="829">
        <v>0.05</v>
      </c>
      <c r="L39" s="284" t="e">
        <f t="shared" si="11"/>
        <v>#DIV/0!</v>
      </c>
      <c r="M39" s="659">
        <f>IF(IF(Macro!$H$14=1,5,Macro!T69)=0,5,IF(Macro!$H$14=1,5,Macro!T108))</f>
        <v>5</v>
      </c>
      <c r="N39" s="284" t="e">
        <f t="shared" si="12"/>
        <v>#DIV/0!</v>
      </c>
      <c r="O39" t="s">
        <v>148</v>
      </c>
      <c r="P39" s="264"/>
    </row>
    <row r="40" spans="1:16" ht="17" x14ac:dyDescent="0.2">
      <c r="A40" s="1031"/>
      <c r="B40" s="288" t="s">
        <v>1063</v>
      </c>
      <c r="C40" s="751" t="s">
        <v>491</v>
      </c>
      <c r="D40" s="288" t="s">
        <v>478</v>
      </c>
      <c r="E40" s="816">
        <v>10</v>
      </c>
      <c r="F40" s="826">
        <v>100000</v>
      </c>
      <c r="G40" s="829">
        <v>1</v>
      </c>
      <c r="H40" s="284">
        <v>200000</v>
      </c>
      <c r="I40" s="816">
        <v>0.75</v>
      </c>
      <c r="J40" s="284" t="e">
        <f>H40*(('R3_Hydro_MEFA'!L132/Macro!$D$16/Macro!$D$20/8/E40)^I40)</f>
        <v>#DIV/0!</v>
      </c>
      <c r="K40" s="829">
        <v>0.05</v>
      </c>
      <c r="L40" s="284" t="e">
        <f t="shared" si="11"/>
        <v>#DIV/0!</v>
      </c>
      <c r="M40" s="659">
        <f>IF(IF(Macro!$H$14=1,5,Macro!T70)=0,5,IF(Macro!$H$14=1,5,Macro!T109))</f>
        <v>5</v>
      </c>
      <c r="N40" s="284" t="e">
        <f t="shared" si="12"/>
        <v>#DIV/0!</v>
      </c>
      <c r="O40" t="s">
        <v>148</v>
      </c>
      <c r="P40" s="264"/>
    </row>
    <row r="41" spans="1:16" ht="17" x14ac:dyDescent="0.2">
      <c r="A41" s="1031"/>
      <c r="B41" s="288" t="s">
        <v>210</v>
      </c>
      <c r="C41" s="288" t="s">
        <v>485</v>
      </c>
      <c r="D41" s="288" t="s">
        <v>478</v>
      </c>
      <c r="E41" s="816">
        <v>10</v>
      </c>
      <c r="F41" s="826">
        <v>175000</v>
      </c>
      <c r="G41" s="829">
        <v>1</v>
      </c>
      <c r="H41" s="284">
        <f t="shared" ref="H41:H43" si="13">(1+G41)*F41</f>
        <v>350000</v>
      </c>
      <c r="I41" s="816">
        <v>0.52</v>
      </c>
      <c r="J41" s="284" t="e">
        <f>H41*(('R3_Hydro_MEFA'!L140/Macro!$D$16/Macro!$D$20/8/E41)^I41)</f>
        <v>#DIV/0!</v>
      </c>
      <c r="K41" s="829">
        <v>0.05</v>
      </c>
      <c r="L41" s="284" t="e">
        <f t="shared" si="11"/>
        <v>#DIV/0!</v>
      </c>
      <c r="M41" s="659">
        <f>IF(IF(Macro!$H$14=1,5,Macro!T36)=0,5,IF(Macro!$H$14=1,5,Macro!T36))</f>
        <v>5</v>
      </c>
      <c r="N41" s="284" t="e">
        <f t="shared" si="12"/>
        <v>#DIV/0!</v>
      </c>
      <c r="O41" t="s">
        <v>148</v>
      </c>
      <c r="P41" s="264"/>
    </row>
    <row r="42" spans="1:16" ht="17" x14ac:dyDescent="0.2">
      <c r="A42" s="1031"/>
      <c r="B42" s="751" t="s">
        <v>1064</v>
      </c>
      <c r="C42" s="288" t="s">
        <v>485</v>
      </c>
      <c r="D42" s="288" t="s">
        <v>478</v>
      </c>
      <c r="E42" s="816">
        <v>10</v>
      </c>
      <c r="F42" s="826">
        <v>175000</v>
      </c>
      <c r="G42" s="829">
        <v>1</v>
      </c>
      <c r="H42" s="284">
        <f t="shared" si="13"/>
        <v>350000</v>
      </c>
      <c r="I42" s="816">
        <v>0.52</v>
      </c>
      <c r="J42" s="284" t="e">
        <f>H42*(('R3_Hydro_MEFA'!L147/Macro!$D$16/Macro!$D$20/8/E42)^I42)</f>
        <v>#DIV/0!</v>
      </c>
      <c r="K42" s="829">
        <v>0.05</v>
      </c>
      <c r="L42" s="284" t="e">
        <f t="shared" si="11"/>
        <v>#DIV/0!</v>
      </c>
      <c r="M42" s="659">
        <f>IF(IF(Macro!$H$14=1,5,Macro!T37)=0,5,IF(Macro!$H$14=1,5,Macro!T37))</f>
        <v>5</v>
      </c>
      <c r="N42" s="284" t="e">
        <f t="shared" si="12"/>
        <v>#DIV/0!</v>
      </c>
      <c r="O42" t="s">
        <v>148</v>
      </c>
      <c r="P42" s="264"/>
    </row>
    <row r="43" spans="1:16" ht="17" x14ac:dyDescent="0.2">
      <c r="A43" s="1031"/>
      <c r="B43" s="288" t="s">
        <v>1065</v>
      </c>
      <c r="C43" s="288" t="s">
        <v>492</v>
      </c>
      <c r="D43" s="288" t="s">
        <v>478</v>
      </c>
      <c r="E43" s="816">
        <v>10</v>
      </c>
      <c r="F43" s="826">
        <v>35000</v>
      </c>
      <c r="G43" s="829">
        <v>1</v>
      </c>
      <c r="H43" s="284">
        <f t="shared" si="13"/>
        <v>70000</v>
      </c>
      <c r="I43" s="816">
        <v>0.75</v>
      </c>
      <c r="J43" s="284" t="e">
        <f>H43*(('R3_Hydro_MEFA'!L147/Macro!$D$16/Macro!$D$20/8/E43)^I43)</f>
        <v>#DIV/0!</v>
      </c>
      <c r="K43" s="829">
        <v>0.05</v>
      </c>
      <c r="L43" s="284" t="e">
        <f t="shared" si="11"/>
        <v>#DIV/0!</v>
      </c>
      <c r="M43" s="659">
        <f>IF(IF(Macro!$H$14=1,5,Macro!T38)=0,5,IF(Macro!$H$14=1,5,Macro!T38))</f>
        <v>5</v>
      </c>
      <c r="N43" s="284" t="e">
        <f t="shared" si="12"/>
        <v>#DIV/0!</v>
      </c>
      <c r="O43" t="s">
        <v>148</v>
      </c>
      <c r="P43" s="264"/>
    </row>
    <row r="44" spans="1:16" ht="17" x14ac:dyDescent="0.2">
      <c r="A44" s="1031"/>
      <c r="B44" s="288" t="s">
        <v>1066</v>
      </c>
      <c r="C44" s="288" t="s">
        <v>485</v>
      </c>
      <c r="D44" s="288" t="s">
        <v>478</v>
      </c>
      <c r="E44" s="816">
        <v>10</v>
      </c>
      <c r="F44" s="826">
        <v>175000</v>
      </c>
      <c r="G44" s="829">
        <v>1</v>
      </c>
      <c r="H44" s="284">
        <f t="shared" ref="H44:H50" si="14">(1+G44)*F44</f>
        <v>350000</v>
      </c>
      <c r="I44" s="816">
        <v>0.52</v>
      </c>
      <c r="J44" s="284" t="e">
        <f>H44*(((SUM('R3_Hydro_MEFA'!L163:L164)/'R3_Hydro_MEFA'!N132)/Macro!$D$16/Macro!$D$20/8/E44)^I44)</f>
        <v>#DIV/0!</v>
      </c>
      <c r="K44" s="829">
        <v>0.05</v>
      </c>
      <c r="L44" s="284" t="e">
        <f t="shared" si="11"/>
        <v>#DIV/0!</v>
      </c>
      <c r="M44" s="659">
        <f>IF(IF(Macro!$H$14=1,5,Macro!T71)=0,5,IF(Macro!$H$14=1,5,Macro!T110))</f>
        <v>5</v>
      </c>
      <c r="N44" s="284" t="e">
        <f t="shared" si="12"/>
        <v>#DIV/0!</v>
      </c>
      <c r="O44" t="s">
        <v>148</v>
      </c>
      <c r="P44" s="264"/>
    </row>
    <row r="45" spans="1:16" ht="17" x14ac:dyDescent="0.2">
      <c r="A45" s="1031"/>
      <c r="B45" s="288" t="s">
        <v>1067</v>
      </c>
      <c r="C45" s="288" t="s">
        <v>485</v>
      </c>
      <c r="D45" s="288" t="s">
        <v>478</v>
      </c>
      <c r="E45" s="816">
        <v>10</v>
      </c>
      <c r="F45" s="826">
        <v>175000</v>
      </c>
      <c r="G45" s="829">
        <v>1</v>
      </c>
      <c r="H45" s="284">
        <f t="shared" si="14"/>
        <v>350000</v>
      </c>
      <c r="I45" s="816">
        <v>0.52</v>
      </c>
      <c r="J45" s="284" t="e">
        <f>H45*(('R3_Hydro_MEFA'!L172/Macro!$D$16/Macro!$D$20/8/E45)^I45)</f>
        <v>#DIV/0!</v>
      </c>
      <c r="K45" s="829">
        <v>0.05</v>
      </c>
      <c r="L45" s="284" t="e">
        <f t="shared" si="11"/>
        <v>#DIV/0!</v>
      </c>
      <c r="M45" s="659">
        <f>IF(IF(Macro!$H$14=1,5,Macro!T72)=0,5,IF(Macro!$H$14=1,5,Macro!T111))</f>
        <v>5</v>
      </c>
      <c r="N45" s="284" t="e">
        <f t="shared" si="12"/>
        <v>#DIV/0!</v>
      </c>
      <c r="O45" t="s">
        <v>148</v>
      </c>
      <c r="P45" s="264"/>
    </row>
    <row r="46" spans="1:16" ht="17" x14ac:dyDescent="0.2">
      <c r="A46" s="1031"/>
      <c r="B46" s="288" t="s">
        <v>1068</v>
      </c>
      <c r="C46" s="288" t="s">
        <v>485</v>
      </c>
      <c r="D46" s="288" t="s">
        <v>478</v>
      </c>
      <c r="E46" s="816">
        <v>10</v>
      </c>
      <c r="F46" s="826">
        <v>175000</v>
      </c>
      <c r="G46" s="829">
        <v>1</v>
      </c>
      <c r="H46" s="284">
        <f t="shared" si="14"/>
        <v>350000</v>
      </c>
      <c r="I46" s="816">
        <v>0.52</v>
      </c>
      <c r="J46" s="284" t="e">
        <f>H46*(((SUM('R3_Hydro_MEFA'!L177,'R3_Hydro_MEFA'!L179:L180)/'R3_Hydro_MEFA'!N172)/Macro!$D$16/Macro!$D$20/8/E46)^I46)</f>
        <v>#DIV/0!</v>
      </c>
      <c r="K46" s="829">
        <v>0.05</v>
      </c>
      <c r="L46" s="284" t="e">
        <f t="shared" si="11"/>
        <v>#DIV/0!</v>
      </c>
      <c r="M46" s="659">
        <f>IF(IF(Macro!$H$14=1,5,Macro!T73)=0,5,IF(Macro!$H$14=1,5,Macro!T112))</f>
        <v>5</v>
      </c>
      <c r="N46" s="284" t="e">
        <f t="shared" si="12"/>
        <v>#DIV/0!</v>
      </c>
      <c r="O46" t="s">
        <v>148</v>
      </c>
      <c r="P46" s="264"/>
    </row>
    <row r="47" spans="1:16" x14ac:dyDescent="0.2">
      <c r="A47" s="1031"/>
      <c r="B47" s="288" t="s">
        <v>1069</v>
      </c>
      <c r="C47" s="288" t="s">
        <v>487</v>
      </c>
      <c r="D47" s="288" t="s">
        <v>488</v>
      </c>
      <c r="E47" s="816">
        <v>1</v>
      </c>
      <c r="F47" s="826">
        <v>1500000</v>
      </c>
      <c r="G47" s="829">
        <v>1</v>
      </c>
      <c r="H47" s="284">
        <f t="shared" si="14"/>
        <v>3000000</v>
      </c>
      <c r="I47" s="816">
        <v>0.65</v>
      </c>
      <c r="J47" s="284" t="e">
        <f>H47*(('R3_Hydro_MEFA'!L185/(Macro!$D$16*Macro!$D$20*8*E47))^I47)</f>
        <v>#DIV/0!</v>
      </c>
      <c r="K47" s="829">
        <v>0.05</v>
      </c>
      <c r="L47" s="284" t="e">
        <f t="shared" si="11"/>
        <v>#DIV/0!</v>
      </c>
      <c r="M47" s="659">
        <f>IF(IF(Macro!$H$14=1,5,Macro!T74)=0,5,IF(Macro!$H$14=1,5,Macro!T113))</f>
        <v>5</v>
      </c>
      <c r="N47" s="284" t="e">
        <f t="shared" si="12"/>
        <v>#DIV/0!</v>
      </c>
      <c r="O47" t="s">
        <v>148</v>
      </c>
      <c r="P47" s="264"/>
    </row>
    <row r="48" spans="1:16" ht="17" x14ac:dyDescent="0.2">
      <c r="A48" s="1031"/>
      <c r="B48" s="288" t="s">
        <v>1070</v>
      </c>
      <c r="C48" s="288" t="s">
        <v>485</v>
      </c>
      <c r="D48" s="288" t="s">
        <v>478</v>
      </c>
      <c r="E48" s="816">
        <v>10</v>
      </c>
      <c r="F48" s="826">
        <v>175000</v>
      </c>
      <c r="G48" s="829">
        <v>1</v>
      </c>
      <c r="H48" s="284">
        <f t="shared" si="14"/>
        <v>350000</v>
      </c>
      <c r="I48" s="816">
        <v>0.52</v>
      </c>
      <c r="J48" s="284" t="e">
        <f>H48*(('R3_Hydro_MEFA'!L193/Macro!$D$16/Macro!$D$20/8/E48)^I48)</f>
        <v>#DIV/0!</v>
      </c>
      <c r="K48" s="829">
        <v>0.05</v>
      </c>
      <c r="L48" s="284" t="e">
        <f t="shared" si="11"/>
        <v>#DIV/0!</v>
      </c>
      <c r="M48" s="659">
        <f>IF(IF(Macro!$H$14=1,5,Macro!T75)=0,5,IF(Macro!$H$14=1,5,Macro!T114))</f>
        <v>5</v>
      </c>
      <c r="N48" s="284" t="e">
        <f t="shared" si="12"/>
        <v>#DIV/0!</v>
      </c>
      <c r="O48" t="s">
        <v>148</v>
      </c>
      <c r="P48" s="264"/>
    </row>
    <row r="49" spans="1:16" ht="17" x14ac:dyDescent="0.2">
      <c r="A49" s="1031"/>
      <c r="B49" s="288" t="s">
        <v>1071</v>
      </c>
      <c r="C49" s="288" t="s">
        <v>492</v>
      </c>
      <c r="D49" s="288" t="s">
        <v>478</v>
      </c>
      <c r="E49" s="816">
        <v>10</v>
      </c>
      <c r="F49" s="826">
        <v>35000</v>
      </c>
      <c r="G49" s="829">
        <v>1</v>
      </c>
      <c r="H49" s="284">
        <f t="shared" si="14"/>
        <v>70000</v>
      </c>
      <c r="I49" s="816">
        <v>0.75</v>
      </c>
      <c r="J49" s="284" t="e">
        <f>H49*(('R3_Hydro_MEFA'!L193/Macro!$D$16/Macro!$D$20/8/E49)^I49)</f>
        <v>#DIV/0!</v>
      </c>
      <c r="K49" s="829">
        <v>0.05</v>
      </c>
      <c r="L49" s="284" t="e">
        <f>K49*J49</f>
        <v>#DIV/0!</v>
      </c>
      <c r="M49" s="659">
        <f>IF(IF(Macro!$H$14=1,5,Macro!T76)=0,5,IF(Macro!$H$14=1,5,Macro!T115))</f>
        <v>5</v>
      </c>
      <c r="N49" s="284" t="e">
        <f t="shared" si="12"/>
        <v>#DIV/0!</v>
      </c>
      <c r="O49" t="s">
        <v>148</v>
      </c>
      <c r="P49" s="264"/>
    </row>
    <row r="50" spans="1:16" ht="17" thickBot="1" x14ac:dyDescent="0.25">
      <c r="A50" s="1032"/>
      <c r="B50" s="275" t="s">
        <v>24</v>
      </c>
      <c r="C50" s="749" t="s">
        <v>417</v>
      </c>
      <c r="D50" s="275" t="s">
        <v>488</v>
      </c>
      <c r="E50" s="835">
        <v>5</v>
      </c>
      <c r="F50" s="827">
        <v>1500000</v>
      </c>
      <c r="G50" s="830">
        <v>1</v>
      </c>
      <c r="H50" s="586">
        <f t="shared" si="14"/>
        <v>3000000</v>
      </c>
      <c r="I50" s="835">
        <v>0.65</v>
      </c>
      <c r="J50" s="621">
        <f>H50*(('R3_Hydro_MEFA'!L208/(Macro!$D$16*Macro!$D$20*8*E50))^I50)</f>
        <v>0</v>
      </c>
      <c r="K50" s="830">
        <v>0.05</v>
      </c>
      <c r="L50" s="621">
        <f>K50*J50</f>
        <v>0</v>
      </c>
      <c r="M50" s="661">
        <f>IF(IF(Macro!$H$14=1,5,Macro!T77)=0,5,IF(Macro!$H$14=1,5,Macro!T116))</f>
        <v>5</v>
      </c>
      <c r="N50" s="621">
        <f t="shared" si="12"/>
        <v>0</v>
      </c>
      <c r="O50" s="275" t="s">
        <v>148</v>
      </c>
      <c r="P50" s="278"/>
    </row>
    <row r="51" spans="1:16" x14ac:dyDescent="0.2">
      <c r="J51" s="285" t="e">
        <f>SUM(J12:J50)</f>
        <v>#DIV/0!</v>
      </c>
      <c r="L51" s="285" t="e">
        <f>SUM(L12:L50)</f>
        <v>#DIV/0!</v>
      </c>
      <c r="M51" s="285"/>
      <c r="N51" s="285" t="e">
        <f>SUM(N12:N50)</f>
        <v>#DIV/0!</v>
      </c>
    </row>
    <row r="52" spans="1:16" ht="22" thickBot="1" x14ac:dyDescent="0.25">
      <c r="A52" s="64" t="s">
        <v>698</v>
      </c>
    </row>
    <row r="53" spans="1:16" ht="81" thickBot="1" x14ac:dyDescent="0.25">
      <c r="A53" s="286" t="s">
        <v>86</v>
      </c>
      <c r="B53" s="381" t="s">
        <v>495</v>
      </c>
      <c r="C53" s="381" t="s">
        <v>699</v>
      </c>
      <c r="D53" s="381" t="s">
        <v>700</v>
      </c>
      <c r="E53" s="381" t="s">
        <v>635</v>
      </c>
      <c r="F53" s="381" t="s">
        <v>499</v>
      </c>
      <c r="G53" s="381" t="s">
        <v>500</v>
      </c>
      <c r="H53" s="381" t="s">
        <v>636</v>
      </c>
      <c r="I53" s="381" t="s">
        <v>637</v>
      </c>
      <c r="J53" s="381" t="s">
        <v>638</v>
      </c>
      <c r="K53" s="382" t="s">
        <v>504</v>
      </c>
    </row>
    <row r="54" spans="1:16" ht="16" x14ac:dyDescent="0.2">
      <c r="A54" s="1027" t="s">
        <v>259</v>
      </c>
      <c r="B54" s="69" t="s">
        <v>505</v>
      </c>
      <c r="C54" s="662" t="e">
        <f>ROUNDUP(E6/(210*8*E15)+E6/(210*8*2),0)</f>
        <v>#DIV/0!</v>
      </c>
      <c r="D54" s="914">
        <v>40000</v>
      </c>
      <c r="E54" s="831">
        <v>0.2</v>
      </c>
      <c r="F54" s="831">
        <v>0.5</v>
      </c>
      <c r="G54" s="272">
        <f>IF($E$9&gt;250,($E$9-250)/$E$9*0.5,0)</f>
        <v>0.12121212121212122</v>
      </c>
      <c r="H54" s="917">
        <f>(1+F54+E54+G54)*D54</f>
        <v>72848.484848484848</v>
      </c>
      <c r="I54" s="383">
        <f>H54/Macro!$D$16/8</f>
        <v>27.594123048668504</v>
      </c>
      <c r="J54" s="917" t="e">
        <f>H54*C54*(1+IF(Macro!D18=3,1/3,0))</f>
        <v>#DIV/0!</v>
      </c>
      <c r="K54" s="273"/>
    </row>
    <row r="55" spans="1:16" ht="17" thickBot="1" x14ac:dyDescent="0.25">
      <c r="A55" s="1029"/>
      <c r="B55" s="783" t="s">
        <v>506</v>
      </c>
      <c r="C55" t="e">
        <f>ROUNDUP(E6/(210*8*E15)+E6/(210*8*2),0)</f>
        <v>#DIV/0!</v>
      </c>
      <c r="D55" s="915">
        <v>60000</v>
      </c>
      <c r="E55" s="830">
        <v>0.2</v>
      </c>
      <c r="F55" s="830">
        <v>0.5</v>
      </c>
      <c r="G55" s="277">
        <f t="shared" ref="G55:G63" si="15">IF($E$9&gt;250,($E$9-250)/$E$9*0.5,0)</f>
        <v>0.12121212121212122</v>
      </c>
      <c r="H55" s="918">
        <f t="shared" ref="H55:H63" si="16">(1+F55+E55+G55)*D55</f>
        <v>109272.72727272728</v>
      </c>
      <c r="I55" s="385">
        <f>H55/Macro!$D$16/8</f>
        <v>41.391184573002761</v>
      </c>
      <c r="J55" s="918" t="e">
        <f>H55*C55*(1+IF(Macro!D18=3,1/3,0))</f>
        <v>#DIV/0!</v>
      </c>
      <c r="K55" s="278"/>
    </row>
    <row r="56" spans="1:16" ht="16" x14ac:dyDescent="0.2">
      <c r="A56" s="1030" t="s">
        <v>1098</v>
      </c>
      <c r="B56" s="784" t="s">
        <v>507</v>
      </c>
      <c r="C56" s="270">
        <f>2*ROUNDUP(Macro!D16/210,0)*Macro!D20</f>
        <v>12</v>
      </c>
      <c r="D56" s="914">
        <v>40000</v>
      </c>
      <c r="E56" s="831">
        <v>0.2</v>
      </c>
      <c r="F56" s="831">
        <v>0.5</v>
      </c>
      <c r="G56" s="272">
        <f t="shared" si="15"/>
        <v>0.12121212121212122</v>
      </c>
      <c r="H56" s="911">
        <f t="shared" si="16"/>
        <v>72848.484848484848</v>
      </c>
      <c r="I56" s="383">
        <f>H56/Macro!$D$16/8</f>
        <v>27.594123048668504</v>
      </c>
      <c r="J56" s="911">
        <f>H56*C56*(1+IF(Macro!D25=3,1/3,0))</f>
        <v>874181.81818181812</v>
      </c>
      <c r="K56" s="273"/>
    </row>
    <row r="57" spans="1:16" ht="17" thickBot="1" x14ac:dyDescent="0.25">
      <c r="A57" s="1031"/>
      <c r="B57" s="122" t="s">
        <v>508</v>
      </c>
      <c r="C57">
        <f>ROUNDUP(Macro!D16/210,0)*Macro!D20</f>
        <v>6</v>
      </c>
      <c r="D57" s="915">
        <v>60000</v>
      </c>
      <c r="E57" s="829">
        <v>0.2</v>
      </c>
      <c r="F57" s="829">
        <v>0.5</v>
      </c>
      <c r="G57" s="258">
        <f t="shared" si="15"/>
        <v>0.12121212121212122</v>
      </c>
      <c r="H57" s="913">
        <f t="shared" si="16"/>
        <v>109272.72727272728</v>
      </c>
      <c r="I57" s="384">
        <f>H57/Macro!$D$16/8</f>
        <v>41.391184573002761</v>
      </c>
      <c r="J57" s="913">
        <f>H57*C57*(1+IF(Macro!D25=3,1/3,0))</f>
        <v>655636.36363636365</v>
      </c>
      <c r="K57" s="264"/>
    </row>
    <row r="58" spans="1:16" ht="16" x14ac:dyDescent="0.2">
      <c r="A58" s="1030" t="s">
        <v>640</v>
      </c>
      <c r="B58" s="784" t="s">
        <v>507</v>
      </c>
      <c r="C58" s="270">
        <f>IF(Macro!D8=1,1,2)*ROUNDUP(Macro!D16/210,0)*Macro!D20</f>
        <v>12</v>
      </c>
      <c r="D58" s="914">
        <v>40000</v>
      </c>
      <c r="E58" s="831">
        <v>0.2</v>
      </c>
      <c r="F58" s="831">
        <v>0.5</v>
      </c>
      <c r="G58" s="272">
        <f t="shared" si="15"/>
        <v>0.12121212121212122</v>
      </c>
      <c r="H58" s="917">
        <f t="shared" si="16"/>
        <v>72848.484848484848</v>
      </c>
      <c r="I58" s="383">
        <f>H58/Macro!$D$16/8</f>
        <v>27.594123048668504</v>
      </c>
      <c r="J58" s="917">
        <f>H58*C58*(1+IF(Macro!D20=3,1/3,0))</f>
        <v>1165575.7575757573</v>
      </c>
      <c r="K58" s="273"/>
    </row>
    <row r="59" spans="1:16" ht="16" thickBot="1" x14ac:dyDescent="0.25">
      <c r="A59" s="1031"/>
      <c r="B59" t="s">
        <v>508</v>
      </c>
      <c r="C59">
        <f>ROUNDUP(Macro!D16/210,0)*Macro!D20</f>
        <v>6</v>
      </c>
      <c r="D59" s="915">
        <v>60000</v>
      </c>
      <c r="E59" s="829">
        <v>0.2</v>
      </c>
      <c r="F59" s="829">
        <v>0.5</v>
      </c>
      <c r="G59" s="258">
        <f t="shared" si="15"/>
        <v>0.12121212121212122</v>
      </c>
      <c r="H59" s="919">
        <f t="shared" si="16"/>
        <v>109272.72727272728</v>
      </c>
      <c r="I59" s="384">
        <f>H59/Macro!$D$16/8</f>
        <v>41.391184573002761</v>
      </c>
      <c r="J59" s="919">
        <f>H59*C59*(1+IF(Macro!D20=3,1/3,0))</f>
        <v>874181.81818181812</v>
      </c>
      <c r="K59" s="264"/>
    </row>
    <row r="60" spans="1:16" ht="16" x14ac:dyDescent="0.2">
      <c r="A60" s="1027" t="s">
        <v>509</v>
      </c>
      <c r="B60" s="784" t="s">
        <v>507</v>
      </c>
      <c r="C60" s="270">
        <f>IF(Macro!D8=1,1,2)*ROUNDUP(Macro!D16/210,0)*Macro!D20</f>
        <v>12</v>
      </c>
      <c r="D60" s="914">
        <v>40000</v>
      </c>
      <c r="E60" s="831">
        <v>0.2</v>
      </c>
      <c r="F60" s="831">
        <v>0.5</v>
      </c>
      <c r="G60" s="272">
        <f t="shared" si="15"/>
        <v>0.12121212121212122</v>
      </c>
      <c r="H60" s="917">
        <f t="shared" ref="H60:H61" si="17">(1+F60+E60+G60)*D60</f>
        <v>72848.484848484848</v>
      </c>
      <c r="I60" s="383">
        <f>H60/Macro!$D$16/8</f>
        <v>27.594123048668504</v>
      </c>
      <c r="J60" s="917">
        <f>H60*C60*(1+IF(Macro!D18=3,1/3,0))</f>
        <v>874181.81818181812</v>
      </c>
      <c r="K60" s="273"/>
    </row>
    <row r="61" spans="1:16" ht="16" thickBot="1" x14ac:dyDescent="0.25">
      <c r="A61" s="1029"/>
      <c r="B61" s="275" t="s">
        <v>508</v>
      </c>
      <c r="C61" s="275">
        <f>ROUNDUP(Macro!D16/210,0)*Macro!D20</f>
        <v>6</v>
      </c>
      <c r="D61" s="915">
        <v>60000</v>
      </c>
      <c r="E61" s="830">
        <v>0.2</v>
      </c>
      <c r="F61" s="830">
        <v>0.5</v>
      </c>
      <c r="G61" s="277">
        <f t="shared" si="15"/>
        <v>0.12121212121212122</v>
      </c>
      <c r="H61" s="918">
        <f t="shared" si="17"/>
        <v>109272.72727272728</v>
      </c>
      <c r="I61" s="385">
        <f>H61/Macro!$D$16/8</f>
        <v>41.391184573002761</v>
      </c>
      <c r="J61" s="918">
        <f>H61*C61*(1+IF(Macro!D18=3,1/3,0))</f>
        <v>655636.36363636365</v>
      </c>
      <c r="K61" s="278"/>
    </row>
    <row r="62" spans="1:16" ht="16" x14ac:dyDescent="0.2">
      <c r="A62" s="1027" t="s">
        <v>510</v>
      </c>
      <c r="B62" s="784" t="s">
        <v>507</v>
      </c>
      <c r="C62" s="270">
        <f>IF(Macro!D8=1,1,2)*ROUNDUP(Macro!D16/210,0)*Macro!D20</f>
        <v>12</v>
      </c>
      <c r="D62" s="914">
        <v>40000</v>
      </c>
      <c r="E62" s="831">
        <v>0.2</v>
      </c>
      <c r="F62" s="831">
        <v>0.5</v>
      </c>
      <c r="G62" s="272">
        <f t="shared" si="15"/>
        <v>0.12121212121212122</v>
      </c>
      <c r="H62" s="917">
        <f t="shared" si="16"/>
        <v>72848.484848484848</v>
      </c>
      <c r="I62" s="383">
        <f>H62/Macro!$D$16/8</f>
        <v>27.594123048668504</v>
      </c>
      <c r="J62" s="917">
        <f>H62*C62*(1+IF(Macro!D20=3,1/3,0))</f>
        <v>1165575.7575757573</v>
      </c>
      <c r="K62" s="273"/>
    </row>
    <row r="63" spans="1:16" ht="16" thickBot="1" x14ac:dyDescent="0.25">
      <c r="A63" s="1029"/>
      <c r="B63" s="275" t="s">
        <v>508</v>
      </c>
      <c r="C63" s="275">
        <f>ROUNDUP(Macro!D16/210,0)*Macro!D20</f>
        <v>6</v>
      </c>
      <c r="D63" s="915">
        <v>60000</v>
      </c>
      <c r="E63" s="830">
        <v>0.2</v>
      </c>
      <c r="F63" s="830">
        <v>0.5</v>
      </c>
      <c r="G63" s="277">
        <f t="shared" si="15"/>
        <v>0.12121212121212122</v>
      </c>
      <c r="H63" s="918">
        <f t="shared" si="16"/>
        <v>109272.72727272728</v>
      </c>
      <c r="I63" s="385">
        <f>H63/Macro!$D$16/8</f>
        <v>41.391184573002761</v>
      </c>
      <c r="J63" s="918">
        <f>H63*C63*(1+IF(Macro!D20=3,1/3,0))</f>
        <v>874181.81818181812</v>
      </c>
      <c r="K63" s="278"/>
    </row>
    <row r="64" spans="1:16" x14ac:dyDescent="0.2">
      <c r="J64" s="919" t="e">
        <f>SUM(J54:J63)</f>
        <v>#DIV/0!</v>
      </c>
    </row>
  </sheetData>
  <mergeCells count="11">
    <mergeCell ref="A12:A15"/>
    <mergeCell ref="A62:A63"/>
    <mergeCell ref="A16:A17"/>
    <mergeCell ref="A54:A55"/>
    <mergeCell ref="A58:A59"/>
    <mergeCell ref="A18:A21"/>
    <mergeCell ref="A22:A25"/>
    <mergeCell ref="A26:A37"/>
    <mergeCell ref="A38:A50"/>
    <mergeCell ref="A56:A57"/>
    <mergeCell ref="A60:A61"/>
  </mergeCells>
  <pageMargins left="0.7" right="0.7" top="0.78740157499999996" bottom="0.78740157499999996"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Tabelle13">
    <tabColor theme="0" tint="-0.499984740745262"/>
  </sheetPr>
  <dimension ref="A1:V179"/>
  <sheetViews>
    <sheetView zoomScale="60" zoomScaleNormal="60" workbookViewId="0"/>
  </sheetViews>
  <sheetFormatPr baseColWidth="10" defaultColWidth="11.5" defaultRowHeight="15" x14ac:dyDescent="0.2"/>
  <cols>
    <col min="1" max="1" width="61.5" bestFit="1" customWidth="1"/>
    <col min="2" max="2" width="46.83203125" bestFit="1" customWidth="1"/>
    <col min="3" max="3" width="48.5" bestFit="1" customWidth="1"/>
    <col min="4" max="4" width="12.5" bestFit="1" customWidth="1"/>
    <col min="5" max="5" width="31.6640625" bestFit="1" customWidth="1"/>
    <col min="6" max="6" width="22.5" bestFit="1" customWidth="1"/>
    <col min="7" max="7" width="20.1640625" bestFit="1" customWidth="1"/>
    <col min="8" max="9" width="15.1640625" customWidth="1"/>
    <col min="10" max="10" width="17.5" customWidth="1"/>
    <col min="11" max="11" width="25" style="181" bestFit="1" customWidth="1"/>
    <col min="12" max="12" width="31.83203125" style="181" customWidth="1"/>
    <col min="13" max="17" width="20.6640625" customWidth="1"/>
    <col min="18" max="18" width="45.5" bestFit="1" customWidth="1"/>
    <col min="19" max="19" width="44.83203125" bestFit="1" customWidth="1"/>
    <col min="20" max="20" width="21.1640625" customWidth="1"/>
  </cols>
  <sheetData>
    <row r="1" spans="1:22" ht="21" x14ac:dyDescent="0.25">
      <c r="A1" s="189" t="s">
        <v>701</v>
      </c>
    </row>
    <row r="2" spans="1:22" ht="19" x14ac:dyDescent="0.25">
      <c r="A2" s="292"/>
    </row>
    <row r="3" spans="1:22" ht="22" thickBot="1" x14ac:dyDescent="0.3">
      <c r="A3" s="189" t="s">
        <v>108</v>
      </c>
    </row>
    <row r="4" spans="1:22" s="547" customFormat="1" ht="49" thickBot="1" x14ac:dyDescent="0.25">
      <c r="A4" s="648" t="s">
        <v>494</v>
      </c>
      <c r="B4" s="648" t="s">
        <v>292</v>
      </c>
      <c r="C4" s="648" t="s">
        <v>702</v>
      </c>
      <c r="D4" s="648" t="s">
        <v>447</v>
      </c>
      <c r="E4" s="648" t="s">
        <v>263</v>
      </c>
      <c r="F4" s="648" t="s">
        <v>703</v>
      </c>
      <c r="G4" s="648" t="s">
        <v>704</v>
      </c>
      <c r="H4" s="648" t="s">
        <v>705</v>
      </c>
      <c r="I4" s="648" t="s">
        <v>706</v>
      </c>
      <c r="J4" s="648" t="s">
        <v>263</v>
      </c>
      <c r="K4" s="653" t="s">
        <v>707</v>
      </c>
      <c r="L4" s="653" t="s">
        <v>708</v>
      </c>
      <c r="M4" s="648" t="s">
        <v>709</v>
      </c>
      <c r="N4" s="648" t="s">
        <v>710</v>
      </c>
      <c r="O4" s="654" t="s">
        <v>711</v>
      </c>
      <c r="P4" s="648" t="s">
        <v>712</v>
      </c>
      <c r="Q4" s="648" t="s">
        <v>713</v>
      </c>
      <c r="R4" s="648" t="s">
        <v>621</v>
      </c>
      <c r="S4" s="648" t="s">
        <v>333</v>
      </c>
    </row>
    <row r="5" spans="1:22" x14ac:dyDescent="0.2">
      <c r="A5" s="1027" t="s">
        <v>259</v>
      </c>
      <c r="B5" s="269" t="s">
        <v>175</v>
      </c>
      <c r="C5" s="269" t="s">
        <v>714</v>
      </c>
      <c r="D5" s="852">
        <v>6</v>
      </c>
      <c r="E5" s="269" t="s">
        <v>1085</v>
      </c>
      <c r="F5" s="279"/>
      <c r="G5" s="553"/>
      <c r="H5" s="541"/>
      <c r="I5" s="541"/>
      <c r="J5" s="541"/>
      <c r="K5" s="279"/>
      <c r="L5" s="561"/>
      <c r="M5" s="546"/>
      <c r="N5" s="546"/>
      <c r="O5" s="582"/>
      <c r="P5" s="546"/>
      <c r="Q5" s="546"/>
      <c r="R5" s="270"/>
      <c r="S5" s="273"/>
    </row>
    <row r="6" spans="1:22" x14ac:dyDescent="0.2">
      <c r="A6" s="1028"/>
      <c r="B6" s="288" t="s">
        <v>176</v>
      </c>
      <c r="C6" s="288" t="s">
        <v>464</v>
      </c>
      <c r="D6" s="832">
        <v>0.33333333333333331</v>
      </c>
      <c r="E6" s="288" t="s">
        <v>1085</v>
      </c>
      <c r="F6" s="181"/>
      <c r="G6" s="548"/>
      <c r="H6" s="542"/>
      <c r="I6" s="542"/>
      <c r="J6" s="542"/>
      <c r="L6" s="562"/>
      <c r="M6" s="459"/>
      <c r="N6" s="459"/>
      <c r="O6" s="583"/>
      <c r="P6" s="459"/>
      <c r="Q6" s="459"/>
      <c r="S6" s="264"/>
    </row>
    <row r="7" spans="1:22" x14ac:dyDescent="0.2">
      <c r="A7" s="1028"/>
      <c r="B7" s="288" t="s">
        <v>177</v>
      </c>
      <c r="C7" s="288" t="s">
        <v>466</v>
      </c>
      <c r="D7" s="832">
        <v>6</v>
      </c>
      <c r="E7" s="288" t="s">
        <v>1086</v>
      </c>
      <c r="F7" s="181"/>
      <c r="G7" s="548"/>
      <c r="H7" s="542"/>
      <c r="I7" s="542"/>
      <c r="J7" s="542"/>
      <c r="L7" s="562"/>
      <c r="M7" s="459"/>
      <c r="N7" s="459"/>
      <c r="O7" s="583"/>
      <c r="P7" s="459"/>
      <c r="Q7" s="459"/>
      <c r="S7" s="264"/>
    </row>
    <row r="8" spans="1:22" x14ac:dyDescent="0.2">
      <c r="A8" s="1028"/>
      <c r="B8" s="288" t="s">
        <v>297</v>
      </c>
      <c r="C8" s="288" t="s">
        <v>715</v>
      </c>
      <c r="D8" s="832">
        <v>0.27</v>
      </c>
      <c r="E8" s="288" t="s">
        <v>1085</v>
      </c>
      <c r="F8" s="181"/>
      <c r="G8" s="548"/>
      <c r="H8" s="542"/>
      <c r="I8" s="542"/>
      <c r="J8" s="542"/>
      <c r="L8" s="562"/>
      <c r="M8" s="459"/>
      <c r="N8" s="459"/>
      <c r="O8" s="583"/>
      <c r="P8" s="459"/>
      <c r="Q8" s="459"/>
      <c r="S8" s="264"/>
    </row>
    <row r="9" spans="1:22" ht="16" thickBot="1" x14ac:dyDescent="0.25">
      <c r="A9" s="1029"/>
      <c r="B9" s="289" t="s">
        <v>259</v>
      </c>
      <c r="C9" s="289" t="s">
        <v>716</v>
      </c>
      <c r="D9" s="833">
        <v>0.5</v>
      </c>
      <c r="E9" s="289" t="s">
        <v>1085</v>
      </c>
      <c r="F9" s="280"/>
      <c r="G9" s="550"/>
      <c r="H9" s="544"/>
      <c r="I9" s="544"/>
      <c r="J9" s="544"/>
      <c r="K9" s="280"/>
      <c r="L9" s="563"/>
      <c r="M9" s="556"/>
      <c r="N9" s="556"/>
      <c r="O9" s="584"/>
      <c r="P9" s="556"/>
      <c r="Q9" s="556"/>
      <c r="R9" s="275"/>
      <c r="S9" s="278"/>
    </row>
    <row r="10" spans="1:22" x14ac:dyDescent="0.2">
      <c r="A10" s="1027" t="s">
        <v>260</v>
      </c>
      <c r="B10" s="288" t="s">
        <v>717</v>
      </c>
      <c r="C10" s="288" t="s">
        <v>718</v>
      </c>
      <c r="D10" s="181"/>
      <c r="E10" s="288"/>
      <c r="F10" s="181"/>
      <c r="G10" s="548"/>
      <c r="H10" s="549"/>
      <c r="I10" s="497"/>
      <c r="J10" s="549"/>
      <c r="L10" s="565"/>
      <c r="M10" s="497"/>
      <c r="N10" s="497"/>
      <c r="O10" s="585"/>
      <c r="P10" s="459"/>
      <c r="Q10" s="459"/>
      <c r="S10" s="264"/>
    </row>
    <row r="11" spans="1:22" x14ac:dyDescent="0.2">
      <c r="A11" s="1028"/>
      <c r="B11" s="288" t="s">
        <v>197</v>
      </c>
      <c r="C11" s="288" t="s">
        <v>689</v>
      </c>
      <c r="D11" s="832">
        <v>1.5</v>
      </c>
      <c r="E11" s="288" t="s">
        <v>1090</v>
      </c>
      <c r="F11" s="853">
        <v>5</v>
      </c>
      <c r="G11" s="829">
        <v>0.4</v>
      </c>
      <c r="H11" s="655">
        <f>(1+G11)*F11</f>
        <v>7</v>
      </c>
      <c r="I11" s="497" t="e">
        <f>M11/N11</f>
        <v>#DIV/0!</v>
      </c>
      <c r="J11" s="549" t="s">
        <v>1090</v>
      </c>
      <c r="K11" s="832">
        <v>0.8</v>
      </c>
      <c r="L11" s="565" t="e">
        <f>H11*(I11/D11)^K11</f>
        <v>#DIV/0!</v>
      </c>
      <c r="M11" s="577" t="e">
        <f>'R1_MEFA'!C6</f>
        <v>#DIV/0!</v>
      </c>
      <c r="N11" s="577">
        <f>Macro!$D$16*Macro!$D$20*8</f>
        <v>7920</v>
      </c>
      <c r="O11" s="642" t="e">
        <f>N11*F11/(D11/I11)</f>
        <v>#DIV/0!</v>
      </c>
      <c r="P11" s="497"/>
      <c r="Q11" s="497" t="e">
        <f>M11/I11</f>
        <v>#DIV/0!</v>
      </c>
      <c r="R11" t="s">
        <v>467</v>
      </c>
      <c r="S11" s="264"/>
    </row>
    <row r="12" spans="1:22" x14ac:dyDescent="0.2">
      <c r="A12" s="1028"/>
      <c r="B12" s="288" t="s">
        <v>690</v>
      </c>
      <c r="C12" s="288" t="s">
        <v>691</v>
      </c>
      <c r="D12" s="832">
        <v>20</v>
      </c>
      <c r="E12" s="288" t="s">
        <v>515</v>
      </c>
      <c r="F12" s="853">
        <v>200</v>
      </c>
      <c r="G12" s="829">
        <v>0</v>
      </c>
      <c r="H12" s="549">
        <f t="shared" ref="H12:H23" si="0">(1+G12)*F12</f>
        <v>200</v>
      </c>
      <c r="I12" s="497" t="e">
        <f t="shared" ref="I12:I23" si="1">M12/N12</f>
        <v>#DIV/0!</v>
      </c>
      <c r="J12" s="549" t="s">
        <v>515</v>
      </c>
      <c r="K12" s="832">
        <v>0.8</v>
      </c>
      <c r="L12" s="565" t="e">
        <f>H12*(I12/D12)^K12</f>
        <v>#DIV/0!</v>
      </c>
      <c r="M12" s="577" t="e">
        <f>'R1_MEFA'!$C$54</f>
        <v>#DIV/0!</v>
      </c>
      <c r="N12" s="577">
        <f>Macro!$D$16*Macro!$D$20*8</f>
        <v>7920</v>
      </c>
      <c r="O12" s="642" t="e">
        <f>N12*F12/(D12/I12)</f>
        <v>#DIV/0!</v>
      </c>
      <c r="P12" s="497"/>
      <c r="Q12" s="497"/>
      <c r="R12" t="s">
        <v>719</v>
      </c>
      <c r="S12" s="264"/>
    </row>
    <row r="13" spans="1:22" ht="16" thickBot="1" x14ac:dyDescent="0.25">
      <c r="A13" s="1028"/>
      <c r="B13" s="288" t="s">
        <v>690</v>
      </c>
      <c r="C13" s="288" t="s">
        <v>692</v>
      </c>
      <c r="D13" s="832">
        <v>20</v>
      </c>
      <c r="E13" s="288" t="s">
        <v>515</v>
      </c>
      <c r="F13" s="853">
        <v>200</v>
      </c>
      <c r="G13" s="829">
        <v>0</v>
      </c>
      <c r="H13" s="549">
        <f>(1+G13)*F13</f>
        <v>200</v>
      </c>
      <c r="I13" s="497" t="e">
        <f>M13/N13</f>
        <v>#DIV/0!</v>
      </c>
      <c r="J13" s="549" t="s">
        <v>515</v>
      </c>
      <c r="K13" s="832">
        <v>0.8</v>
      </c>
      <c r="L13" s="565" t="e">
        <f>H13*(I13/D13)^K13</f>
        <v>#DIV/0!</v>
      </c>
      <c r="M13" s="577" t="e">
        <f>'R1_MEFA'!$C$59</f>
        <v>#DIV/0!</v>
      </c>
      <c r="N13" s="577">
        <f>Macro!$D$16*Macro!$D$20*8</f>
        <v>7920</v>
      </c>
      <c r="O13" s="642" t="e">
        <f>N13*F13/(D13/I13)</f>
        <v>#DIV/0!</v>
      </c>
      <c r="P13" s="497"/>
      <c r="Q13" s="497"/>
      <c r="R13" t="s">
        <v>719</v>
      </c>
      <c r="S13" s="264"/>
    </row>
    <row r="14" spans="1:22" ht="17" x14ac:dyDescent="0.2">
      <c r="A14" s="1030" t="s">
        <v>509</v>
      </c>
      <c r="B14" s="784" t="s">
        <v>477</v>
      </c>
      <c r="C14" s="270" t="s">
        <v>344</v>
      </c>
      <c r="D14" s="834">
        <v>2</v>
      </c>
      <c r="E14" s="269" t="s">
        <v>478</v>
      </c>
      <c r="F14" s="834">
        <v>350</v>
      </c>
      <c r="G14" s="831">
        <v>0.4</v>
      </c>
      <c r="H14" s="554">
        <f>(1+G14)*(F14/800*140)</f>
        <v>85.75</v>
      </c>
      <c r="I14" s="555" t="e">
        <f>M14/N14</f>
        <v>#DIV/0!</v>
      </c>
      <c r="J14" s="554" t="s">
        <v>441</v>
      </c>
      <c r="K14" s="852">
        <v>0.8</v>
      </c>
      <c r="L14" s="564" t="e">
        <f>H14*(I14/D14)^K14</f>
        <v>#DIV/0!</v>
      </c>
      <c r="M14" s="639" t="e">
        <f>'R1_Hydro_MEFA'!$L$19</f>
        <v>#DIV/0!</v>
      </c>
      <c r="N14" s="639">
        <f>Macro!$D$16*Macro!$D$20*8</f>
        <v>7920</v>
      </c>
      <c r="O14" s="641" t="e">
        <f t="shared" ref="O14:O23" si="2">L14*N14</f>
        <v>#DIV/0!</v>
      </c>
      <c r="P14" s="854">
        <f>120/60</f>
        <v>2</v>
      </c>
      <c r="Q14" s="555" t="e">
        <f>M14/I14</f>
        <v>#DIV/0!</v>
      </c>
      <c r="R14" s="270" t="s">
        <v>148</v>
      </c>
      <c r="S14" s="273"/>
      <c r="V14" s="559"/>
    </row>
    <row r="15" spans="1:22" ht="17" x14ac:dyDescent="0.2">
      <c r="A15" s="1031"/>
      <c r="B15" s="122" t="s">
        <v>217</v>
      </c>
      <c r="C15" t="s">
        <v>479</v>
      </c>
      <c r="D15" s="816">
        <v>10</v>
      </c>
      <c r="E15" s="288" t="s">
        <v>478</v>
      </c>
      <c r="F15" s="816">
        <v>24</v>
      </c>
      <c r="G15" s="829">
        <v>0.4</v>
      </c>
      <c r="H15" s="542">
        <f t="shared" si="0"/>
        <v>33.599999999999994</v>
      </c>
      <c r="I15" s="459" t="e">
        <f t="shared" si="1"/>
        <v>#DIV/0!</v>
      </c>
      <c r="J15" s="542" t="s">
        <v>441</v>
      </c>
      <c r="K15" s="832">
        <v>0.8</v>
      </c>
      <c r="L15" s="565" t="e">
        <f t="shared" ref="L15:L23" si="3">H15*(I15/D15)^K15</f>
        <v>#DIV/0!</v>
      </c>
      <c r="M15" s="577" t="e">
        <f>'R1_Hydro_MEFA'!$L$26</f>
        <v>#DIV/0!</v>
      </c>
      <c r="N15" s="577">
        <f>Macro!$D$16*Macro!$D$20*8</f>
        <v>7920</v>
      </c>
      <c r="O15" s="642" t="e">
        <f t="shared" si="2"/>
        <v>#DIV/0!</v>
      </c>
      <c r="P15" s="855">
        <f>15/60</f>
        <v>0.25</v>
      </c>
      <c r="Q15" s="578" t="e">
        <f>M15/I15</f>
        <v>#DIV/0!</v>
      </c>
      <c r="R15" t="s">
        <v>148</v>
      </c>
      <c r="S15" s="264"/>
      <c r="V15" s="559"/>
    </row>
    <row r="16" spans="1:22" ht="17" x14ac:dyDescent="0.2">
      <c r="A16" s="1031"/>
      <c r="B16" t="s">
        <v>223</v>
      </c>
      <c r="C16" t="s">
        <v>479</v>
      </c>
      <c r="D16" s="816">
        <v>10</v>
      </c>
      <c r="E16" s="288" t="s">
        <v>478</v>
      </c>
      <c r="F16" s="816">
        <v>24</v>
      </c>
      <c r="G16" s="829">
        <v>0.4</v>
      </c>
      <c r="H16" s="542">
        <f t="shared" si="0"/>
        <v>33.599999999999994</v>
      </c>
      <c r="I16" s="459" t="e">
        <f t="shared" si="1"/>
        <v>#DIV/0!</v>
      </c>
      <c r="J16" s="542" t="s">
        <v>441</v>
      </c>
      <c r="K16" s="832">
        <v>0.8</v>
      </c>
      <c r="L16" s="565" t="e">
        <f>H16*(I16/D16)^K16</f>
        <v>#DIV/0!</v>
      </c>
      <c r="M16" s="577" t="e">
        <f>'R1_Hydro_MEFA'!$L$33</f>
        <v>#DIV/0!</v>
      </c>
      <c r="N16" s="577">
        <f>Macro!$D$16*Macro!$D$20*8</f>
        <v>7920</v>
      </c>
      <c r="O16" s="642" t="e">
        <f t="shared" si="2"/>
        <v>#DIV/0!</v>
      </c>
      <c r="P16" s="856">
        <f>60/60</f>
        <v>1</v>
      </c>
      <c r="Q16" s="497" t="e">
        <f t="shared" ref="Q16:Q34" si="4">M16/I16</f>
        <v>#DIV/0!</v>
      </c>
      <c r="R16" t="s">
        <v>148</v>
      </c>
      <c r="S16" s="264"/>
      <c r="V16" s="495"/>
    </row>
    <row r="17" spans="1:22" ht="17" x14ac:dyDescent="0.2">
      <c r="A17" s="1031"/>
      <c r="B17" t="s">
        <v>224</v>
      </c>
      <c r="C17" t="s">
        <v>480</v>
      </c>
      <c r="D17" s="816">
        <v>10</v>
      </c>
      <c r="E17" s="288" t="s">
        <v>478</v>
      </c>
      <c r="F17" s="816">
        <v>18.5</v>
      </c>
      <c r="G17" s="829">
        <v>0.4</v>
      </c>
      <c r="H17" s="542">
        <f t="shared" si="0"/>
        <v>25.9</v>
      </c>
      <c r="I17" s="459" t="e">
        <f t="shared" si="1"/>
        <v>#DIV/0!</v>
      </c>
      <c r="J17" s="542" t="s">
        <v>441</v>
      </c>
      <c r="K17" s="832">
        <v>0.8</v>
      </c>
      <c r="L17" s="565" t="e">
        <f t="shared" si="3"/>
        <v>#DIV/0!</v>
      </c>
      <c r="M17" s="577" t="e">
        <f>'R1_Hydro_MEFA'!$L$33</f>
        <v>#DIV/0!</v>
      </c>
      <c r="N17" s="577">
        <f>Macro!$D$16*Macro!$D$20*8</f>
        <v>7920</v>
      </c>
      <c r="O17" s="642" t="e">
        <f t="shared" si="2"/>
        <v>#DIV/0!</v>
      </c>
      <c r="P17" s="856">
        <f>10/60</f>
        <v>0.16666666666666666</v>
      </c>
      <c r="Q17" s="497" t="e">
        <f t="shared" si="4"/>
        <v>#DIV/0!</v>
      </c>
      <c r="R17" t="s">
        <v>148</v>
      </c>
      <c r="S17" s="264"/>
      <c r="V17" s="495"/>
    </row>
    <row r="18" spans="1:22" ht="17" x14ac:dyDescent="0.2">
      <c r="A18" s="1031"/>
      <c r="B18" t="s">
        <v>357</v>
      </c>
      <c r="C18" t="s">
        <v>479</v>
      </c>
      <c r="D18" s="816">
        <v>10</v>
      </c>
      <c r="E18" s="288" t="s">
        <v>478</v>
      </c>
      <c r="F18" s="816">
        <v>24</v>
      </c>
      <c r="G18" s="829">
        <v>0.4</v>
      </c>
      <c r="H18" s="542">
        <f t="shared" si="0"/>
        <v>33.599999999999994</v>
      </c>
      <c r="I18" s="459" t="e">
        <f t="shared" si="1"/>
        <v>#DIV/0!</v>
      </c>
      <c r="J18" s="542" t="s">
        <v>441</v>
      </c>
      <c r="K18" s="832">
        <v>0.8</v>
      </c>
      <c r="L18" s="565" t="e">
        <f t="shared" si="3"/>
        <v>#DIV/0!</v>
      </c>
      <c r="M18" s="577" t="e">
        <f>'R1_Hydro_MEFA'!$L$48</f>
        <v>#DIV/0!</v>
      </c>
      <c r="N18" s="577">
        <f>Macro!$D$16*Macro!$D$20*8</f>
        <v>7920</v>
      </c>
      <c r="O18" s="642" t="e">
        <f t="shared" si="2"/>
        <v>#DIV/0!</v>
      </c>
      <c r="P18" s="856">
        <f>15/60</f>
        <v>0.25</v>
      </c>
      <c r="Q18" s="497" t="e">
        <f t="shared" si="4"/>
        <v>#DIV/0!</v>
      </c>
      <c r="R18" t="s">
        <v>148</v>
      </c>
      <c r="S18" s="264"/>
      <c r="V18" s="495"/>
    </row>
    <row r="19" spans="1:22" ht="17" x14ac:dyDescent="0.2">
      <c r="A19" s="1031"/>
      <c r="B19" s="122" t="s">
        <v>481</v>
      </c>
      <c r="C19" t="s">
        <v>479</v>
      </c>
      <c r="D19" s="816">
        <v>10</v>
      </c>
      <c r="E19" s="288" t="s">
        <v>478</v>
      </c>
      <c r="F19" s="816">
        <v>24</v>
      </c>
      <c r="G19" s="829">
        <v>0.4</v>
      </c>
      <c r="H19" s="542">
        <f t="shared" si="0"/>
        <v>33.599999999999994</v>
      </c>
      <c r="I19" s="459" t="e">
        <f t="shared" si="1"/>
        <v>#DIV/0!</v>
      </c>
      <c r="J19" s="542" t="s">
        <v>441</v>
      </c>
      <c r="K19" s="832">
        <v>0.8</v>
      </c>
      <c r="L19" s="565" t="e">
        <f t="shared" si="3"/>
        <v>#DIV/0!</v>
      </c>
      <c r="M19" s="577" t="e">
        <f>'R1_Hydro_MEFA'!$L$55</f>
        <v>#DIV/0!</v>
      </c>
      <c r="N19" s="577">
        <f>Macro!$D$16*Macro!$D$20*8</f>
        <v>7920</v>
      </c>
      <c r="O19" s="642" t="e">
        <f t="shared" si="2"/>
        <v>#DIV/0!</v>
      </c>
      <c r="P19" s="952">
        <f>30/60</f>
        <v>0.5</v>
      </c>
      <c r="Q19" s="497" t="e">
        <f t="shared" si="4"/>
        <v>#DIV/0!</v>
      </c>
      <c r="R19" t="s">
        <v>148</v>
      </c>
      <c r="S19" s="264"/>
      <c r="V19" s="495"/>
    </row>
    <row r="20" spans="1:22" ht="17" x14ac:dyDescent="0.2">
      <c r="A20" s="1031"/>
      <c r="B20" t="s">
        <v>360</v>
      </c>
      <c r="C20" t="s">
        <v>693</v>
      </c>
      <c r="D20" s="816">
        <v>10</v>
      </c>
      <c r="E20" s="288" t="s">
        <v>478</v>
      </c>
      <c r="F20" s="816">
        <v>18.5</v>
      </c>
      <c r="G20" s="829">
        <v>0.4</v>
      </c>
      <c r="H20" s="542">
        <f t="shared" si="0"/>
        <v>25.9</v>
      </c>
      <c r="I20" s="459" t="e">
        <f t="shared" si="1"/>
        <v>#DIV/0!</v>
      </c>
      <c r="J20" s="542" t="s">
        <v>441</v>
      </c>
      <c r="K20" s="832">
        <v>0.8</v>
      </c>
      <c r="L20" s="565" t="e">
        <f t="shared" si="3"/>
        <v>#DIV/0!</v>
      </c>
      <c r="M20" s="577" t="e">
        <f>'R1_Hydro_MEFA'!$L$55</f>
        <v>#DIV/0!</v>
      </c>
      <c r="N20" s="577">
        <f>Macro!$D$16*Macro!$D$20*8</f>
        <v>7920</v>
      </c>
      <c r="O20" s="642" t="e">
        <f t="shared" si="2"/>
        <v>#DIV/0!</v>
      </c>
      <c r="P20" s="856">
        <f>10/60</f>
        <v>0.16666666666666666</v>
      </c>
      <c r="Q20" s="497" t="e">
        <f t="shared" si="4"/>
        <v>#DIV/0!</v>
      </c>
      <c r="R20" t="s">
        <v>148</v>
      </c>
      <c r="S20" s="264"/>
      <c r="V20" s="495"/>
    </row>
    <row r="21" spans="1:22" ht="17" x14ac:dyDescent="0.2">
      <c r="A21" s="1031"/>
      <c r="B21" t="s">
        <v>484</v>
      </c>
      <c r="C21" t="s">
        <v>479</v>
      </c>
      <c r="D21" s="816">
        <v>10</v>
      </c>
      <c r="E21" s="288" t="s">
        <v>478</v>
      </c>
      <c r="F21" s="816">
        <v>24</v>
      </c>
      <c r="G21" s="829">
        <v>0.4</v>
      </c>
      <c r="H21" s="542">
        <f t="shared" si="0"/>
        <v>33.599999999999994</v>
      </c>
      <c r="I21" s="459" t="e">
        <f t="shared" si="1"/>
        <v>#DIV/0!</v>
      </c>
      <c r="J21" s="542" t="s">
        <v>441</v>
      </c>
      <c r="K21" s="832">
        <v>0.8</v>
      </c>
      <c r="L21" s="565" t="e">
        <f t="shared" si="3"/>
        <v>#DIV/0!</v>
      </c>
      <c r="M21" s="495" t="e">
        <f>'R1_Hydro_MEFA'!$L$61</f>
        <v>#DIV/0!</v>
      </c>
      <c r="N21" s="577">
        <f>Macro!$D$16*Macro!$D$20*8</f>
        <v>7920</v>
      </c>
      <c r="O21" s="642" t="e">
        <f t="shared" si="2"/>
        <v>#DIV/0!</v>
      </c>
      <c r="P21" s="952">
        <f>10/60</f>
        <v>0.16666666666666666</v>
      </c>
      <c r="Q21" s="497" t="e">
        <f t="shared" si="4"/>
        <v>#DIV/0!</v>
      </c>
      <c r="R21" t="s">
        <v>148</v>
      </c>
      <c r="S21" s="264"/>
      <c r="V21" s="495"/>
    </row>
    <row r="22" spans="1:22" ht="17" x14ac:dyDescent="0.2">
      <c r="A22" s="1031"/>
      <c r="B22" t="s">
        <v>373</v>
      </c>
      <c r="C22" t="s">
        <v>479</v>
      </c>
      <c r="D22" s="816">
        <v>10</v>
      </c>
      <c r="E22" s="288" t="s">
        <v>478</v>
      </c>
      <c r="F22" s="816">
        <v>24</v>
      </c>
      <c r="G22" s="829">
        <v>0.4</v>
      </c>
      <c r="H22" s="542">
        <f t="shared" si="0"/>
        <v>33.599999999999994</v>
      </c>
      <c r="I22" s="459" t="e">
        <f t="shared" si="1"/>
        <v>#DIV/0!</v>
      </c>
      <c r="J22" s="542" t="s">
        <v>441</v>
      </c>
      <c r="K22" s="832">
        <v>0.8</v>
      </c>
      <c r="L22" s="565" t="e">
        <f t="shared" si="3"/>
        <v>#DIV/0!</v>
      </c>
      <c r="M22" s="495" t="e">
        <f>'R1_Hydro_MEFA'!$L$79</f>
        <v>#DIV/0!</v>
      </c>
      <c r="N22" s="577">
        <f>Macro!$D$16*Macro!$D$20*8</f>
        <v>7920</v>
      </c>
      <c r="O22" s="642" t="e">
        <f t="shared" si="2"/>
        <v>#DIV/0!</v>
      </c>
      <c r="P22" s="952">
        <f t="shared" ref="P22:P23" si="5">10/60</f>
        <v>0.16666666666666666</v>
      </c>
      <c r="Q22" s="497" t="e">
        <f t="shared" si="4"/>
        <v>#DIV/0!</v>
      </c>
      <c r="R22" t="s">
        <v>148</v>
      </c>
      <c r="S22" s="264"/>
    </row>
    <row r="23" spans="1:22" ht="17" x14ac:dyDescent="0.2">
      <c r="A23" s="1031"/>
      <c r="B23" t="s">
        <v>377</v>
      </c>
      <c r="C23" t="s">
        <v>479</v>
      </c>
      <c r="D23" s="816">
        <v>10</v>
      </c>
      <c r="E23" s="288" t="s">
        <v>478</v>
      </c>
      <c r="F23" s="816">
        <v>24</v>
      </c>
      <c r="G23" s="829">
        <v>0.4</v>
      </c>
      <c r="H23" s="542">
        <f t="shared" si="0"/>
        <v>33.599999999999994</v>
      </c>
      <c r="I23" s="459" t="e">
        <f t="shared" si="1"/>
        <v>#DIV/0!</v>
      </c>
      <c r="J23" s="542" t="s">
        <v>441</v>
      </c>
      <c r="K23" s="832">
        <v>0.8</v>
      </c>
      <c r="L23" s="565" t="e">
        <f t="shared" si="3"/>
        <v>#DIV/0!</v>
      </c>
      <c r="M23" s="495" t="e">
        <f>'R1_Hydro_MEFA'!$L$85</f>
        <v>#DIV/0!</v>
      </c>
      <c r="N23" s="577">
        <f>Macro!$D$16*Macro!$D$20*8</f>
        <v>7920</v>
      </c>
      <c r="O23" s="642" t="e">
        <f t="shared" si="2"/>
        <v>#DIV/0!</v>
      </c>
      <c r="P23" s="952">
        <f t="shared" si="5"/>
        <v>0.16666666666666666</v>
      </c>
      <c r="Q23" s="497" t="e">
        <f t="shared" si="4"/>
        <v>#DIV/0!</v>
      </c>
      <c r="R23" t="s">
        <v>148</v>
      </c>
      <c r="S23" s="264"/>
    </row>
    <row r="24" spans="1:22" x14ac:dyDescent="0.2">
      <c r="A24" s="1031"/>
      <c r="B24" t="s">
        <v>630</v>
      </c>
      <c r="C24" t="s">
        <v>720</v>
      </c>
      <c r="D24" s="1035"/>
      <c r="E24" s="1035"/>
      <c r="F24" s="1035"/>
      <c r="G24" s="1035"/>
      <c r="H24" s="1035"/>
      <c r="I24" s="1035"/>
      <c r="J24" s="1035"/>
      <c r="K24" s="1035"/>
      <c r="L24" s="1035"/>
      <c r="M24" s="1035"/>
      <c r="N24" s="1035"/>
      <c r="O24" s="642" t="e">
        <f>C146/3.6</f>
        <v>#DIV/0!</v>
      </c>
      <c r="P24" s="856">
        <v>2</v>
      </c>
      <c r="Q24" s="497"/>
      <c r="S24" s="264" t="s">
        <v>721</v>
      </c>
      <c r="V24" s="495"/>
    </row>
    <row r="25" spans="1:22" ht="16" thickBot="1" x14ac:dyDescent="0.25">
      <c r="A25" s="1032"/>
      <c r="B25" s="275" t="s">
        <v>631</v>
      </c>
      <c r="C25" s="275" t="s">
        <v>720</v>
      </c>
      <c r="D25" s="1034"/>
      <c r="E25" s="1034"/>
      <c r="F25" s="1034"/>
      <c r="G25" s="1034"/>
      <c r="H25" s="1034"/>
      <c r="I25" s="1034"/>
      <c r="J25" s="1034"/>
      <c r="K25" s="1034"/>
      <c r="L25" s="1034"/>
      <c r="M25" s="1034"/>
      <c r="N25" s="1034"/>
      <c r="O25" s="643" t="e">
        <f>C147/3.6</f>
        <v>#DIV/0!</v>
      </c>
      <c r="P25" s="857">
        <v>2</v>
      </c>
      <c r="Q25" s="552"/>
      <c r="R25" s="275"/>
      <c r="S25" s="278" t="s">
        <v>721</v>
      </c>
      <c r="V25" s="495"/>
    </row>
    <row r="26" spans="1:22" ht="17" x14ac:dyDescent="0.2">
      <c r="A26" s="1030" t="s">
        <v>510</v>
      </c>
      <c r="B26" s="288" t="s">
        <v>694</v>
      </c>
      <c r="C26" s="288" t="s">
        <v>344</v>
      </c>
      <c r="D26" s="816">
        <v>2</v>
      </c>
      <c r="E26" s="288" t="s">
        <v>478</v>
      </c>
      <c r="F26" s="816">
        <v>350</v>
      </c>
      <c r="G26" s="829">
        <v>0.4</v>
      </c>
      <c r="H26" s="549">
        <f>(1+G26)*(F26/800*140)</f>
        <v>85.75</v>
      </c>
      <c r="I26" s="497" t="e">
        <f t="shared" ref="I26:I34" si="6">M26/N26</f>
        <v>#DIV/0!</v>
      </c>
      <c r="J26" s="549" t="s">
        <v>441</v>
      </c>
      <c r="K26" s="832">
        <v>0.8</v>
      </c>
      <c r="L26" s="565" t="e">
        <f t="shared" ref="L26:L34" si="7">H26*(I26/D26)^K26</f>
        <v>#DIV/0!</v>
      </c>
      <c r="M26" s="495" t="e">
        <f>'R1_Hydro_MEFA'!$L$117</f>
        <v>#DIV/0!</v>
      </c>
      <c r="N26" s="577">
        <f>Macro!$D$16*Macro!$D$20*8</f>
        <v>7920</v>
      </c>
      <c r="O26" s="585" t="e">
        <f>L26*N26</f>
        <v>#DIV/0!</v>
      </c>
      <c r="P26" s="497"/>
      <c r="Q26" s="497" t="e">
        <f t="shared" si="4"/>
        <v>#DIV/0!</v>
      </c>
      <c r="R26" t="s">
        <v>148</v>
      </c>
      <c r="S26" s="264"/>
      <c r="T26" s="288"/>
      <c r="U26" s="288"/>
    </row>
    <row r="27" spans="1:22" ht="17" x14ac:dyDescent="0.2">
      <c r="A27" s="1031"/>
      <c r="B27" s="288" t="s">
        <v>217</v>
      </c>
      <c r="C27" s="288" t="s">
        <v>479</v>
      </c>
      <c r="D27" s="816">
        <v>10</v>
      </c>
      <c r="E27" s="288" t="s">
        <v>478</v>
      </c>
      <c r="F27" s="816">
        <v>24</v>
      </c>
      <c r="G27" s="829">
        <v>0.4</v>
      </c>
      <c r="H27" s="549">
        <f t="shared" ref="H27:H28" si="8">(1+G27)*F27</f>
        <v>33.599999999999994</v>
      </c>
      <c r="I27" s="497" t="e">
        <f t="shared" si="6"/>
        <v>#DIV/0!</v>
      </c>
      <c r="J27" s="549" t="s">
        <v>441</v>
      </c>
      <c r="K27" s="832">
        <v>0.8</v>
      </c>
      <c r="L27" s="565" t="e">
        <f t="shared" si="7"/>
        <v>#DIV/0!</v>
      </c>
      <c r="M27" s="495" t="e">
        <f>'R1_Hydro_MEFA'!$L$124</f>
        <v>#DIV/0!</v>
      </c>
      <c r="N27" s="577">
        <f>Macro!$D$16*Macro!$D$20*8</f>
        <v>7920</v>
      </c>
      <c r="O27" s="585" t="e">
        <f t="shared" ref="O27:O34" si="9">L27*N27</f>
        <v>#DIV/0!</v>
      </c>
      <c r="P27" s="497"/>
      <c r="Q27" s="497" t="e">
        <f t="shared" si="4"/>
        <v>#DIV/0!</v>
      </c>
      <c r="R27" t="s">
        <v>148</v>
      </c>
      <c r="S27" s="264"/>
      <c r="T27" s="288"/>
      <c r="U27" s="288"/>
    </row>
    <row r="28" spans="1:22" ht="17" x14ac:dyDescent="0.2">
      <c r="A28" s="1031"/>
      <c r="B28" s="288" t="s">
        <v>695</v>
      </c>
      <c r="C28" s="122" t="s">
        <v>491</v>
      </c>
      <c r="D28" s="816">
        <v>10</v>
      </c>
      <c r="E28" s="288" t="s">
        <v>478</v>
      </c>
      <c r="F28" s="816">
        <v>18.5</v>
      </c>
      <c r="G28" s="829">
        <v>0.4</v>
      </c>
      <c r="H28" s="549">
        <f t="shared" si="8"/>
        <v>25.9</v>
      </c>
      <c r="I28" s="497" t="e">
        <f t="shared" si="6"/>
        <v>#DIV/0!</v>
      </c>
      <c r="J28" s="549" t="s">
        <v>441</v>
      </c>
      <c r="K28" s="832">
        <v>0.8</v>
      </c>
      <c r="L28" s="565" t="e">
        <f t="shared" si="7"/>
        <v>#DIV/0!</v>
      </c>
      <c r="M28" s="495" t="e">
        <f>'R1_Hydro_MEFA'!$L$124</f>
        <v>#DIV/0!</v>
      </c>
      <c r="N28" s="577">
        <f>Macro!$D$16*Macro!$D$20*8</f>
        <v>7920</v>
      </c>
      <c r="O28" s="585" t="e">
        <f>L28*N28</f>
        <v>#DIV/0!</v>
      </c>
      <c r="P28" s="497"/>
      <c r="Q28" s="497" t="e">
        <f t="shared" si="4"/>
        <v>#DIV/0!</v>
      </c>
      <c r="R28" t="s">
        <v>148</v>
      </c>
      <c r="S28" s="264"/>
      <c r="T28" s="288"/>
      <c r="U28" s="288"/>
    </row>
    <row r="29" spans="1:22" ht="17" x14ac:dyDescent="0.2">
      <c r="A29" s="1031"/>
      <c r="B29" s="288" t="s">
        <v>357</v>
      </c>
      <c r="C29" s="288" t="s">
        <v>479</v>
      </c>
      <c r="D29" s="816">
        <v>10</v>
      </c>
      <c r="E29" s="288" t="s">
        <v>478</v>
      </c>
      <c r="F29" s="816">
        <v>24</v>
      </c>
      <c r="G29" s="829">
        <v>0.4</v>
      </c>
      <c r="H29" s="549">
        <f t="shared" ref="H29:H34" si="10">(1+G29)*F29</f>
        <v>33.599999999999994</v>
      </c>
      <c r="I29" s="497" t="e">
        <f t="shared" si="6"/>
        <v>#DIV/0!</v>
      </c>
      <c r="J29" s="549" t="s">
        <v>441</v>
      </c>
      <c r="K29" s="832">
        <v>0.8</v>
      </c>
      <c r="L29" s="565" t="e">
        <f t="shared" si="7"/>
        <v>#DIV/0!</v>
      </c>
      <c r="M29" s="495" t="e">
        <f>'R1_Hydro_MEFA'!$L$140</f>
        <v>#DIV/0!</v>
      </c>
      <c r="N29" s="577">
        <f>Macro!$D$16*Macro!$D$20*8</f>
        <v>7920</v>
      </c>
      <c r="O29" s="585" t="e">
        <f t="shared" si="9"/>
        <v>#DIV/0!</v>
      </c>
      <c r="P29" s="497"/>
      <c r="Q29" s="497" t="e">
        <f t="shared" si="4"/>
        <v>#DIV/0!</v>
      </c>
      <c r="R29" t="s">
        <v>148</v>
      </c>
      <c r="S29" s="264"/>
      <c r="T29" s="288"/>
      <c r="U29" s="288"/>
    </row>
    <row r="30" spans="1:22" ht="17" x14ac:dyDescent="0.2">
      <c r="A30" s="1031"/>
      <c r="B30" s="751" t="s">
        <v>402</v>
      </c>
      <c r="C30" s="288" t="s">
        <v>479</v>
      </c>
      <c r="D30" s="816">
        <v>10</v>
      </c>
      <c r="E30" s="288" t="s">
        <v>478</v>
      </c>
      <c r="F30" s="816">
        <v>24</v>
      </c>
      <c r="G30" s="829">
        <v>0.4</v>
      </c>
      <c r="H30" s="549">
        <f t="shared" si="10"/>
        <v>33.599999999999994</v>
      </c>
      <c r="I30" s="497" t="e">
        <f t="shared" si="6"/>
        <v>#DIV/0!</v>
      </c>
      <c r="J30" s="549" t="s">
        <v>441</v>
      </c>
      <c r="K30" s="832">
        <v>0.8</v>
      </c>
      <c r="L30" s="565" t="e">
        <f t="shared" si="7"/>
        <v>#DIV/0!</v>
      </c>
      <c r="M30" s="559" t="e">
        <f>'R1_Hydro_MEFA'!$L$147</f>
        <v>#DIV/0!</v>
      </c>
      <c r="N30" s="577">
        <f>Macro!$D$16*Macro!$D$20*8</f>
        <v>7920</v>
      </c>
      <c r="O30" s="585" t="e">
        <f t="shared" si="9"/>
        <v>#DIV/0!</v>
      </c>
      <c r="P30" s="497"/>
      <c r="Q30" s="497" t="e">
        <f t="shared" si="4"/>
        <v>#DIV/0!</v>
      </c>
      <c r="R30" t="s">
        <v>148</v>
      </c>
      <c r="S30" s="264"/>
    </row>
    <row r="31" spans="1:22" ht="17" x14ac:dyDescent="0.2">
      <c r="A31" s="1031"/>
      <c r="B31" s="288" t="s">
        <v>722</v>
      </c>
      <c r="C31" s="288" t="s">
        <v>492</v>
      </c>
      <c r="D31" s="816">
        <v>10</v>
      </c>
      <c r="E31" s="288" t="s">
        <v>478</v>
      </c>
      <c r="F31" s="816">
        <v>18.5</v>
      </c>
      <c r="G31" s="829">
        <v>0.4</v>
      </c>
      <c r="H31" s="549">
        <f t="shared" si="10"/>
        <v>25.9</v>
      </c>
      <c r="I31" s="497" t="e">
        <f t="shared" si="6"/>
        <v>#DIV/0!</v>
      </c>
      <c r="J31" s="549" t="s">
        <v>441</v>
      </c>
      <c r="K31" s="832">
        <v>0.8</v>
      </c>
      <c r="L31" s="565" t="e">
        <f t="shared" si="7"/>
        <v>#DIV/0!</v>
      </c>
      <c r="M31" s="495" t="e">
        <f>'R1_Hydro_MEFA'!$L$147</f>
        <v>#DIV/0!</v>
      </c>
      <c r="N31" s="577">
        <f>Macro!$D$16*Macro!$D$20*8</f>
        <v>7920</v>
      </c>
      <c r="O31" s="585" t="e">
        <f t="shared" si="9"/>
        <v>#DIV/0!</v>
      </c>
      <c r="P31" s="497"/>
      <c r="Q31" s="497" t="e">
        <f t="shared" si="4"/>
        <v>#DIV/0!</v>
      </c>
      <c r="R31" t="s">
        <v>148</v>
      </c>
      <c r="S31" s="264"/>
    </row>
    <row r="32" spans="1:22" ht="17" x14ac:dyDescent="0.2">
      <c r="A32" s="1031"/>
      <c r="B32" s="288" t="s">
        <v>405</v>
      </c>
      <c r="C32" s="288" t="s">
        <v>479</v>
      </c>
      <c r="D32" s="816">
        <v>10</v>
      </c>
      <c r="E32" s="288" t="s">
        <v>478</v>
      </c>
      <c r="F32" s="816">
        <v>24</v>
      </c>
      <c r="G32" s="829">
        <v>0.4</v>
      </c>
      <c r="H32" s="549">
        <f t="shared" si="10"/>
        <v>33.599999999999994</v>
      </c>
      <c r="I32" s="497" t="e">
        <f t="shared" si="6"/>
        <v>#DIV/0!</v>
      </c>
      <c r="J32" s="549" t="s">
        <v>441</v>
      </c>
      <c r="K32" s="832">
        <v>0.8</v>
      </c>
      <c r="L32" s="565" t="e">
        <f t="shared" si="7"/>
        <v>#DIV/0!</v>
      </c>
      <c r="M32" s="495" t="e">
        <f>'R1_Hydro_MEFA'!$L$155</f>
        <v>#DIV/0!</v>
      </c>
      <c r="N32" s="577">
        <f>Macro!$D$16*Macro!$D$20*8</f>
        <v>7920</v>
      </c>
      <c r="O32" s="585" t="e">
        <f t="shared" si="9"/>
        <v>#DIV/0!</v>
      </c>
      <c r="P32" s="497"/>
      <c r="Q32" s="497" t="e">
        <f t="shared" si="4"/>
        <v>#DIV/0!</v>
      </c>
      <c r="R32" t="s">
        <v>148</v>
      </c>
      <c r="S32" s="264"/>
    </row>
    <row r="33" spans="1:19" ht="17" x14ac:dyDescent="0.2">
      <c r="A33" s="1031"/>
      <c r="B33" s="288" t="s">
        <v>411</v>
      </c>
      <c r="C33" s="288" t="s">
        <v>479</v>
      </c>
      <c r="D33" s="816">
        <v>10</v>
      </c>
      <c r="E33" s="288" t="s">
        <v>478</v>
      </c>
      <c r="F33" s="816">
        <v>24</v>
      </c>
      <c r="G33" s="829">
        <v>0.4</v>
      </c>
      <c r="H33" s="549">
        <f t="shared" si="10"/>
        <v>33.599999999999994</v>
      </c>
      <c r="I33" s="497" t="e">
        <f t="shared" si="6"/>
        <v>#DIV/0!</v>
      </c>
      <c r="J33" s="549" t="s">
        <v>441</v>
      </c>
      <c r="K33" s="832">
        <v>0.8</v>
      </c>
      <c r="L33" s="565" t="e">
        <f t="shared" si="7"/>
        <v>#DIV/0!</v>
      </c>
      <c r="M33" s="495" t="e">
        <f>'R1_Hydro_MEFA'!$L$172</f>
        <v>#DIV/0!</v>
      </c>
      <c r="N33" s="577">
        <f>Macro!$D$16*Macro!$D$20*8</f>
        <v>7920</v>
      </c>
      <c r="O33" s="585" t="e">
        <f t="shared" si="9"/>
        <v>#DIV/0!</v>
      </c>
      <c r="P33" s="497"/>
      <c r="Q33" s="497" t="e">
        <f t="shared" si="4"/>
        <v>#DIV/0!</v>
      </c>
      <c r="R33" t="s">
        <v>148</v>
      </c>
      <c r="S33" s="264"/>
    </row>
    <row r="34" spans="1:19" ht="17" x14ac:dyDescent="0.2">
      <c r="A34" s="1031"/>
      <c r="B34" s="288" t="s">
        <v>414</v>
      </c>
      <c r="C34" s="288" t="s">
        <v>479</v>
      </c>
      <c r="D34" s="816">
        <v>10</v>
      </c>
      <c r="E34" s="288" t="s">
        <v>478</v>
      </c>
      <c r="F34" s="816">
        <v>24</v>
      </c>
      <c r="G34" s="829">
        <v>0.4</v>
      </c>
      <c r="H34" s="549">
        <f t="shared" si="10"/>
        <v>33.599999999999994</v>
      </c>
      <c r="I34" s="497" t="e">
        <f t="shared" si="6"/>
        <v>#DIV/0!</v>
      </c>
      <c r="J34" s="549" t="s">
        <v>441</v>
      </c>
      <c r="K34" s="832">
        <v>0.8</v>
      </c>
      <c r="L34" s="565" t="e">
        <f t="shared" si="7"/>
        <v>#DIV/0!</v>
      </c>
      <c r="M34" s="495" t="e">
        <f>'R1_Hydro_MEFA'!$L$178</f>
        <v>#DIV/0!</v>
      </c>
      <c r="N34" s="577">
        <f>Macro!$D$16*Macro!$D$20*8</f>
        <v>7920</v>
      </c>
      <c r="O34" s="585" t="e">
        <f t="shared" si="9"/>
        <v>#DIV/0!</v>
      </c>
      <c r="P34" s="497"/>
      <c r="Q34" s="497" t="e">
        <f t="shared" si="4"/>
        <v>#DIV/0!</v>
      </c>
      <c r="R34" t="s">
        <v>148</v>
      </c>
      <c r="S34" s="264"/>
    </row>
    <row r="35" spans="1:19" x14ac:dyDescent="0.2">
      <c r="A35" s="1031"/>
      <c r="B35" s="288" t="s">
        <v>632</v>
      </c>
      <c r="C35" s="288" t="s">
        <v>720</v>
      </c>
      <c r="D35" s="567"/>
      <c r="E35" s="568"/>
      <c r="F35" s="567"/>
      <c r="G35" s="569"/>
      <c r="H35" s="570"/>
      <c r="I35" s="571"/>
      <c r="J35" s="570"/>
      <c r="K35" s="572"/>
      <c r="L35" s="573"/>
      <c r="M35" s="574"/>
      <c r="N35" s="571"/>
      <c r="O35" s="585" t="e">
        <f>C148/3.6</f>
        <v>#DIV/0!</v>
      </c>
      <c r="P35" s="497"/>
      <c r="Q35" s="497"/>
      <c r="S35" s="264" t="s">
        <v>721</v>
      </c>
    </row>
    <row r="36" spans="1:19" x14ac:dyDescent="0.2">
      <c r="A36" s="1031"/>
      <c r="B36" s="288" t="s">
        <v>213</v>
      </c>
      <c r="C36" s="288" t="s">
        <v>417</v>
      </c>
      <c r="D36" s="1035"/>
      <c r="E36" s="1035"/>
      <c r="F36" s="1035"/>
      <c r="G36" s="1035"/>
      <c r="H36" s="1035"/>
      <c r="I36" s="1035"/>
      <c r="J36" s="1035"/>
      <c r="K36" s="1035"/>
      <c r="L36" s="1035"/>
      <c r="M36" s="1035"/>
      <c r="N36" s="1035"/>
      <c r="O36" s="585" t="e">
        <f>C156/3.6</f>
        <v>#DIV/0!</v>
      </c>
      <c r="P36" s="497"/>
      <c r="Q36" s="497"/>
      <c r="S36" s="264" t="s">
        <v>721</v>
      </c>
    </row>
    <row r="37" spans="1:19" ht="17" x14ac:dyDescent="0.2">
      <c r="A37" s="1031"/>
      <c r="B37" s="288" t="s">
        <v>426</v>
      </c>
      <c r="C37" s="288" t="s">
        <v>479</v>
      </c>
      <c r="D37" s="816">
        <v>10</v>
      </c>
      <c r="E37" s="288" t="s">
        <v>478</v>
      </c>
      <c r="F37" s="816">
        <v>24</v>
      </c>
      <c r="G37" s="829">
        <v>0.4</v>
      </c>
      <c r="H37" s="542">
        <f t="shared" ref="H37" si="11">(1+G37)*F37</f>
        <v>33.599999999999994</v>
      </c>
      <c r="I37" s="497" t="e">
        <f>M37/N37</f>
        <v>#DIV/0!</v>
      </c>
      <c r="J37" s="542" t="s">
        <v>441</v>
      </c>
      <c r="K37" s="832">
        <v>0.8</v>
      </c>
      <c r="L37" s="565">
        <f>H37*(D37/20)^K37</f>
        <v>19.298132363950188</v>
      </c>
      <c r="M37" s="495" t="e">
        <f>'R1_Hydro_MEFA'!$L$200</f>
        <v>#DIV/0!</v>
      </c>
      <c r="N37" s="577">
        <f>Macro!$D$16*Macro!$D$20*8</f>
        <v>7920</v>
      </c>
      <c r="O37" s="642">
        <f t="shared" ref="O37:O38" si="12">L37*N37</f>
        <v>152841.2083224855</v>
      </c>
      <c r="P37" s="497"/>
      <c r="Q37" s="497" t="e">
        <f>M37/I37</f>
        <v>#DIV/0!</v>
      </c>
      <c r="R37" t="s">
        <v>148</v>
      </c>
      <c r="S37" s="264"/>
    </row>
    <row r="38" spans="1:19" ht="17" x14ac:dyDescent="0.2">
      <c r="A38" s="1031"/>
      <c r="B38" s="288" t="s">
        <v>697</v>
      </c>
      <c r="C38" s="288" t="s">
        <v>492</v>
      </c>
      <c r="D38" s="816">
        <v>10</v>
      </c>
      <c r="E38" s="288" t="s">
        <v>478</v>
      </c>
      <c r="F38" s="816">
        <v>18.5</v>
      </c>
      <c r="G38" s="829">
        <v>0.4</v>
      </c>
      <c r="H38" s="542">
        <f t="shared" ref="H38" si="13">(1+G38)*F38</f>
        <v>25.9</v>
      </c>
      <c r="I38" s="497" t="e">
        <f>M38/N38</f>
        <v>#DIV/0!</v>
      </c>
      <c r="J38" s="542" t="s">
        <v>441</v>
      </c>
      <c r="K38" s="832">
        <v>0.8</v>
      </c>
      <c r="L38" s="565">
        <f>H38*(D38/20)^K38</f>
        <v>14.875643697211604</v>
      </c>
      <c r="M38" s="495" t="e">
        <f>'R1_Hydro_MEFA'!$L$200</f>
        <v>#DIV/0!</v>
      </c>
      <c r="N38" s="577">
        <f>Macro!$D$16*Macro!$D$20*8</f>
        <v>7920</v>
      </c>
      <c r="O38" s="642">
        <f t="shared" si="12"/>
        <v>117815.0980819159</v>
      </c>
      <c r="P38" s="497"/>
      <c r="Q38" s="497" t="e">
        <f t="shared" ref="Q38" si="14">M38/I38</f>
        <v>#DIV/0!</v>
      </c>
      <c r="R38" t="s">
        <v>148</v>
      </c>
      <c r="S38" s="264"/>
    </row>
    <row r="39" spans="1:19" ht="16" thickBot="1" x14ac:dyDescent="0.25">
      <c r="A39" s="1032"/>
      <c r="B39" s="275" t="s">
        <v>24</v>
      </c>
      <c r="C39" s="275" t="s">
        <v>417</v>
      </c>
      <c r="D39" s="1034"/>
      <c r="E39" s="1034"/>
      <c r="F39" s="1034"/>
      <c r="G39" s="1034"/>
      <c r="H39" s="1034"/>
      <c r="I39" s="1034"/>
      <c r="J39" s="1034"/>
      <c r="K39" s="1034"/>
      <c r="L39" s="1034"/>
      <c r="M39" s="1034"/>
      <c r="N39" s="1034"/>
      <c r="O39" s="635">
        <f>C160/3.6</f>
        <v>0</v>
      </c>
      <c r="P39" s="552"/>
      <c r="Q39" s="552"/>
      <c r="R39" s="275"/>
      <c r="S39" s="278" t="s">
        <v>721</v>
      </c>
    </row>
    <row r="40" spans="1:19" x14ac:dyDescent="0.2">
      <c r="A40" s="547"/>
      <c r="G40" s="548"/>
      <c r="H40" s="549"/>
      <c r="I40" s="549"/>
      <c r="J40" s="549"/>
      <c r="L40" s="565"/>
      <c r="M40" s="497"/>
      <c r="N40" s="497"/>
      <c r="O40" s="585"/>
      <c r="P40" s="497"/>
      <c r="Q40" s="497"/>
    </row>
    <row r="41" spans="1:19" x14ac:dyDescent="0.2">
      <c r="A41" s="547"/>
      <c r="G41" s="548"/>
      <c r="H41" s="549"/>
      <c r="I41" s="549"/>
      <c r="J41" s="549"/>
      <c r="L41" s="565"/>
      <c r="M41" s="497"/>
      <c r="N41" s="497"/>
      <c r="O41" s="585"/>
      <c r="P41" s="497"/>
      <c r="Q41" s="497"/>
    </row>
    <row r="43" spans="1:19" ht="22" thickBot="1" x14ac:dyDescent="0.3">
      <c r="A43" s="189" t="s">
        <v>109</v>
      </c>
    </row>
    <row r="44" spans="1:19" s="630" customFormat="1" ht="49" thickBot="1" x14ac:dyDescent="0.25">
      <c r="A44" s="649" t="s">
        <v>723</v>
      </c>
      <c r="B44" s="649" t="s">
        <v>724</v>
      </c>
      <c r="C44" s="628" t="s">
        <v>702</v>
      </c>
      <c r="D44" s="649" t="s">
        <v>447</v>
      </c>
      <c r="E44" s="649" t="s">
        <v>263</v>
      </c>
      <c r="F44" s="649" t="s">
        <v>703</v>
      </c>
      <c r="G44" s="648" t="s">
        <v>704</v>
      </c>
      <c r="H44" s="649" t="s">
        <v>705</v>
      </c>
      <c r="I44" s="649" t="s">
        <v>706</v>
      </c>
      <c r="J44" s="649" t="s">
        <v>263</v>
      </c>
      <c r="K44" s="651" t="s">
        <v>725</v>
      </c>
      <c r="L44" s="560" t="s">
        <v>708</v>
      </c>
      <c r="M44" s="940" t="s">
        <v>709</v>
      </c>
      <c r="N44" s="648" t="s">
        <v>710</v>
      </c>
      <c r="O44" s="650" t="s">
        <v>711</v>
      </c>
      <c r="P44" s="648" t="s">
        <v>712</v>
      </c>
      <c r="Q44" s="648" t="s">
        <v>713</v>
      </c>
      <c r="R44" s="649" t="s">
        <v>621</v>
      </c>
      <c r="S44" s="629" t="s">
        <v>333</v>
      </c>
    </row>
    <row r="45" spans="1:19" x14ac:dyDescent="0.2">
      <c r="A45" s="1028" t="s">
        <v>259</v>
      </c>
      <c r="B45" s="288" t="s">
        <v>176</v>
      </c>
      <c r="C45" s="288" t="s">
        <v>464</v>
      </c>
      <c r="D45" s="832">
        <v>0.33333333333333331</v>
      </c>
      <c r="E45" s="288" t="s">
        <v>1085</v>
      </c>
      <c r="F45" s="181"/>
      <c r="G45" s="548"/>
      <c r="H45" s="542"/>
      <c r="I45" s="542"/>
      <c r="J45" s="542"/>
      <c r="L45" s="562"/>
      <c r="M45" s="459"/>
      <c r="N45" s="459"/>
      <c r="O45" s="583"/>
      <c r="P45" s="459"/>
      <c r="Q45" s="459"/>
      <c r="S45" s="264"/>
    </row>
    <row r="46" spans="1:19" x14ac:dyDescent="0.2">
      <c r="A46" s="1028"/>
      <c r="B46" s="288" t="s">
        <v>177</v>
      </c>
      <c r="C46" s="288" t="s">
        <v>466</v>
      </c>
      <c r="D46" s="832">
        <v>6</v>
      </c>
      <c r="E46" s="288" t="s">
        <v>1086</v>
      </c>
      <c r="F46" s="181"/>
      <c r="G46" s="548"/>
      <c r="H46" s="542"/>
      <c r="I46" s="542"/>
      <c r="J46" s="542"/>
      <c r="L46" s="562"/>
      <c r="M46" s="459"/>
      <c r="N46" s="459"/>
      <c r="O46" s="583"/>
      <c r="P46" s="459"/>
      <c r="Q46" s="459"/>
      <c r="S46" s="264"/>
    </row>
    <row r="47" spans="1:19" x14ac:dyDescent="0.2">
      <c r="A47" s="1028"/>
      <c r="B47" s="288" t="s">
        <v>297</v>
      </c>
      <c r="C47" s="288" t="s">
        <v>726</v>
      </c>
      <c r="D47" s="832">
        <v>0.27</v>
      </c>
      <c r="E47" s="288" t="s">
        <v>1085</v>
      </c>
      <c r="F47" s="181"/>
      <c r="G47" s="548"/>
      <c r="H47" s="542"/>
      <c r="I47" s="542"/>
      <c r="J47" s="542"/>
      <c r="L47" s="562"/>
      <c r="M47" s="459"/>
      <c r="N47" s="459"/>
      <c r="O47" s="583"/>
      <c r="P47" s="459"/>
      <c r="Q47" s="459"/>
      <c r="S47" s="264"/>
    </row>
    <row r="48" spans="1:19" ht="16" thickBot="1" x14ac:dyDescent="0.25">
      <c r="A48" s="1028"/>
      <c r="B48" s="288" t="s">
        <v>259</v>
      </c>
      <c r="C48" s="288" t="s">
        <v>716</v>
      </c>
      <c r="D48" s="832">
        <v>0.5</v>
      </c>
      <c r="E48" s="288" t="s">
        <v>1085</v>
      </c>
      <c r="F48" s="181"/>
      <c r="G48" s="548"/>
      <c r="H48" s="542"/>
      <c r="I48" s="542"/>
      <c r="J48" s="542"/>
      <c r="L48" s="562"/>
      <c r="M48" s="459"/>
      <c r="N48" s="459"/>
      <c r="O48" s="583"/>
      <c r="P48" s="459"/>
      <c r="Q48" s="459"/>
      <c r="S48" s="264"/>
    </row>
    <row r="49" spans="1:19" x14ac:dyDescent="0.2">
      <c r="A49" s="1030" t="s">
        <v>640</v>
      </c>
      <c r="B49" s="270" t="s">
        <v>188</v>
      </c>
      <c r="C49" s="270" t="s">
        <v>727</v>
      </c>
      <c r="D49" s="834">
        <v>1.5</v>
      </c>
      <c r="E49" s="269" t="s">
        <v>488</v>
      </c>
      <c r="F49" s="858">
        <v>2</v>
      </c>
      <c r="G49" s="831">
        <v>0.4</v>
      </c>
      <c r="H49" s="543">
        <f t="shared" ref="H49:H56" si="15">(1+G49)*F49</f>
        <v>2.8</v>
      </c>
      <c r="I49" s="546" t="e">
        <f>M49/N49</f>
        <v>#DIV/0!</v>
      </c>
      <c r="J49" s="543" t="s">
        <v>515</v>
      </c>
      <c r="K49" s="852">
        <v>0.8</v>
      </c>
      <c r="L49" s="564" t="e">
        <f t="shared" ref="L49:L56" si="16">H49*(I49/D49)^K49</f>
        <v>#DIV/0!</v>
      </c>
      <c r="M49" s="576" t="e">
        <f>'R2_MEFA'!$C$31</f>
        <v>#DIV/0!</v>
      </c>
      <c r="N49" s="638">
        <f>Macro!$D$16*Macro!$D$20*8</f>
        <v>7920</v>
      </c>
      <c r="O49" s="644" t="e">
        <f>N49*L49</f>
        <v>#DIV/0!</v>
      </c>
      <c r="P49" s="546"/>
      <c r="Q49" s="546"/>
      <c r="R49" s="270" t="s">
        <v>467</v>
      </c>
      <c r="S49" s="273"/>
    </row>
    <row r="50" spans="1:19" x14ac:dyDescent="0.2">
      <c r="A50" s="1031"/>
      <c r="B50" t="s">
        <v>728</v>
      </c>
      <c r="C50" s="288" t="s">
        <v>623</v>
      </c>
      <c r="D50" s="846">
        <v>1.5</v>
      </c>
      <c r="E50" s="288" t="s">
        <v>488</v>
      </c>
      <c r="F50" s="846">
        <v>2.8</v>
      </c>
      <c r="G50" s="829">
        <v>0.4</v>
      </c>
      <c r="H50" s="542">
        <f t="shared" si="15"/>
        <v>3.9199999999999995</v>
      </c>
      <c r="I50" s="459" t="e">
        <f t="shared" ref="I50:I72" si="17">M50/N50</f>
        <v>#DIV/0!</v>
      </c>
      <c r="J50" s="542" t="s">
        <v>515</v>
      </c>
      <c r="K50" s="832">
        <v>0.8</v>
      </c>
      <c r="L50" s="565" t="e">
        <f t="shared" si="16"/>
        <v>#DIV/0!</v>
      </c>
      <c r="M50" s="495" t="e">
        <f>'R2_MEFA'!$C$38</f>
        <v>#DIV/0!</v>
      </c>
      <c r="N50" s="637">
        <f>Macro!$D$16*Macro!$D$20*8</f>
        <v>7920</v>
      </c>
      <c r="O50" s="640" t="e">
        <f>N50*L50</f>
        <v>#DIV/0!</v>
      </c>
      <c r="P50" s="497"/>
      <c r="Q50" s="497"/>
      <c r="R50" t="s">
        <v>467</v>
      </c>
      <c r="S50" s="264"/>
    </row>
    <row r="51" spans="1:19" ht="16" x14ac:dyDescent="0.2">
      <c r="A51" s="1031"/>
      <c r="B51" s="288" t="s">
        <v>729</v>
      </c>
      <c r="C51" s="751" t="s">
        <v>689</v>
      </c>
      <c r="D51" s="846">
        <v>1.5</v>
      </c>
      <c r="E51" s="288" t="s">
        <v>1090</v>
      </c>
      <c r="F51" s="832">
        <v>5</v>
      </c>
      <c r="G51" s="829">
        <v>0.4</v>
      </c>
      <c r="H51" s="655">
        <f>(1+G51)*F51</f>
        <v>7</v>
      </c>
      <c r="I51" s="497" t="e">
        <f>M51/N51</f>
        <v>#DIV/0!</v>
      </c>
      <c r="J51" s="549"/>
      <c r="K51" s="832">
        <v>0.8</v>
      </c>
      <c r="L51" s="565" t="e">
        <f t="shared" si="16"/>
        <v>#DIV/0!</v>
      </c>
      <c r="M51" s="577" t="e">
        <f>'R2_MEFA'!C6</f>
        <v>#DIV/0!</v>
      </c>
      <c r="N51" s="637">
        <f>Macro!$D$16*Macro!$D$20*8</f>
        <v>7920</v>
      </c>
      <c r="O51" s="642" t="e">
        <f>N51*F51/(D51/I51)</f>
        <v>#DIV/0!</v>
      </c>
      <c r="P51" s="856">
        <v>1</v>
      </c>
      <c r="Q51" s="497" t="e">
        <f>M51/I51</f>
        <v>#DIV/0!</v>
      </c>
      <c r="R51" t="s">
        <v>467</v>
      </c>
      <c r="S51" s="264"/>
    </row>
    <row r="52" spans="1:19" x14ac:dyDescent="0.2">
      <c r="A52" s="1031"/>
      <c r="B52" t="s">
        <v>686</v>
      </c>
      <c r="C52" s="288" t="s">
        <v>686</v>
      </c>
      <c r="D52" s="846">
        <v>1.5</v>
      </c>
      <c r="E52" s="288" t="s">
        <v>488</v>
      </c>
      <c r="F52" s="846">
        <v>0</v>
      </c>
      <c r="G52" s="829">
        <v>0.4</v>
      </c>
      <c r="H52" s="549">
        <f t="shared" si="15"/>
        <v>0</v>
      </c>
      <c r="I52" s="497" t="e">
        <f t="shared" si="17"/>
        <v>#DIV/0!</v>
      </c>
      <c r="J52" s="549" t="s">
        <v>515</v>
      </c>
      <c r="K52" s="832">
        <v>0.8</v>
      </c>
      <c r="L52" s="565" t="e">
        <f t="shared" si="16"/>
        <v>#DIV/0!</v>
      </c>
      <c r="M52" s="577" t="e">
        <f>'R2_MEFA'!$C$57</f>
        <v>#DIV/0!</v>
      </c>
      <c r="N52" s="637">
        <f>Macro!$D$16*Macro!$D$20*8</f>
        <v>7920</v>
      </c>
      <c r="O52" s="642">
        <v>0</v>
      </c>
      <c r="P52" s="497"/>
      <c r="Q52" s="497"/>
      <c r="R52" t="s">
        <v>467</v>
      </c>
      <c r="S52" s="264"/>
    </row>
    <row r="53" spans="1:19" ht="16" x14ac:dyDescent="0.2">
      <c r="A53" s="1031"/>
      <c r="B53" t="s">
        <v>730</v>
      </c>
      <c r="C53" s="751" t="s">
        <v>625</v>
      </c>
      <c r="D53" s="846">
        <v>1.5</v>
      </c>
      <c r="E53" s="288" t="s">
        <v>488</v>
      </c>
      <c r="F53" s="846">
        <v>1.5</v>
      </c>
      <c r="G53" s="829">
        <v>0.4</v>
      </c>
      <c r="H53" s="542">
        <f t="shared" si="15"/>
        <v>2.0999999999999996</v>
      </c>
      <c r="I53" s="459" t="e">
        <f t="shared" si="17"/>
        <v>#DIV/0!</v>
      </c>
      <c r="J53" s="542" t="s">
        <v>515</v>
      </c>
      <c r="K53" s="832">
        <v>0.8</v>
      </c>
      <c r="L53" s="565" t="e">
        <f t="shared" si="16"/>
        <v>#DIV/0!</v>
      </c>
      <c r="M53" s="495" t="e">
        <f>'R2_MEFA'!$C$64</f>
        <v>#DIV/0!</v>
      </c>
      <c r="N53" s="637">
        <f>Macro!$D$16*Macro!$D$20*8</f>
        <v>7920</v>
      </c>
      <c r="O53" s="640" t="e">
        <f>N53*L53</f>
        <v>#DIV/0!</v>
      </c>
      <c r="P53" s="497"/>
      <c r="Q53" s="497"/>
      <c r="R53" t="s">
        <v>467</v>
      </c>
      <c r="S53" s="264"/>
    </row>
    <row r="54" spans="1:19" ht="16" x14ac:dyDescent="0.2">
      <c r="A54" s="1031"/>
      <c r="B54" t="s">
        <v>192</v>
      </c>
      <c r="C54" s="751" t="s">
        <v>626</v>
      </c>
      <c r="D54" s="846">
        <v>1.5</v>
      </c>
      <c r="E54" s="288" t="s">
        <v>488</v>
      </c>
      <c r="F54" s="846">
        <f>F49/2</f>
        <v>1</v>
      </c>
      <c r="G54" s="829">
        <v>0.4</v>
      </c>
      <c r="H54" s="542">
        <f t="shared" si="15"/>
        <v>1.4</v>
      </c>
      <c r="I54" s="459" t="e">
        <f t="shared" si="17"/>
        <v>#DIV/0!</v>
      </c>
      <c r="J54" s="542" t="s">
        <v>515</v>
      </c>
      <c r="K54" s="832">
        <v>0.8</v>
      </c>
      <c r="L54" s="565" t="e">
        <f t="shared" si="16"/>
        <v>#DIV/0!</v>
      </c>
      <c r="M54" s="495" t="e">
        <f>'R2_MEFA'!$C$73</f>
        <v>#DIV/0!</v>
      </c>
      <c r="N54" s="637">
        <f>Macro!$D$16*Macro!$D$20*8</f>
        <v>7920</v>
      </c>
      <c r="O54" s="640" t="e">
        <f>N54*L54</f>
        <v>#DIV/0!</v>
      </c>
      <c r="P54" s="497"/>
      <c r="Q54" s="497"/>
      <c r="R54" t="s">
        <v>467</v>
      </c>
      <c r="S54" s="264" t="s">
        <v>731</v>
      </c>
    </row>
    <row r="55" spans="1:19" x14ac:dyDescent="0.2">
      <c r="A55" s="1031"/>
      <c r="B55" t="s">
        <v>438</v>
      </c>
      <c r="C55" s="288" t="s">
        <v>438</v>
      </c>
      <c r="D55" s="846">
        <v>1.5</v>
      </c>
      <c r="E55" s="288" t="s">
        <v>488</v>
      </c>
      <c r="F55" s="846">
        <v>5</v>
      </c>
      <c r="G55" s="829">
        <v>0.4</v>
      </c>
      <c r="H55" s="542">
        <f t="shared" si="15"/>
        <v>7</v>
      </c>
      <c r="I55" s="459" t="e">
        <f t="shared" si="17"/>
        <v>#DIV/0!</v>
      </c>
      <c r="J55" s="542" t="s">
        <v>515</v>
      </c>
      <c r="K55" s="832">
        <v>0.8</v>
      </c>
      <c r="L55" s="565" t="e">
        <f t="shared" si="16"/>
        <v>#DIV/0!</v>
      </c>
      <c r="M55" s="495" t="e">
        <f>'R2_MEFA'!$C$78</f>
        <v>#DIV/0!</v>
      </c>
      <c r="N55" s="637">
        <f>Macro!$D$16*Macro!$D$20*8</f>
        <v>7920</v>
      </c>
      <c r="O55" s="640" t="e">
        <f>N55*L55</f>
        <v>#DIV/0!</v>
      </c>
      <c r="P55" s="497"/>
      <c r="Q55" s="497"/>
      <c r="R55" t="s">
        <v>467</v>
      </c>
      <c r="S55" s="264"/>
    </row>
    <row r="56" spans="1:19" x14ac:dyDescent="0.2">
      <c r="A56" s="1031"/>
      <c r="B56" t="s">
        <v>732</v>
      </c>
      <c r="C56" s="288" t="s">
        <v>625</v>
      </c>
      <c r="D56" s="846">
        <v>1.5</v>
      </c>
      <c r="E56" s="288" t="s">
        <v>488</v>
      </c>
      <c r="F56" s="846">
        <v>0.25</v>
      </c>
      <c r="G56" s="829">
        <v>0.4</v>
      </c>
      <c r="H56" s="542">
        <f t="shared" si="15"/>
        <v>0.35</v>
      </c>
      <c r="I56" s="459" t="e">
        <f t="shared" si="17"/>
        <v>#DIV/0!</v>
      </c>
      <c r="J56" s="542" t="s">
        <v>515</v>
      </c>
      <c r="K56" s="832">
        <v>0.8</v>
      </c>
      <c r="L56" s="565" t="e">
        <f t="shared" si="16"/>
        <v>#DIV/0!</v>
      </c>
      <c r="M56" s="495" t="e">
        <f>'R2_MEFA'!$C$84</f>
        <v>#DIV/0!</v>
      </c>
      <c r="N56" s="637">
        <f>Macro!$D$16*Macro!$D$20*8</f>
        <v>7920</v>
      </c>
      <c r="O56" s="640" t="e">
        <f>N56*L56</f>
        <v>#DIV/0!</v>
      </c>
      <c r="P56" s="497"/>
      <c r="Q56" s="497"/>
      <c r="R56" t="s">
        <v>467</v>
      </c>
      <c r="S56" s="264"/>
    </row>
    <row r="57" spans="1:19" ht="17" thickBot="1" x14ac:dyDescent="0.25">
      <c r="A57" s="1031"/>
      <c r="B57" s="122" t="s">
        <v>193</v>
      </c>
      <c r="C57" s="122" t="s">
        <v>733</v>
      </c>
      <c r="D57" s="1036"/>
      <c r="E57" s="1036"/>
      <c r="F57" s="1036"/>
      <c r="G57" s="1036"/>
      <c r="H57" s="1036"/>
      <c r="I57" s="1036"/>
      <c r="J57" s="1036"/>
      <c r="K57" s="1036"/>
      <c r="L57" s="1036"/>
      <c r="M57" s="1036"/>
      <c r="N57" s="1036"/>
      <c r="O57" s="642">
        <f>C177</f>
        <v>0</v>
      </c>
      <c r="P57" s="497"/>
      <c r="Q57" s="497"/>
      <c r="R57" t="s">
        <v>467</v>
      </c>
      <c r="S57" s="264" t="s">
        <v>721</v>
      </c>
    </row>
    <row r="58" spans="1:19" ht="17" x14ac:dyDescent="0.2">
      <c r="A58" s="1030" t="s">
        <v>628</v>
      </c>
      <c r="B58" s="270" t="s">
        <v>477</v>
      </c>
      <c r="C58" s="270" t="s">
        <v>344</v>
      </c>
      <c r="D58" s="834">
        <v>2</v>
      </c>
      <c r="E58" s="269" t="s">
        <v>478</v>
      </c>
      <c r="F58" s="834">
        <v>350</v>
      </c>
      <c r="G58" s="831">
        <v>0.4</v>
      </c>
      <c r="H58" s="543">
        <f>(1+G58)*(F58/800*140)</f>
        <v>85.75</v>
      </c>
      <c r="I58" s="546" t="e">
        <f t="shared" si="17"/>
        <v>#DIV/0!</v>
      </c>
      <c r="J58" s="543" t="s">
        <v>441</v>
      </c>
      <c r="K58" s="852">
        <v>0.8</v>
      </c>
      <c r="L58" s="564" t="e">
        <f t="shared" ref="L58:L72" si="18">H58*(I58/D58)^K58</f>
        <v>#DIV/0!</v>
      </c>
      <c r="M58" s="576" t="e">
        <f>'R2_Hydro_MEFA'!$L$23</f>
        <v>#DIV/0!</v>
      </c>
      <c r="N58" s="638">
        <f>Macro!$D$16*Macro!$D$20*8</f>
        <v>7920</v>
      </c>
      <c r="O58" s="644" t="e">
        <f>L58*N58</f>
        <v>#DIV/0!</v>
      </c>
      <c r="P58" s="859">
        <f>120/60</f>
        <v>2</v>
      </c>
      <c r="Q58" s="555" t="e">
        <f t="shared" ref="Q58:Q81" si="19">M58/I58</f>
        <v>#DIV/0!</v>
      </c>
      <c r="R58" s="270" t="s">
        <v>148</v>
      </c>
      <c r="S58" s="273"/>
    </row>
    <row r="59" spans="1:19" ht="17" x14ac:dyDescent="0.2">
      <c r="A59" s="1031"/>
      <c r="B59" s="122" t="s">
        <v>217</v>
      </c>
      <c r="C59" t="s">
        <v>485</v>
      </c>
      <c r="D59" s="816">
        <v>10</v>
      </c>
      <c r="E59" s="288" t="s">
        <v>478</v>
      </c>
      <c r="F59" s="816">
        <v>24</v>
      </c>
      <c r="G59" s="829">
        <v>0.4</v>
      </c>
      <c r="H59" s="542">
        <f t="shared" ref="H59:H81" si="20">(1+G59)*F59</f>
        <v>33.599999999999994</v>
      </c>
      <c r="I59" s="459" t="e">
        <f t="shared" si="17"/>
        <v>#DIV/0!</v>
      </c>
      <c r="J59" s="542" t="s">
        <v>441</v>
      </c>
      <c r="K59" s="832">
        <v>0.8</v>
      </c>
      <c r="L59" s="565" t="e">
        <f t="shared" si="18"/>
        <v>#DIV/0!</v>
      </c>
      <c r="M59" s="495" t="e">
        <f>'R2_Hydro_MEFA'!$L$30</f>
        <v>#DIV/0!</v>
      </c>
      <c r="N59" s="637">
        <f>Macro!$D$16*Macro!$D$20*8</f>
        <v>7920</v>
      </c>
      <c r="O59" s="642" t="e">
        <f t="shared" ref="O59:O71" si="21">L59*N59</f>
        <v>#DIV/0!</v>
      </c>
      <c r="P59" s="856">
        <f>15/60</f>
        <v>0.25</v>
      </c>
      <c r="Q59" s="497" t="e">
        <f t="shared" si="19"/>
        <v>#DIV/0!</v>
      </c>
      <c r="R59" t="s">
        <v>148</v>
      </c>
      <c r="S59" s="264"/>
    </row>
    <row r="60" spans="1:19" ht="17" x14ac:dyDescent="0.2">
      <c r="A60" s="1031"/>
      <c r="B60" t="s">
        <v>734</v>
      </c>
      <c r="C60" s="122" t="s">
        <v>491</v>
      </c>
      <c r="D60" s="816">
        <v>10</v>
      </c>
      <c r="E60" s="288" t="s">
        <v>478</v>
      </c>
      <c r="F60" s="816">
        <v>18.5</v>
      </c>
      <c r="G60" s="829">
        <v>0.4</v>
      </c>
      <c r="H60" s="542">
        <f t="shared" si="20"/>
        <v>25.9</v>
      </c>
      <c r="I60" s="459" t="e">
        <f t="shared" si="17"/>
        <v>#DIV/0!</v>
      </c>
      <c r="J60" s="542" t="s">
        <v>441</v>
      </c>
      <c r="K60" s="832">
        <v>0.8</v>
      </c>
      <c r="L60" s="565" t="e">
        <f t="shared" si="18"/>
        <v>#DIV/0!</v>
      </c>
      <c r="M60" s="495" t="e">
        <f>'R2_Hydro_MEFA'!$L$30</f>
        <v>#DIV/0!</v>
      </c>
      <c r="N60" s="637">
        <f>Macro!$D$16*Macro!$D$20*8</f>
        <v>7920</v>
      </c>
      <c r="O60" s="642" t="e">
        <f t="shared" si="21"/>
        <v>#DIV/0!</v>
      </c>
      <c r="P60" s="856">
        <f>20/60</f>
        <v>0.33333333333333331</v>
      </c>
      <c r="Q60" s="497" t="e">
        <f t="shared" si="19"/>
        <v>#DIV/0!</v>
      </c>
      <c r="R60" t="s">
        <v>148</v>
      </c>
      <c r="S60" s="264"/>
    </row>
    <row r="61" spans="1:19" ht="17" x14ac:dyDescent="0.2">
      <c r="A61" s="1031"/>
      <c r="B61" t="s">
        <v>569</v>
      </c>
      <c r="C61" s="122" t="s">
        <v>629</v>
      </c>
      <c r="D61" s="816">
        <v>10</v>
      </c>
      <c r="E61" s="288" t="s">
        <v>478</v>
      </c>
      <c r="F61" s="816">
        <v>5</v>
      </c>
      <c r="G61" s="829">
        <v>0.4</v>
      </c>
      <c r="H61" s="549">
        <f t="shared" si="20"/>
        <v>7</v>
      </c>
      <c r="I61" s="497" t="e">
        <f t="shared" si="17"/>
        <v>#DIV/0!</v>
      </c>
      <c r="J61" s="549" t="s">
        <v>441</v>
      </c>
      <c r="K61" s="832">
        <v>0.8</v>
      </c>
      <c r="L61" s="565" t="e">
        <f t="shared" si="18"/>
        <v>#DIV/0!</v>
      </c>
      <c r="M61" s="577" t="e">
        <f>'R2_Hydro_MEFA'!$L$43</f>
        <v>#DIV/0!</v>
      </c>
      <c r="N61" s="637">
        <f>Macro!$D$16*Macro!$D$20*8</f>
        <v>7920</v>
      </c>
      <c r="O61" s="642" t="e">
        <f t="shared" si="21"/>
        <v>#DIV/0!</v>
      </c>
      <c r="P61" s="856">
        <f>60/60</f>
        <v>1</v>
      </c>
      <c r="Q61" s="497" t="e">
        <f t="shared" si="19"/>
        <v>#DIV/0!</v>
      </c>
      <c r="S61" s="264"/>
    </row>
    <row r="62" spans="1:19" ht="17" x14ac:dyDescent="0.2">
      <c r="A62" s="1031"/>
      <c r="B62" t="s">
        <v>223</v>
      </c>
      <c r="C62" t="s">
        <v>479</v>
      </c>
      <c r="D62" s="816">
        <v>10</v>
      </c>
      <c r="E62" s="288" t="s">
        <v>478</v>
      </c>
      <c r="F62" s="816">
        <v>24</v>
      </c>
      <c r="G62" s="829">
        <v>0.4</v>
      </c>
      <c r="H62" s="542">
        <f t="shared" si="20"/>
        <v>33.599999999999994</v>
      </c>
      <c r="I62" s="459" t="e">
        <f t="shared" si="17"/>
        <v>#DIV/0!</v>
      </c>
      <c r="J62" s="542" t="s">
        <v>441</v>
      </c>
      <c r="K62" s="832">
        <v>0.8</v>
      </c>
      <c r="L62" s="565" t="e">
        <f t="shared" si="18"/>
        <v>#DIV/0!</v>
      </c>
      <c r="M62" s="495" t="e">
        <f>'R2_Hydro_MEFA'!$L$50</f>
        <v>#DIV/0!</v>
      </c>
      <c r="N62" s="637">
        <f>Macro!$D$16*Macro!$D$20*8</f>
        <v>7920</v>
      </c>
      <c r="O62" s="642" t="e">
        <f t="shared" si="21"/>
        <v>#DIV/0!</v>
      </c>
      <c r="P62" s="856">
        <f>60/60</f>
        <v>1</v>
      </c>
      <c r="Q62" s="497" t="e">
        <f t="shared" si="19"/>
        <v>#DIV/0!</v>
      </c>
      <c r="R62" t="s">
        <v>148</v>
      </c>
      <c r="S62" s="264"/>
    </row>
    <row r="63" spans="1:19" ht="17" x14ac:dyDescent="0.2">
      <c r="A63" s="1031"/>
      <c r="B63" t="s">
        <v>735</v>
      </c>
      <c r="C63" t="s">
        <v>492</v>
      </c>
      <c r="D63" s="816">
        <v>10</v>
      </c>
      <c r="E63" s="288" t="s">
        <v>478</v>
      </c>
      <c r="F63" s="816">
        <v>18.5</v>
      </c>
      <c r="G63" s="829">
        <v>0.4</v>
      </c>
      <c r="H63" s="542">
        <f t="shared" si="20"/>
        <v>25.9</v>
      </c>
      <c r="I63" s="459" t="e">
        <f t="shared" si="17"/>
        <v>#DIV/0!</v>
      </c>
      <c r="J63" s="542" t="s">
        <v>441</v>
      </c>
      <c r="K63" s="832">
        <v>0.8</v>
      </c>
      <c r="L63" s="565" t="e">
        <f t="shared" si="18"/>
        <v>#DIV/0!</v>
      </c>
      <c r="M63" s="495" t="e">
        <f>'R2_Hydro_MEFA'!$L$50</f>
        <v>#DIV/0!</v>
      </c>
      <c r="N63" s="637">
        <f>Macro!$D$16*Macro!$D$20*8</f>
        <v>7920</v>
      </c>
      <c r="O63" s="642" t="e">
        <f t="shared" si="21"/>
        <v>#DIV/0!</v>
      </c>
      <c r="P63" s="856">
        <f>10/60</f>
        <v>0.16666666666666666</v>
      </c>
      <c r="Q63" s="497" t="e">
        <f t="shared" si="19"/>
        <v>#DIV/0!</v>
      </c>
      <c r="R63" t="s">
        <v>148</v>
      </c>
      <c r="S63" s="264"/>
    </row>
    <row r="64" spans="1:19" ht="17" x14ac:dyDescent="0.2">
      <c r="A64" s="1031"/>
      <c r="B64" t="s">
        <v>220</v>
      </c>
      <c r="C64" t="s">
        <v>485</v>
      </c>
      <c r="D64" s="816">
        <v>10</v>
      </c>
      <c r="E64" s="288" t="s">
        <v>478</v>
      </c>
      <c r="F64" s="816">
        <v>24</v>
      </c>
      <c r="G64" s="829">
        <v>0.4</v>
      </c>
      <c r="H64" s="542">
        <f t="shared" si="20"/>
        <v>33.599999999999994</v>
      </c>
      <c r="I64" s="459" t="e">
        <f t="shared" si="17"/>
        <v>#DIV/0!</v>
      </c>
      <c r="J64" s="542" t="s">
        <v>441</v>
      </c>
      <c r="K64" s="832">
        <v>0.8</v>
      </c>
      <c r="L64" s="565" t="e">
        <f t="shared" si="18"/>
        <v>#DIV/0!</v>
      </c>
      <c r="M64" s="495" t="e">
        <f>'R2_Hydro_MEFA'!$L$65</f>
        <v>#DIV/0!</v>
      </c>
      <c r="N64" s="637">
        <f>Macro!$D$16*Macro!$D$20*8</f>
        <v>7920</v>
      </c>
      <c r="O64" s="642" t="e">
        <f t="shared" si="21"/>
        <v>#DIV/0!</v>
      </c>
      <c r="P64" s="856">
        <f>15/60</f>
        <v>0.25</v>
      </c>
      <c r="Q64" s="497" t="e">
        <f t="shared" si="19"/>
        <v>#DIV/0!</v>
      </c>
      <c r="R64" t="s">
        <v>148</v>
      </c>
      <c r="S64" s="264"/>
    </row>
    <row r="65" spans="1:19" ht="17" x14ac:dyDescent="0.2">
      <c r="A65" s="1031"/>
      <c r="B65" t="s">
        <v>736</v>
      </c>
      <c r="C65" t="s">
        <v>485</v>
      </c>
      <c r="D65" s="816">
        <v>10</v>
      </c>
      <c r="E65" s="288" t="s">
        <v>478</v>
      </c>
      <c r="F65" s="816">
        <v>24</v>
      </c>
      <c r="G65" s="829">
        <v>0.4</v>
      </c>
      <c r="H65" s="542">
        <f t="shared" si="20"/>
        <v>33.599999999999994</v>
      </c>
      <c r="I65" s="459" t="e">
        <f t="shared" si="17"/>
        <v>#DIV/0!</v>
      </c>
      <c r="J65" s="542" t="s">
        <v>441</v>
      </c>
      <c r="K65" s="832">
        <v>0.8</v>
      </c>
      <c r="L65" s="565" t="e">
        <f t="shared" si="18"/>
        <v>#DIV/0!</v>
      </c>
      <c r="M65" s="495" t="e">
        <f>'R2_Hydro_MEFA'!$L$72</f>
        <v>#DIV/0!</v>
      </c>
      <c r="N65" s="637">
        <f>Macro!$D$16*Macro!$D$20*8</f>
        <v>7920</v>
      </c>
      <c r="O65" s="642" t="e">
        <f t="shared" si="21"/>
        <v>#DIV/0!</v>
      </c>
      <c r="P65" s="952">
        <f>30/60</f>
        <v>0.5</v>
      </c>
      <c r="Q65" s="497" t="e">
        <f t="shared" si="19"/>
        <v>#DIV/0!</v>
      </c>
      <c r="R65" t="s">
        <v>148</v>
      </c>
      <c r="S65" s="264"/>
    </row>
    <row r="66" spans="1:19" ht="17" x14ac:dyDescent="0.2">
      <c r="A66" s="1031"/>
      <c r="B66" t="s">
        <v>737</v>
      </c>
      <c r="C66" t="s">
        <v>492</v>
      </c>
      <c r="D66" s="816">
        <v>10</v>
      </c>
      <c r="E66" s="288" t="s">
        <v>478</v>
      </c>
      <c r="F66" s="816">
        <v>18.5</v>
      </c>
      <c r="G66" s="829">
        <v>0.4</v>
      </c>
      <c r="H66" s="542">
        <f t="shared" si="20"/>
        <v>25.9</v>
      </c>
      <c r="I66" s="459" t="e">
        <f t="shared" si="17"/>
        <v>#DIV/0!</v>
      </c>
      <c r="J66" s="542" t="s">
        <v>441</v>
      </c>
      <c r="K66" s="832">
        <v>0.8</v>
      </c>
      <c r="L66" s="565" t="e">
        <f t="shared" si="18"/>
        <v>#DIV/0!</v>
      </c>
      <c r="M66" s="495" t="e">
        <f>'R2_Hydro_MEFA'!$L$72</f>
        <v>#DIV/0!</v>
      </c>
      <c r="N66" s="637">
        <f>Macro!$D$16*Macro!$D$20*8</f>
        <v>7920</v>
      </c>
      <c r="O66" s="642" t="e">
        <f t="shared" si="21"/>
        <v>#DIV/0!</v>
      </c>
      <c r="P66" s="459"/>
      <c r="Q66" s="497"/>
      <c r="R66" t="s">
        <v>148</v>
      </c>
      <c r="S66" s="264"/>
    </row>
    <row r="67" spans="1:19" ht="17" x14ac:dyDescent="0.2">
      <c r="A67" s="1031"/>
      <c r="B67" t="s">
        <v>579</v>
      </c>
      <c r="C67" t="s">
        <v>485</v>
      </c>
      <c r="D67" s="816">
        <v>10</v>
      </c>
      <c r="E67" s="288" t="s">
        <v>478</v>
      </c>
      <c r="F67" s="816">
        <v>24</v>
      </c>
      <c r="G67" s="829">
        <v>0.4</v>
      </c>
      <c r="H67" s="542">
        <f t="shared" si="20"/>
        <v>33.599999999999994</v>
      </c>
      <c r="I67" s="459" t="e">
        <f t="shared" si="17"/>
        <v>#DIV/0!</v>
      </c>
      <c r="J67" s="542" t="s">
        <v>441</v>
      </c>
      <c r="K67" s="832">
        <v>0.8</v>
      </c>
      <c r="L67" s="565" t="e">
        <f t="shared" si="18"/>
        <v>#DIV/0!</v>
      </c>
      <c r="M67" s="495" t="e">
        <f>'R2_Hydro_MEFA'!$L$78</f>
        <v>#DIV/0!</v>
      </c>
      <c r="N67" s="637">
        <f>Macro!$D$16*Macro!$D$20*8</f>
        <v>7920</v>
      </c>
      <c r="O67" s="642" t="e">
        <f t="shared" si="21"/>
        <v>#DIV/0!</v>
      </c>
      <c r="P67" s="952">
        <f>10/60</f>
        <v>0.16666666666666666</v>
      </c>
      <c r="Q67" s="497" t="e">
        <f t="shared" si="19"/>
        <v>#DIV/0!</v>
      </c>
      <c r="R67" t="s">
        <v>148</v>
      </c>
      <c r="S67" s="264"/>
    </row>
    <row r="68" spans="1:19" ht="17" x14ac:dyDescent="0.2">
      <c r="A68" s="1031"/>
      <c r="B68" t="s">
        <v>590</v>
      </c>
      <c r="C68" t="s">
        <v>485</v>
      </c>
      <c r="D68" s="816">
        <v>10</v>
      </c>
      <c r="E68" s="288" t="s">
        <v>478</v>
      </c>
      <c r="F68" s="816">
        <v>24</v>
      </c>
      <c r="G68" s="829">
        <v>0.4</v>
      </c>
      <c r="H68" s="542">
        <f t="shared" si="20"/>
        <v>33.599999999999994</v>
      </c>
      <c r="I68" s="459" t="e">
        <f t="shared" si="17"/>
        <v>#DIV/0!</v>
      </c>
      <c r="J68" s="542" t="s">
        <v>441</v>
      </c>
      <c r="K68" s="832">
        <v>0.8</v>
      </c>
      <c r="L68" s="565" t="e">
        <f t="shared" si="18"/>
        <v>#DIV/0!</v>
      </c>
      <c r="M68" s="495" t="e">
        <f>'R2_Hydro_MEFA'!$L$98</f>
        <v>#DIV/0!</v>
      </c>
      <c r="N68" s="637">
        <f>Macro!$D$16*Macro!$D$20*8</f>
        <v>7920</v>
      </c>
      <c r="O68" s="642" t="e">
        <f t="shared" si="21"/>
        <v>#DIV/0!</v>
      </c>
      <c r="P68" s="952">
        <f t="shared" ref="P68:P72" si="22">10/60</f>
        <v>0.16666666666666666</v>
      </c>
      <c r="Q68" s="497" t="e">
        <f t="shared" si="19"/>
        <v>#DIV/0!</v>
      </c>
      <c r="R68" t="s">
        <v>148</v>
      </c>
      <c r="S68" s="264"/>
    </row>
    <row r="69" spans="1:19" ht="17" x14ac:dyDescent="0.2">
      <c r="A69" s="1031"/>
      <c r="B69" t="s">
        <v>592</v>
      </c>
      <c r="C69" t="s">
        <v>485</v>
      </c>
      <c r="D69" s="816">
        <v>10</v>
      </c>
      <c r="E69" s="288" t="s">
        <v>478</v>
      </c>
      <c r="F69" s="816">
        <v>24</v>
      </c>
      <c r="G69" s="829">
        <v>0.4</v>
      </c>
      <c r="H69" s="542">
        <f t="shared" si="20"/>
        <v>33.599999999999994</v>
      </c>
      <c r="I69" s="459" t="e">
        <f t="shared" si="17"/>
        <v>#DIV/0!</v>
      </c>
      <c r="J69" s="542" t="s">
        <v>441</v>
      </c>
      <c r="K69" s="832">
        <v>0.8</v>
      </c>
      <c r="L69" s="565" t="e">
        <f t="shared" si="18"/>
        <v>#DIV/0!</v>
      </c>
      <c r="M69" s="495" t="e">
        <f>'R2_Hydro_MEFA'!$L$104</f>
        <v>#DIV/0!</v>
      </c>
      <c r="N69" s="637">
        <f>Macro!$D$16*Macro!$D$20*8</f>
        <v>7920</v>
      </c>
      <c r="O69" s="642" t="e">
        <f t="shared" si="21"/>
        <v>#DIV/0!</v>
      </c>
      <c r="P69" s="952">
        <f t="shared" si="22"/>
        <v>0.16666666666666666</v>
      </c>
      <c r="Q69" s="497" t="e">
        <f t="shared" si="19"/>
        <v>#DIV/0!</v>
      </c>
      <c r="R69" t="s">
        <v>148</v>
      </c>
      <c r="S69" s="264"/>
    </row>
    <row r="70" spans="1:19" ht="17" x14ac:dyDescent="0.2">
      <c r="A70" s="1031"/>
      <c r="B70" t="s">
        <v>484</v>
      </c>
      <c r="C70" t="s">
        <v>485</v>
      </c>
      <c r="D70" s="816">
        <v>10</v>
      </c>
      <c r="E70" s="288" t="s">
        <v>478</v>
      </c>
      <c r="F70" s="816">
        <v>24</v>
      </c>
      <c r="G70" s="829">
        <v>0.4</v>
      </c>
      <c r="H70" s="542">
        <f t="shared" si="20"/>
        <v>33.599999999999994</v>
      </c>
      <c r="I70" s="459" t="e">
        <f t="shared" si="17"/>
        <v>#DIV/0!</v>
      </c>
      <c r="J70" s="542" t="s">
        <v>441</v>
      </c>
      <c r="K70" s="832">
        <v>0.8</v>
      </c>
      <c r="L70" s="565" t="e">
        <f t="shared" si="18"/>
        <v>#DIV/0!</v>
      </c>
      <c r="M70" s="495" t="e">
        <f>'R2_Hydro_MEFA'!$L$104</f>
        <v>#DIV/0!</v>
      </c>
      <c r="N70" s="637">
        <f>Macro!$D$16*Macro!$D$20*8</f>
        <v>7920</v>
      </c>
      <c r="O70" s="642" t="e">
        <f t="shared" si="21"/>
        <v>#DIV/0!</v>
      </c>
      <c r="P70" s="952">
        <f t="shared" si="22"/>
        <v>0.16666666666666666</v>
      </c>
      <c r="Q70" s="497" t="e">
        <f t="shared" si="19"/>
        <v>#DIV/0!</v>
      </c>
      <c r="R70" t="s">
        <v>148</v>
      </c>
      <c r="S70" s="264"/>
    </row>
    <row r="71" spans="1:19" ht="17" x14ac:dyDescent="0.2">
      <c r="A71" s="1031"/>
      <c r="B71" t="s">
        <v>373</v>
      </c>
      <c r="C71" t="s">
        <v>485</v>
      </c>
      <c r="D71" s="816">
        <v>10</v>
      </c>
      <c r="E71" s="288" t="s">
        <v>478</v>
      </c>
      <c r="F71" s="816">
        <v>24</v>
      </c>
      <c r="G71" s="829">
        <v>0.4</v>
      </c>
      <c r="H71" s="542">
        <f t="shared" si="20"/>
        <v>33.599999999999994</v>
      </c>
      <c r="I71" s="459" t="e">
        <f t="shared" si="17"/>
        <v>#DIV/0!</v>
      </c>
      <c r="J71" s="542" t="s">
        <v>441</v>
      </c>
      <c r="K71" s="832">
        <v>0.8</v>
      </c>
      <c r="L71" s="565" t="e">
        <f t="shared" si="18"/>
        <v>#DIV/0!</v>
      </c>
      <c r="M71" s="495" t="e">
        <f>'R2_Hydro_MEFA'!$L$123</f>
        <v>#DIV/0!</v>
      </c>
      <c r="N71" s="637">
        <f>Macro!$D$16*Macro!$D$20*8</f>
        <v>7920</v>
      </c>
      <c r="O71" s="642" t="e">
        <f t="shared" si="21"/>
        <v>#DIV/0!</v>
      </c>
      <c r="P71" s="952">
        <f t="shared" si="22"/>
        <v>0.16666666666666666</v>
      </c>
      <c r="Q71" s="497" t="e">
        <f t="shared" si="19"/>
        <v>#DIV/0!</v>
      </c>
      <c r="R71" t="s">
        <v>148</v>
      </c>
      <c r="S71" s="264"/>
    </row>
    <row r="72" spans="1:19" ht="17" x14ac:dyDescent="0.2">
      <c r="A72" s="1031"/>
      <c r="B72" t="s">
        <v>377</v>
      </c>
      <c r="C72" t="s">
        <v>485</v>
      </c>
      <c r="D72" s="816">
        <v>10</v>
      </c>
      <c r="E72" s="288" t="s">
        <v>478</v>
      </c>
      <c r="F72" s="816">
        <v>24</v>
      </c>
      <c r="G72" s="829">
        <v>0.4</v>
      </c>
      <c r="H72" s="542">
        <f t="shared" si="20"/>
        <v>33.599999999999994</v>
      </c>
      <c r="I72" s="459" t="e">
        <f t="shared" si="17"/>
        <v>#DIV/0!</v>
      </c>
      <c r="J72" s="542" t="s">
        <v>441</v>
      </c>
      <c r="K72" s="832">
        <v>0.8</v>
      </c>
      <c r="L72" s="565" t="e">
        <f t="shared" si="18"/>
        <v>#DIV/0!</v>
      </c>
      <c r="M72" s="495" t="e">
        <f>'R2_Hydro_MEFA'!$L$129</f>
        <v>#DIV/0!</v>
      </c>
      <c r="N72" s="637">
        <f>Macro!$D$16*Macro!$D$20*8</f>
        <v>7920</v>
      </c>
      <c r="O72" s="642" t="e">
        <f>L72*N72</f>
        <v>#DIV/0!</v>
      </c>
      <c r="P72" s="952">
        <f t="shared" si="22"/>
        <v>0.16666666666666666</v>
      </c>
      <c r="Q72" s="497" t="e">
        <f t="shared" si="19"/>
        <v>#DIV/0!</v>
      </c>
      <c r="R72" t="s">
        <v>148</v>
      </c>
      <c r="S72" s="264"/>
    </row>
    <row r="73" spans="1:19" x14ac:dyDescent="0.2">
      <c r="A73" s="1031"/>
      <c r="B73" t="s">
        <v>630</v>
      </c>
      <c r="C73" t="s">
        <v>720</v>
      </c>
      <c r="D73" s="1035"/>
      <c r="E73" s="1035"/>
      <c r="F73" s="1035"/>
      <c r="G73" s="1035"/>
      <c r="H73" s="1035"/>
      <c r="I73" s="1035"/>
      <c r="J73" s="1035"/>
      <c r="K73" s="1035"/>
      <c r="L73" s="1035"/>
      <c r="M73" s="1035"/>
      <c r="N73" s="1035"/>
      <c r="O73" s="642" t="e">
        <f>C149/3.6</f>
        <v>#DIV/0!</v>
      </c>
      <c r="P73" s="459"/>
      <c r="Q73" s="497"/>
      <c r="S73" s="264" t="s">
        <v>721</v>
      </c>
    </row>
    <row r="74" spans="1:19" x14ac:dyDescent="0.2">
      <c r="A74" s="1031"/>
      <c r="B74" t="s">
        <v>631</v>
      </c>
      <c r="C74" t="s">
        <v>720</v>
      </c>
      <c r="D74" s="1035"/>
      <c r="E74" s="1035"/>
      <c r="F74" s="1035"/>
      <c r="G74" s="1035"/>
      <c r="H74" s="1035"/>
      <c r="I74" s="1035"/>
      <c r="J74" s="1035"/>
      <c r="K74" s="1035"/>
      <c r="L74" s="1035"/>
      <c r="M74" s="1035"/>
      <c r="N74" s="1035"/>
      <c r="O74" s="642" t="e">
        <f>C150/3.6</f>
        <v>#DIV/0!</v>
      </c>
      <c r="P74" s="459"/>
      <c r="Q74" s="497"/>
      <c r="S74" s="264" t="s">
        <v>721</v>
      </c>
    </row>
    <row r="75" spans="1:19" ht="17" x14ac:dyDescent="0.2">
      <c r="A75" s="1031"/>
      <c r="B75" t="s">
        <v>405</v>
      </c>
      <c r="C75" t="s">
        <v>485</v>
      </c>
      <c r="D75" s="816">
        <v>10</v>
      </c>
      <c r="E75" s="288" t="s">
        <v>478</v>
      </c>
      <c r="F75" s="816">
        <v>24</v>
      </c>
      <c r="G75" s="829">
        <v>0.4</v>
      </c>
      <c r="H75" s="542">
        <f t="shared" si="20"/>
        <v>33.599999999999994</v>
      </c>
      <c r="I75" s="459" t="e">
        <f t="shared" ref="I75:I77" si="23">M75/N75</f>
        <v>#DIV/0!</v>
      </c>
      <c r="J75" s="542" t="s">
        <v>441</v>
      </c>
      <c r="K75" s="832">
        <v>0.8</v>
      </c>
      <c r="L75" s="565" t="e">
        <f>H75*(I75/D75)^K75</f>
        <v>#DIV/0!</v>
      </c>
      <c r="M75" s="495" t="e">
        <f>'R2_Hydro_MEFA'!$L$91</f>
        <v>#DIV/0!</v>
      </c>
      <c r="N75" s="637">
        <f>Macro!$D$16*Macro!$D$20*8</f>
        <v>7920</v>
      </c>
      <c r="O75" s="642" t="e">
        <f>L75*N75</f>
        <v>#DIV/0!</v>
      </c>
      <c r="P75" s="952">
        <f>10/60</f>
        <v>0.16666666666666666</v>
      </c>
      <c r="Q75" s="497" t="e">
        <f t="shared" si="19"/>
        <v>#DIV/0!</v>
      </c>
      <c r="R75" t="s">
        <v>148</v>
      </c>
      <c r="S75" s="264"/>
    </row>
    <row r="76" spans="1:19" ht="17" x14ac:dyDescent="0.2">
      <c r="A76" s="1031"/>
      <c r="B76" t="s">
        <v>411</v>
      </c>
      <c r="C76" t="s">
        <v>485</v>
      </c>
      <c r="D76" s="816">
        <v>10</v>
      </c>
      <c r="E76" s="288" t="s">
        <v>478</v>
      </c>
      <c r="F76" s="816">
        <v>24</v>
      </c>
      <c r="G76" s="829">
        <v>0.4</v>
      </c>
      <c r="H76" s="542">
        <f t="shared" si="20"/>
        <v>33.599999999999994</v>
      </c>
      <c r="I76" s="459" t="e">
        <f t="shared" si="23"/>
        <v>#DIV/0!</v>
      </c>
      <c r="J76" s="542" t="s">
        <v>441</v>
      </c>
      <c r="K76" s="832">
        <v>0.8</v>
      </c>
      <c r="L76" s="565" t="e">
        <f>H76*(I76/D76)^K76</f>
        <v>#DIV/0!</v>
      </c>
      <c r="M76" s="495" t="e">
        <f>'R2_Hydro_MEFA'!$L$159</f>
        <v>#DIV/0!</v>
      </c>
      <c r="N76" s="637">
        <f>Macro!$D$16*Macro!$D$20*8</f>
        <v>7920</v>
      </c>
      <c r="O76" s="642" t="e">
        <f t="shared" ref="O76:O77" si="24">L76*N76</f>
        <v>#DIV/0!</v>
      </c>
      <c r="P76" s="952">
        <f t="shared" ref="P76:P77" si="25">10/60</f>
        <v>0.16666666666666666</v>
      </c>
      <c r="Q76" s="497" t="e">
        <f t="shared" si="19"/>
        <v>#DIV/0!</v>
      </c>
      <c r="R76" t="s">
        <v>148</v>
      </c>
      <c r="S76" s="264"/>
    </row>
    <row r="77" spans="1:19" ht="17" x14ac:dyDescent="0.2">
      <c r="A77" s="1031"/>
      <c r="B77" t="s">
        <v>414</v>
      </c>
      <c r="C77" t="s">
        <v>485</v>
      </c>
      <c r="D77" s="816">
        <v>10</v>
      </c>
      <c r="E77" s="288" t="s">
        <v>478</v>
      </c>
      <c r="F77" s="816">
        <v>24</v>
      </c>
      <c r="G77" s="829">
        <v>0.4</v>
      </c>
      <c r="H77" s="542">
        <f t="shared" si="20"/>
        <v>33.599999999999994</v>
      </c>
      <c r="I77" s="459" t="e">
        <f t="shared" si="23"/>
        <v>#DIV/0!</v>
      </c>
      <c r="J77" s="542" t="s">
        <v>441</v>
      </c>
      <c r="K77" s="832">
        <v>0.8</v>
      </c>
      <c r="L77" s="565" t="e">
        <f>H77*(I77/D77)^K77</f>
        <v>#DIV/0!</v>
      </c>
      <c r="M77" s="495" t="e">
        <f>'R2_Hydro_MEFA'!$L$165</f>
        <v>#DIV/0!</v>
      </c>
      <c r="N77" s="637">
        <f>Macro!$D$16*Macro!$D$20*8</f>
        <v>7920</v>
      </c>
      <c r="O77" s="642" t="e">
        <f t="shared" si="24"/>
        <v>#DIV/0!</v>
      </c>
      <c r="P77" s="952">
        <f t="shared" si="25"/>
        <v>0.16666666666666666</v>
      </c>
      <c r="Q77" s="497" t="e">
        <f t="shared" si="19"/>
        <v>#DIV/0!</v>
      </c>
      <c r="R77" t="s">
        <v>148</v>
      </c>
      <c r="S77" s="264"/>
    </row>
    <row r="78" spans="1:19" x14ac:dyDescent="0.2">
      <c r="A78" s="1031"/>
      <c r="B78" t="s">
        <v>632</v>
      </c>
      <c r="C78" t="s">
        <v>720</v>
      </c>
      <c r="D78" s="1035"/>
      <c r="E78" s="1035"/>
      <c r="F78" s="1035"/>
      <c r="G78" s="1035"/>
      <c r="H78" s="1035"/>
      <c r="I78" s="1035"/>
      <c r="J78" s="1035"/>
      <c r="K78" s="1035"/>
      <c r="L78" s="1035"/>
      <c r="M78" s="1035"/>
      <c r="N78" s="1035"/>
      <c r="O78" s="640" t="e">
        <f>C151/3.6</f>
        <v>#DIV/0!</v>
      </c>
      <c r="P78" s="459"/>
      <c r="Q78" s="497"/>
      <c r="R78" t="s">
        <v>148</v>
      </c>
      <c r="S78" s="264"/>
    </row>
    <row r="79" spans="1:19" ht="16" x14ac:dyDescent="0.2">
      <c r="A79" s="1031"/>
      <c r="B79" s="122" t="s">
        <v>213</v>
      </c>
      <c r="C79" s="288" t="s">
        <v>417</v>
      </c>
      <c r="D79" s="1035"/>
      <c r="E79" s="1035"/>
      <c r="F79" s="1035"/>
      <c r="G79" s="1035"/>
      <c r="H79" s="1035"/>
      <c r="I79" s="1035"/>
      <c r="J79" s="1035"/>
      <c r="K79" s="1035"/>
      <c r="L79" s="1035"/>
      <c r="M79" s="1035"/>
      <c r="N79" s="1035"/>
      <c r="O79" s="642" t="e">
        <f>C157/3.6</f>
        <v>#DIV/0!</v>
      </c>
      <c r="P79" s="459"/>
      <c r="Q79" s="497"/>
      <c r="S79" s="264" t="s">
        <v>721</v>
      </c>
    </row>
    <row r="80" spans="1:19" ht="17" x14ac:dyDescent="0.2">
      <c r="A80" s="1031"/>
      <c r="B80" s="122" t="s">
        <v>633</v>
      </c>
      <c r="C80" t="s">
        <v>485</v>
      </c>
      <c r="D80" s="816">
        <v>10</v>
      </c>
      <c r="E80" s="288" t="s">
        <v>478</v>
      </c>
      <c r="F80" s="816">
        <v>24</v>
      </c>
      <c r="G80" s="829">
        <v>0.4</v>
      </c>
      <c r="H80" s="542">
        <f t="shared" si="20"/>
        <v>33.599999999999994</v>
      </c>
      <c r="I80" s="459" t="e">
        <f t="shared" ref="I80:I81" si="26">M80/N80</f>
        <v>#DIV/0!</v>
      </c>
      <c r="J80" s="542" t="s">
        <v>441</v>
      </c>
      <c r="K80" s="832">
        <v>0.8</v>
      </c>
      <c r="L80" s="565" t="e">
        <f>H80*(I80/D80)^K80</f>
        <v>#DIV/0!</v>
      </c>
      <c r="M80" s="495" t="e">
        <f>'R2_Hydro_MEFA'!$L$188</f>
        <v>#DIV/0!</v>
      </c>
      <c r="N80" s="637">
        <f>Macro!$D$16*Macro!$D$20*8</f>
        <v>7920</v>
      </c>
      <c r="O80" s="642" t="e">
        <f>N80*L80</f>
        <v>#DIV/0!</v>
      </c>
      <c r="P80" s="952">
        <f>30/60</f>
        <v>0.5</v>
      </c>
      <c r="Q80" s="497" t="e">
        <f t="shared" si="19"/>
        <v>#DIV/0!</v>
      </c>
      <c r="R80" t="s">
        <v>148</v>
      </c>
      <c r="S80" s="264"/>
    </row>
    <row r="81" spans="1:19" ht="17" x14ac:dyDescent="0.2">
      <c r="A81" s="1031"/>
      <c r="B81" t="s">
        <v>697</v>
      </c>
      <c r="C81" t="s">
        <v>492</v>
      </c>
      <c r="D81" s="816">
        <v>10</v>
      </c>
      <c r="E81" t="s">
        <v>478</v>
      </c>
      <c r="F81" s="816">
        <v>18.5</v>
      </c>
      <c r="G81" s="829">
        <v>0.4</v>
      </c>
      <c r="H81" s="542">
        <f t="shared" si="20"/>
        <v>25.9</v>
      </c>
      <c r="I81" s="459" t="e">
        <f t="shared" si="26"/>
        <v>#DIV/0!</v>
      </c>
      <c r="J81" s="542" t="s">
        <v>441</v>
      </c>
      <c r="K81" s="832">
        <v>0.8</v>
      </c>
      <c r="L81" s="565" t="e">
        <f>H81*(I81/D81)^K81</f>
        <v>#DIV/0!</v>
      </c>
      <c r="M81" s="495" t="e">
        <f>'R2_Hydro_MEFA'!$L$188</f>
        <v>#DIV/0!</v>
      </c>
      <c r="N81" s="637">
        <f>Macro!$D$16*Macro!$D$20*8</f>
        <v>7920</v>
      </c>
      <c r="O81" s="642" t="e">
        <f>N81*L81</f>
        <v>#DIV/0!</v>
      </c>
      <c r="P81" s="856">
        <f>10/60</f>
        <v>0.16666666666666666</v>
      </c>
      <c r="Q81" s="497" t="e">
        <f t="shared" si="19"/>
        <v>#DIV/0!</v>
      </c>
      <c r="R81" t="s">
        <v>148</v>
      </c>
      <c r="S81" s="264"/>
    </row>
    <row r="82" spans="1:19" ht="16" thickBot="1" x14ac:dyDescent="0.25">
      <c r="A82" s="1032"/>
      <c r="B82" s="275" t="s">
        <v>24</v>
      </c>
      <c r="C82" s="275" t="s">
        <v>417</v>
      </c>
      <c r="D82" s="1034"/>
      <c r="E82" s="1034"/>
      <c r="F82" s="1034"/>
      <c r="G82" s="1034"/>
      <c r="H82" s="1034"/>
      <c r="I82" s="1034"/>
      <c r="J82" s="1034"/>
      <c r="K82" s="1034"/>
      <c r="L82" s="1034"/>
      <c r="M82" s="1034"/>
      <c r="N82" s="1034"/>
      <c r="O82" s="643">
        <f>C161/3.6</f>
        <v>0</v>
      </c>
      <c r="P82" s="552"/>
      <c r="Q82" s="552"/>
      <c r="R82" s="275"/>
      <c r="S82" s="278" t="s">
        <v>721</v>
      </c>
    </row>
    <row r="83" spans="1:19" x14ac:dyDescent="0.2">
      <c r="A83" s="547"/>
      <c r="D83" s="497"/>
      <c r="E83" s="288"/>
      <c r="G83" s="548"/>
      <c r="H83" s="542"/>
      <c r="I83" s="459"/>
      <c r="J83" s="542"/>
      <c r="L83" s="565"/>
      <c r="M83" s="497"/>
      <c r="N83" s="497"/>
      <c r="O83" s="585"/>
      <c r="P83" s="497"/>
      <c r="Q83" s="497"/>
    </row>
    <row r="84" spans="1:19" x14ac:dyDescent="0.2">
      <c r="A84" s="547"/>
      <c r="D84" s="497"/>
      <c r="E84" s="288"/>
      <c r="G84" s="548"/>
      <c r="H84" s="542"/>
      <c r="I84" s="459"/>
      <c r="J84" s="542"/>
      <c r="L84" s="565"/>
      <c r="M84" s="497"/>
      <c r="N84" s="497"/>
      <c r="O84" s="585"/>
      <c r="P84" s="497"/>
      <c r="Q84" s="497"/>
    </row>
    <row r="85" spans="1:19" ht="22" thickBot="1" x14ac:dyDescent="0.3">
      <c r="A85" s="189" t="s">
        <v>110</v>
      </c>
    </row>
    <row r="86" spans="1:19" s="630" customFormat="1" ht="52.25" customHeight="1" thickBot="1" x14ac:dyDescent="0.25">
      <c r="A86" s="649" t="s">
        <v>723</v>
      </c>
      <c r="B86" s="649" t="s">
        <v>738</v>
      </c>
      <c r="C86" s="649" t="s">
        <v>453</v>
      </c>
      <c r="D86" s="649" t="s">
        <v>447</v>
      </c>
      <c r="E86" s="649" t="s">
        <v>263</v>
      </c>
      <c r="F86" s="649" t="s">
        <v>703</v>
      </c>
      <c r="G86" s="648" t="s">
        <v>704</v>
      </c>
      <c r="H86" s="649" t="s">
        <v>705</v>
      </c>
      <c r="I86" s="649" t="s">
        <v>706</v>
      </c>
      <c r="J86" s="649" t="s">
        <v>263</v>
      </c>
      <c r="K86" s="651" t="s">
        <v>725</v>
      </c>
      <c r="L86" s="651" t="s">
        <v>739</v>
      </c>
      <c r="M86" s="652" t="s">
        <v>709</v>
      </c>
      <c r="N86" s="646" t="s">
        <v>710</v>
      </c>
      <c r="O86" s="647" t="s">
        <v>740</v>
      </c>
      <c r="P86" s="648" t="s">
        <v>712</v>
      </c>
      <c r="Q86" s="648" t="s">
        <v>713</v>
      </c>
      <c r="R86" s="649" t="s">
        <v>621</v>
      </c>
      <c r="S86" s="629" t="s">
        <v>333</v>
      </c>
    </row>
    <row r="87" spans="1:19" ht="16" x14ac:dyDescent="0.2">
      <c r="A87" s="1027" t="s">
        <v>259</v>
      </c>
      <c r="B87" s="269" t="s">
        <v>175</v>
      </c>
      <c r="C87" s="782" t="s">
        <v>714</v>
      </c>
      <c r="D87" s="852">
        <v>6</v>
      </c>
      <c r="E87" s="269" t="s">
        <v>1085</v>
      </c>
      <c r="F87" s="279"/>
      <c r="G87" s="553"/>
      <c r="H87" s="541"/>
      <c r="I87" s="541"/>
      <c r="J87" s="541"/>
      <c r="K87" s="279"/>
      <c r="L87" s="561"/>
      <c r="M87" s="546"/>
      <c r="N87" s="497"/>
      <c r="O87" s="582"/>
      <c r="P87" s="546"/>
      <c r="Q87" s="546"/>
      <c r="R87" s="270"/>
      <c r="S87" s="273"/>
    </row>
    <row r="88" spans="1:19" x14ac:dyDescent="0.2">
      <c r="A88" s="1028"/>
      <c r="B88" s="288" t="s">
        <v>176</v>
      </c>
      <c r="C88" s="288" t="s">
        <v>464</v>
      </c>
      <c r="D88" s="832">
        <v>0.33333333333333331</v>
      </c>
      <c r="E88" s="288" t="s">
        <v>1085</v>
      </c>
      <c r="F88" s="181"/>
      <c r="G88" s="548"/>
      <c r="H88" s="542"/>
      <c r="I88" s="542"/>
      <c r="J88" s="542"/>
      <c r="L88" s="562"/>
      <c r="M88" s="459"/>
      <c r="N88" s="497"/>
      <c r="O88" s="583"/>
      <c r="P88" s="459"/>
      <c r="Q88" s="459"/>
      <c r="S88" s="264"/>
    </row>
    <row r="89" spans="1:19" x14ac:dyDescent="0.2">
      <c r="A89" s="1028"/>
      <c r="B89" s="288" t="s">
        <v>177</v>
      </c>
      <c r="C89" s="288" t="s">
        <v>466</v>
      </c>
      <c r="D89" s="832">
        <v>6</v>
      </c>
      <c r="E89" s="288" t="s">
        <v>1086</v>
      </c>
      <c r="F89" s="181"/>
      <c r="G89" s="548"/>
      <c r="H89" s="542"/>
      <c r="I89" s="542"/>
      <c r="J89" s="542"/>
      <c r="L89" s="562"/>
      <c r="M89" s="459"/>
      <c r="N89" s="497"/>
      <c r="O89" s="583"/>
      <c r="P89" s="459"/>
      <c r="Q89" s="459"/>
      <c r="S89" s="264"/>
    </row>
    <row r="90" spans="1:19" ht="16" thickBot="1" x14ac:dyDescent="0.25">
      <c r="A90" s="1028"/>
      <c r="B90" s="288" t="s">
        <v>259</v>
      </c>
      <c r="C90" s="288" t="s">
        <v>716</v>
      </c>
      <c r="D90" s="832">
        <v>0.25</v>
      </c>
      <c r="E90" s="288" t="s">
        <v>1085</v>
      </c>
      <c r="F90" s="181"/>
      <c r="G90" s="548"/>
      <c r="H90" s="542"/>
      <c r="I90" s="542"/>
      <c r="J90" s="542"/>
      <c r="L90" s="562"/>
      <c r="M90" s="459"/>
      <c r="N90" s="497"/>
      <c r="O90" s="583"/>
      <c r="P90" s="459"/>
      <c r="Q90" s="459"/>
      <c r="S90" s="264" t="s">
        <v>741</v>
      </c>
    </row>
    <row r="91" spans="1:19" ht="17" x14ac:dyDescent="0.2">
      <c r="A91" s="1027" t="s">
        <v>742</v>
      </c>
      <c r="B91" s="784" t="s">
        <v>195</v>
      </c>
      <c r="C91" s="270" t="s">
        <v>344</v>
      </c>
      <c r="D91" s="834">
        <v>2</v>
      </c>
      <c r="E91" s="269" t="s">
        <v>478</v>
      </c>
      <c r="F91" s="834">
        <v>350</v>
      </c>
      <c r="G91" s="831">
        <v>0.4</v>
      </c>
      <c r="H91" s="543">
        <f>(1+G91)*(F91/800*600)</f>
        <v>367.5</v>
      </c>
      <c r="I91" s="546" t="e">
        <f>M91/N91</f>
        <v>#DIV/0!</v>
      </c>
      <c r="J91" s="543" t="s">
        <v>441</v>
      </c>
      <c r="K91" s="852">
        <v>0.8</v>
      </c>
      <c r="L91" s="564" t="e">
        <f t="shared" ref="L91:L96" si="27">H91*(I91/D91)^K91</f>
        <v>#DIV/0!</v>
      </c>
      <c r="M91" s="576" t="e">
        <f>'R3_MEFA'!C48/2.5</f>
        <v>#DIV/0!</v>
      </c>
      <c r="N91" s="638">
        <f>Macro!$D$16*Macro!$D$20*8</f>
        <v>7920</v>
      </c>
      <c r="O91" s="644" t="e">
        <f>L91*N91</f>
        <v>#DIV/0!</v>
      </c>
      <c r="P91" s="859">
        <f>120/60</f>
        <v>2</v>
      </c>
      <c r="Q91" s="555" t="e">
        <f t="shared" ref="Q91" si="28">M91/I91</f>
        <v>#DIV/0!</v>
      </c>
      <c r="R91" s="270" t="s">
        <v>148</v>
      </c>
      <c r="S91" s="273" t="s">
        <v>743</v>
      </c>
    </row>
    <row r="92" spans="1:19" ht="17" thickBot="1" x14ac:dyDescent="0.25">
      <c r="A92" s="1029"/>
      <c r="B92" s="748" t="s">
        <v>197</v>
      </c>
      <c r="C92" s="289" t="s">
        <v>689</v>
      </c>
      <c r="D92" s="860">
        <v>1.5</v>
      </c>
      <c r="E92" s="289" t="s">
        <v>1090</v>
      </c>
      <c r="F92" s="833">
        <v>5</v>
      </c>
      <c r="G92" s="830">
        <v>0.4</v>
      </c>
      <c r="H92" s="687">
        <f>(1+G92)*F92</f>
        <v>7</v>
      </c>
      <c r="I92" s="552" t="e">
        <f>M92/N92</f>
        <v>#DIV/0!</v>
      </c>
      <c r="J92" s="551"/>
      <c r="K92" s="833">
        <v>0.8</v>
      </c>
      <c r="L92" s="566" t="e">
        <f t="shared" si="27"/>
        <v>#DIV/0!</v>
      </c>
      <c r="M92" s="645" t="e">
        <f>'R3_MEFA'!C6</f>
        <v>#DIV/0!</v>
      </c>
      <c r="N92" s="688">
        <f>Macro!$D$16*Macro!$D$20*8</f>
        <v>7920</v>
      </c>
      <c r="O92" s="643" t="e">
        <f>N92*F92/(D92/I92)</f>
        <v>#DIV/0!</v>
      </c>
      <c r="P92" s="857">
        <v>1</v>
      </c>
      <c r="Q92" s="552" t="e">
        <f>M92/I92</f>
        <v>#DIV/0!</v>
      </c>
      <c r="R92" s="275" t="s">
        <v>467</v>
      </c>
      <c r="S92" s="278"/>
    </row>
    <row r="93" spans="1:19" x14ac:dyDescent="0.2">
      <c r="A93" s="1030" t="s">
        <v>685</v>
      </c>
      <c r="B93" s="270" t="s">
        <v>199</v>
      </c>
      <c r="C93" s="270" t="s">
        <v>727</v>
      </c>
      <c r="D93" s="834">
        <v>1.5</v>
      </c>
      <c r="E93" s="269" t="s">
        <v>488</v>
      </c>
      <c r="F93" s="858">
        <f>F54</f>
        <v>1</v>
      </c>
      <c r="G93" s="831">
        <v>0.4</v>
      </c>
      <c r="H93" s="543">
        <f t="shared" ref="H93" si="29">(1+G93)*F93</f>
        <v>1.4</v>
      </c>
      <c r="I93" s="546" t="e">
        <f>M93/N93</f>
        <v>#DIV/0!</v>
      </c>
      <c r="J93" s="543" t="s">
        <v>515</v>
      </c>
      <c r="K93" s="852">
        <v>0.8</v>
      </c>
      <c r="L93" s="564" t="e">
        <f t="shared" si="27"/>
        <v>#DIV/0!</v>
      </c>
      <c r="M93" s="576" t="e">
        <f>'R3_MEFA'!C61</f>
        <v>#DIV/0!</v>
      </c>
      <c r="N93" s="638">
        <f>Macro!$D$16*Macro!$D$20*8</f>
        <v>7920</v>
      </c>
      <c r="O93" s="644" t="e">
        <f>N93*L93</f>
        <v>#DIV/0!</v>
      </c>
      <c r="P93" s="546"/>
      <c r="Q93" s="546"/>
      <c r="R93" s="270" t="s">
        <v>467</v>
      </c>
      <c r="S93" s="273" t="s">
        <v>731</v>
      </c>
    </row>
    <row r="94" spans="1:19" x14ac:dyDescent="0.2">
      <c r="A94" s="1031"/>
      <c r="B94" t="s">
        <v>686</v>
      </c>
      <c r="C94" s="288" t="s">
        <v>686</v>
      </c>
      <c r="D94" s="846">
        <v>1.5</v>
      </c>
      <c r="E94" s="288" t="s">
        <v>488</v>
      </c>
      <c r="F94" s="846">
        <v>0</v>
      </c>
      <c r="G94" s="829">
        <v>0.4</v>
      </c>
      <c r="H94" s="549">
        <f t="shared" ref="H94:H96" si="30">(1+G94)*F94</f>
        <v>0</v>
      </c>
      <c r="I94" s="497" t="e">
        <f t="shared" ref="I94:I96" si="31">M94/N94</f>
        <v>#DIV/0!</v>
      </c>
      <c r="J94" s="549" t="s">
        <v>515</v>
      </c>
      <c r="K94" s="832">
        <v>0.8</v>
      </c>
      <c r="L94" s="565" t="e">
        <f t="shared" si="27"/>
        <v>#DIV/0!</v>
      </c>
      <c r="M94" s="577" t="e">
        <f>'R3_MEFA'!C66</f>
        <v>#DIV/0!</v>
      </c>
      <c r="N94" s="637">
        <f>Macro!$D$16*Macro!$D$20*8</f>
        <v>7920</v>
      </c>
      <c r="O94" s="642">
        <v>0</v>
      </c>
      <c r="P94" s="497"/>
      <c r="Q94" s="497"/>
      <c r="R94" t="s">
        <v>467</v>
      </c>
      <c r="S94" s="264"/>
    </row>
    <row r="95" spans="1:19" x14ac:dyDescent="0.2">
      <c r="A95" s="1031"/>
      <c r="B95" t="s">
        <v>438</v>
      </c>
      <c r="C95" s="288" t="s">
        <v>438</v>
      </c>
      <c r="D95" s="846">
        <v>1.5</v>
      </c>
      <c r="E95" s="288" t="s">
        <v>488</v>
      </c>
      <c r="F95" s="846">
        <v>5</v>
      </c>
      <c r="G95" s="829">
        <v>0.4</v>
      </c>
      <c r="H95" s="542">
        <f t="shared" si="30"/>
        <v>7</v>
      </c>
      <c r="I95" s="459" t="e">
        <f t="shared" si="31"/>
        <v>#DIV/0!</v>
      </c>
      <c r="J95" s="542" t="s">
        <v>515</v>
      </c>
      <c r="K95" s="832">
        <v>0.8</v>
      </c>
      <c r="L95" s="565" t="e">
        <f t="shared" si="27"/>
        <v>#DIV/0!</v>
      </c>
      <c r="M95" s="495" t="e">
        <f>'R3_MEFA'!C72</f>
        <v>#DIV/0!</v>
      </c>
      <c r="N95" s="637">
        <f>Macro!$D$16*Macro!$D$20*8</f>
        <v>7920</v>
      </c>
      <c r="O95" s="640" t="e">
        <f>N95*L95</f>
        <v>#DIV/0!</v>
      </c>
      <c r="P95" s="497"/>
      <c r="Q95" s="497"/>
      <c r="R95" t="s">
        <v>467</v>
      </c>
      <c r="S95" s="264"/>
    </row>
    <row r="96" spans="1:19" ht="16" thickBot="1" x14ac:dyDescent="0.25">
      <c r="A96" s="1031"/>
      <c r="B96" t="s">
        <v>200</v>
      </c>
      <c r="C96" s="288" t="s">
        <v>625</v>
      </c>
      <c r="D96" s="846">
        <v>1.5</v>
      </c>
      <c r="E96" s="288" t="s">
        <v>488</v>
      </c>
      <c r="F96" s="846">
        <v>0.25</v>
      </c>
      <c r="G96" s="829">
        <v>0.4</v>
      </c>
      <c r="H96" s="542">
        <f t="shared" si="30"/>
        <v>0.35</v>
      </c>
      <c r="I96" s="459" t="e">
        <f t="shared" si="31"/>
        <v>#DIV/0!</v>
      </c>
      <c r="J96" s="542" t="s">
        <v>515</v>
      </c>
      <c r="K96" s="832">
        <v>0.8</v>
      </c>
      <c r="L96" s="565" t="e">
        <f t="shared" si="27"/>
        <v>#DIV/0!</v>
      </c>
      <c r="M96" s="495" t="e">
        <f>'R3_MEFA'!C78</f>
        <v>#DIV/0!</v>
      </c>
      <c r="N96" s="637">
        <f>Macro!$D$16*Macro!$D$20*8</f>
        <v>7920</v>
      </c>
      <c r="O96" s="640" t="e">
        <f>N96*L96</f>
        <v>#DIV/0!</v>
      </c>
      <c r="P96" s="497"/>
      <c r="Q96" s="497"/>
      <c r="R96" t="s">
        <v>467</v>
      </c>
      <c r="S96" s="264"/>
    </row>
    <row r="97" spans="1:22" ht="16" x14ac:dyDescent="0.2">
      <c r="A97" s="1027" t="s">
        <v>260</v>
      </c>
      <c r="B97" s="782" t="s">
        <v>687</v>
      </c>
      <c r="C97" s="269" t="s">
        <v>718</v>
      </c>
      <c r="D97" s="279"/>
      <c r="E97" s="269"/>
      <c r="F97" s="279"/>
      <c r="G97" s="553"/>
      <c r="H97" s="554"/>
      <c r="I97" s="555"/>
      <c r="J97" s="554"/>
      <c r="K97" s="279"/>
      <c r="L97" s="564"/>
      <c r="M97" s="555"/>
      <c r="N97" s="555"/>
      <c r="O97" s="699"/>
      <c r="P97" s="546"/>
      <c r="Q97" s="546"/>
      <c r="R97" s="270"/>
      <c r="S97" s="273"/>
    </row>
    <row r="98" spans="1:22" x14ac:dyDescent="0.2">
      <c r="A98" s="1028"/>
      <c r="B98" s="288" t="s">
        <v>729</v>
      </c>
      <c r="C98" s="288" t="s">
        <v>689</v>
      </c>
      <c r="D98" s="832">
        <v>1.5</v>
      </c>
      <c r="E98" s="288" t="s">
        <v>1090</v>
      </c>
      <c r="F98" s="853">
        <v>5</v>
      </c>
      <c r="G98" s="829">
        <v>0.4</v>
      </c>
      <c r="H98" s="655">
        <f>(1+G98)*F98</f>
        <v>7</v>
      </c>
      <c r="I98" s="497" t="e">
        <f>M98/N98</f>
        <v>#DIV/0!</v>
      </c>
      <c r="J98" s="549" t="s">
        <v>1090</v>
      </c>
      <c r="K98" s="832">
        <v>0.8</v>
      </c>
      <c r="L98" s="565" t="e">
        <f>H98*(I98/D98)^K98</f>
        <v>#DIV/0!</v>
      </c>
      <c r="M98" s="577" t="e">
        <f>'R3_MEFA'!C6</f>
        <v>#DIV/0!</v>
      </c>
      <c r="N98" s="577">
        <f>Macro!$D$16*Macro!$D$20*8</f>
        <v>7920</v>
      </c>
      <c r="O98" s="642" t="e">
        <f>N98*F98/(D98/I98)</f>
        <v>#DIV/0!</v>
      </c>
      <c r="P98" s="497"/>
      <c r="Q98" s="497" t="e">
        <f>M98/I98</f>
        <v>#DIV/0!</v>
      </c>
      <c r="R98" t="s">
        <v>467</v>
      </c>
      <c r="S98" s="264"/>
    </row>
    <row r="99" spans="1:22" x14ac:dyDescent="0.2">
      <c r="A99" s="1028"/>
      <c r="B99" s="288" t="s">
        <v>690</v>
      </c>
      <c r="C99" s="288" t="s">
        <v>691</v>
      </c>
      <c r="D99" s="832">
        <v>20</v>
      </c>
      <c r="E99" s="288" t="s">
        <v>515</v>
      </c>
      <c r="F99" s="853">
        <v>200</v>
      </c>
      <c r="G99" s="829">
        <v>0</v>
      </c>
      <c r="H99" s="549">
        <f t="shared" ref="H99" si="32">(1+G99)*F99</f>
        <v>200</v>
      </c>
      <c r="I99" s="497" t="e">
        <f t="shared" ref="I99" si="33">M99/N99</f>
        <v>#DIV/0!</v>
      </c>
      <c r="J99" s="549" t="s">
        <v>515</v>
      </c>
      <c r="K99" s="832">
        <v>0.8</v>
      </c>
      <c r="L99" s="565" t="e">
        <f>H99*(I99/D99)^K99</f>
        <v>#DIV/0!</v>
      </c>
      <c r="M99" s="577" t="e">
        <f>'R3_MEFA'!L93</f>
        <v>#DIV/0!</v>
      </c>
      <c r="N99" s="577">
        <f>Macro!$D$16*Macro!$D$20*8</f>
        <v>7920</v>
      </c>
      <c r="O99" s="642" t="e">
        <f>N99*F99/(D99/I99)</f>
        <v>#DIV/0!</v>
      </c>
      <c r="P99" s="497"/>
      <c r="Q99" s="497"/>
      <c r="R99" t="s">
        <v>719</v>
      </c>
      <c r="S99" s="264"/>
    </row>
    <row r="100" spans="1:22" ht="16" thickBot="1" x14ac:dyDescent="0.25">
      <c r="A100" s="1029"/>
      <c r="B100" s="289" t="s">
        <v>690</v>
      </c>
      <c r="C100" s="289" t="s">
        <v>692</v>
      </c>
      <c r="D100" s="833">
        <v>20</v>
      </c>
      <c r="E100" s="289" t="s">
        <v>515</v>
      </c>
      <c r="F100" s="861">
        <v>200</v>
      </c>
      <c r="G100" s="830">
        <v>0</v>
      </c>
      <c r="H100" s="551">
        <f>(1+G100)*F100</f>
        <v>200</v>
      </c>
      <c r="I100" s="552" t="e">
        <f>M100/N100</f>
        <v>#DIV/0!</v>
      </c>
      <c r="J100" s="551" t="s">
        <v>515</v>
      </c>
      <c r="K100" s="833">
        <v>0.8</v>
      </c>
      <c r="L100" s="566" t="e">
        <f>H100*(I100/D100)^K100</f>
        <v>#DIV/0!</v>
      </c>
      <c r="M100" s="645" t="e">
        <f>'R3_MEFA'!L94</f>
        <v>#DIV/0!</v>
      </c>
      <c r="N100" s="645">
        <f>Macro!$D$16*Macro!$D$20*8</f>
        <v>7920</v>
      </c>
      <c r="O100" s="643" t="e">
        <f>N100*F100/(D100/I100)</f>
        <v>#DIV/0!</v>
      </c>
      <c r="P100" s="552"/>
      <c r="Q100" s="552"/>
      <c r="R100" s="275" t="s">
        <v>719</v>
      </c>
      <c r="S100" s="278"/>
    </row>
    <row r="101" spans="1:22" ht="17" x14ac:dyDescent="0.2">
      <c r="A101" s="1030" t="s">
        <v>509</v>
      </c>
      <c r="B101" s="270" t="s">
        <v>477</v>
      </c>
      <c r="C101" s="270" t="s">
        <v>344</v>
      </c>
      <c r="D101" s="834">
        <v>2</v>
      </c>
      <c r="E101" s="269" t="s">
        <v>478</v>
      </c>
      <c r="F101" s="834">
        <v>350</v>
      </c>
      <c r="G101" s="831">
        <v>0.4</v>
      </c>
      <c r="H101" s="554">
        <f>(1+G101)*(F101/800*140)</f>
        <v>85.75</v>
      </c>
      <c r="I101" s="555" t="e">
        <f>M101/N101</f>
        <v>#DIV/0!</v>
      </c>
      <c r="J101" s="554" t="s">
        <v>441</v>
      </c>
      <c r="K101" s="852">
        <v>0.8</v>
      </c>
      <c r="L101" s="564" t="e">
        <f>H101*(I101/D101)^K101</f>
        <v>#DIV/0!</v>
      </c>
      <c r="M101" s="639" t="e">
        <f>'R3_Hydro_MEFA'!L19</f>
        <v>#DIV/0!</v>
      </c>
      <c r="N101" s="639">
        <f>Macro!$D$16*Macro!$D$20*8</f>
        <v>7920</v>
      </c>
      <c r="O101" s="641" t="e">
        <f t="shared" ref="O101:O110" si="34">L101*N101</f>
        <v>#DIV/0!</v>
      </c>
      <c r="P101" s="854">
        <f>120/60</f>
        <v>2</v>
      </c>
      <c r="Q101" s="555" t="e">
        <f>M101/I101</f>
        <v>#DIV/0!</v>
      </c>
      <c r="R101" s="270" t="s">
        <v>148</v>
      </c>
      <c r="S101" s="273"/>
      <c r="V101" s="559"/>
    </row>
    <row r="102" spans="1:22" ht="17" x14ac:dyDescent="0.2">
      <c r="A102" s="1031"/>
      <c r="B102" t="s">
        <v>217</v>
      </c>
      <c r="C102" t="s">
        <v>485</v>
      </c>
      <c r="D102" s="816">
        <v>10</v>
      </c>
      <c r="E102" s="288" t="s">
        <v>478</v>
      </c>
      <c r="F102" s="816">
        <v>24</v>
      </c>
      <c r="G102" s="829">
        <v>0.4</v>
      </c>
      <c r="H102" s="542">
        <f t="shared" ref="H102:H110" si="35">(1+G102)*F102</f>
        <v>33.599999999999994</v>
      </c>
      <c r="I102" s="459" t="e">
        <f t="shared" ref="I102:I110" si="36">M102/N102</f>
        <v>#DIV/0!</v>
      </c>
      <c r="J102" s="542" t="s">
        <v>441</v>
      </c>
      <c r="K102" s="832">
        <v>0.8</v>
      </c>
      <c r="L102" s="565" t="e">
        <f t="shared" ref="L102" si="37">H102*(I102/D102)^K102</f>
        <v>#DIV/0!</v>
      </c>
      <c r="M102" s="577" t="e">
        <f>'R3_Hydro_MEFA'!L26</f>
        <v>#DIV/0!</v>
      </c>
      <c r="N102" s="577">
        <f>Macro!$D$16*Macro!$D$20*8</f>
        <v>7920</v>
      </c>
      <c r="O102" s="642" t="e">
        <f t="shared" si="34"/>
        <v>#DIV/0!</v>
      </c>
      <c r="P102" s="855">
        <f>15/60</f>
        <v>0.25</v>
      </c>
      <c r="Q102" s="578" t="e">
        <f t="shared" ref="Q102:Q110" si="38">M102/I102</f>
        <v>#DIV/0!</v>
      </c>
      <c r="R102" t="s">
        <v>148</v>
      </c>
      <c r="S102" s="264"/>
      <c r="V102" s="559"/>
    </row>
    <row r="103" spans="1:22" ht="17" x14ac:dyDescent="0.2">
      <c r="A103" s="1031"/>
      <c r="B103" t="s">
        <v>223</v>
      </c>
      <c r="C103" t="s">
        <v>485</v>
      </c>
      <c r="D103" s="816">
        <v>10</v>
      </c>
      <c r="E103" s="288" t="s">
        <v>478</v>
      </c>
      <c r="F103" s="816">
        <v>24</v>
      </c>
      <c r="G103" s="829">
        <v>0.4</v>
      </c>
      <c r="H103" s="542">
        <f t="shared" si="35"/>
        <v>33.599999999999994</v>
      </c>
      <c r="I103" s="459" t="e">
        <f t="shared" si="36"/>
        <v>#DIV/0!</v>
      </c>
      <c r="J103" s="542" t="s">
        <v>441</v>
      </c>
      <c r="K103" s="832">
        <v>0.8</v>
      </c>
      <c r="L103" s="565" t="e">
        <f>H103*(I103/D103)^K103</f>
        <v>#DIV/0!</v>
      </c>
      <c r="M103" s="577" t="e">
        <f>'R3_Hydro_MEFA'!L33</f>
        <v>#DIV/0!</v>
      </c>
      <c r="N103" s="577">
        <f>Macro!$D$16*Macro!$D$20*8</f>
        <v>7920</v>
      </c>
      <c r="O103" s="642" t="e">
        <f t="shared" si="34"/>
        <v>#DIV/0!</v>
      </c>
      <c r="P103" s="856">
        <f>60/60</f>
        <v>1</v>
      </c>
      <c r="Q103" s="497" t="e">
        <f>M103/I103</f>
        <v>#DIV/0!</v>
      </c>
      <c r="R103" t="s">
        <v>148</v>
      </c>
      <c r="S103" s="264"/>
      <c r="V103" s="495"/>
    </row>
    <row r="104" spans="1:22" ht="17" x14ac:dyDescent="0.2">
      <c r="A104" s="1031"/>
      <c r="B104" t="s">
        <v>224</v>
      </c>
      <c r="C104" t="s">
        <v>480</v>
      </c>
      <c r="D104" s="816">
        <v>10</v>
      </c>
      <c r="E104" s="288" t="s">
        <v>478</v>
      </c>
      <c r="F104" s="816">
        <v>18.5</v>
      </c>
      <c r="G104" s="829">
        <v>0.4</v>
      </c>
      <c r="H104" s="542">
        <f t="shared" si="35"/>
        <v>25.9</v>
      </c>
      <c r="I104" s="459" t="e">
        <f t="shared" si="36"/>
        <v>#DIV/0!</v>
      </c>
      <c r="J104" s="542" t="s">
        <v>441</v>
      </c>
      <c r="K104" s="832">
        <v>0.8</v>
      </c>
      <c r="L104" s="565" t="e">
        <f t="shared" ref="L104:L110" si="39">H104*(I104/D104)^K104</f>
        <v>#DIV/0!</v>
      </c>
      <c r="M104" s="577" t="e">
        <f>'R3_Hydro_MEFA'!L33</f>
        <v>#DIV/0!</v>
      </c>
      <c r="N104" s="577">
        <f>Macro!$D$16*Macro!$D$20*8</f>
        <v>7920</v>
      </c>
      <c r="O104" s="642" t="e">
        <f t="shared" si="34"/>
        <v>#DIV/0!</v>
      </c>
      <c r="P104" s="856">
        <f>10/60</f>
        <v>0.16666666666666666</v>
      </c>
      <c r="Q104" s="497" t="e">
        <f t="shared" si="38"/>
        <v>#DIV/0!</v>
      </c>
      <c r="R104" t="s">
        <v>744</v>
      </c>
      <c r="S104" s="264"/>
      <c r="V104" s="495"/>
    </row>
    <row r="105" spans="1:22" ht="17" x14ac:dyDescent="0.2">
      <c r="A105" s="1031"/>
      <c r="B105" t="s">
        <v>357</v>
      </c>
      <c r="C105" t="s">
        <v>485</v>
      </c>
      <c r="D105" s="816">
        <v>10</v>
      </c>
      <c r="E105" s="288" t="s">
        <v>478</v>
      </c>
      <c r="F105" s="816">
        <v>24</v>
      </c>
      <c r="G105" s="829">
        <v>0.4</v>
      </c>
      <c r="H105" s="542">
        <f t="shared" si="35"/>
        <v>33.599999999999994</v>
      </c>
      <c r="I105" s="459" t="e">
        <f t="shared" si="36"/>
        <v>#DIV/0!</v>
      </c>
      <c r="J105" s="542" t="s">
        <v>441</v>
      </c>
      <c r="K105" s="832">
        <v>0.8</v>
      </c>
      <c r="L105" s="565" t="e">
        <f t="shared" si="39"/>
        <v>#DIV/0!</v>
      </c>
      <c r="M105" s="577" t="e">
        <f>'R3_Hydro_MEFA'!L48</f>
        <v>#DIV/0!</v>
      </c>
      <c r="N105" s="577">
        <f>Macro!$D$16*Macro!$D$20*8</f>
        <v>7920</v>
      </c>
      <c r="O105" s="642" t="e">
        <f t="shared" si="34"/>
        <v>#DIV/0!</v>
      </c>
      <c r="P105" s="856">
        <f>15/60</f>
        <v>0.25</v>
      </c>
      <c r="Q105" s="497" t="e">
        <f t="shared" si="38"/>
        <v>#DIV/0!</v>
      </c>
      <c r="R105" t="s">
        <v>148</v>
      </c>
      <c r="S105" s="264"/>
      <c r="V105" s="495"/>
    </row>
    <row r="106" spans="1:22" ht="17" x14ac:dyDescent="0.2">
      <c r="A106" s="1031"/>
      <c r="B106" t="s">
        <v>481</v>
      </c>
      <c r="C106" t="s">
        <v>479</v>
      </c>
      <c r="D106" s="816">
        <v>10</v>
      </c>
      <c r="E106" s="288" t="s">
        <v>478</v>
      </c>
      <c r="F106" s="816">
        <v>24</v>
      </c>
      <c r="G106" s="829">
        <v>0.4</v>
      </c>
      <c r="H106" s="542">
        <f t="shared" si="35"/>
        <v>33.599999999999994</v>
      </c>
      <c r="I106" s="459" t="e">
        <f t="shared" si="36"/>
        <v>#DIV/0!</v>
      </c>
      <c r="J106" s="542" t="s">
        <v>441</v>
      </c>
      <c r="K106" s="832">
        <v>0.8</v>
      </c>
      <c r="L106" s="565" t="e">
        <f t="shared" si="39"/>
        <v>#DIV/0!</v>
      </c>
      <c r="M106" s="577" t="e">
        <f>'R3_Hydro_MEFA'!L55</f>
        <v>#DIV/0!</v>
      </c>
      <c r="N106" s="577">
        <f>Macro!$D$16*Macro!$D$20*8</f>
        <v>7920</v>
      </c>
      <c r="O106" s="642" t="e">
        <f t="shared" si="34"/>
        <v>#DIV/0!</v>
      </c>
      <c r="P106" s="952">
        <f>30/60</f>
        <v>0.5</v>
      </c>
      <c r="Q106" s="497" t="e">
        <f t="shared" si="38"/>
        <v>#DIV/0!</v>
      </c>
      <c r="R106" t="s">
        <v>148</v>
      </c>
      <c r="S106" s="264"/>
      <c r="V106" s="495"/>
    </row>
    <row r="107" spans="1:22" ht="17" x14ac:dyDescent="0.2">
      <c r="A107" s="1031"/>
      <c r="B107" t="s">
        <v>360</v>
      </c>
      <c r="C107" t="s">
        <v>693</v>
      </c>
      <c r="D107" s="816">
        <v>10</v>
      </c>
      <c r="E107" s="288" t="s">
        <v>478</v>
      </c>
      <c r="F107" s="816">
        <v>18.5</v>
      </c>
      <c r="G107" s="829">
        <v>0.4</v>
      </c>
      <c r="H107" s="542">
        <f t="shared" si="35"/>
        <v>25.9</v>
      </c>
      <c r="I107" s="459" t="e">
        <f t="shared" si="36"/>
        <v>#DIV/0!</v>
      </c>
      <c r="J107" s="542" t="s">
        <v>441</v>
      </c>
      <c r="K107" s="832">
        <v>0.8</v>
      </c>
      <c r="L107" s="565" t="e">
        <f t="shared" si="39"/>
        <v>#DIV/0!</v>
      </c>
      <c r="M107" s="577" t="e">
        <f>'R3_Hydro_MEFA'!L55</f>
        <v>#DIV/0!</v>
      </c>
      <c r="N107" s="577">
        <f>Macro!$D$16*Macro!$D$20*8</f>
        <v>7920</v>
      </c>
      <c r="O107" s="642" t="e">
        <f t="shared" si="34"/>
        <v>#DIV/0!</v>
      </c>
      <c r="P107" s="856">
        <f>10/60</f>
        <v>0.16666666666666666</v>
      </c>
      <c r="Q107" s="497" t="e">
        <f t="shared" si="38"/>
        <v>#DIV/0!</v>
      </c>
      <c r="R107" t="s">
        <v>744</v>
      </c>
      <c r="S107" s="264"/>
      <c r="V107" s="495"/>
    </row>
    <row r="108" spans="1:22" ht="17" x14ac:dyDescent="0.2">
      <c r="A108" s="1031"/>
      <c r="B108" t="s">
        <v>484</v>
      </c>
      <c r="C108" t="s">
        <v>485</v>
      </c>
      <c r="D108" s="816">
        <v>10</v>
      </c>
      <c r="E108" s="288" t="s">
        <v>478</v>
      </c>
      <c r="F108" s="816">
        <v>24</v>
      </c>
      <c r="G108" s="829">
        <v>0.4</v>
      </c>
      <c r="H108" s="542">
        <f t="shared" si="35"/>
        <v>33.599999999999994</v>
      </c>
      <c r="I108" s="459" t="e">
        <f t="shared" si="36"/>
        <v>#DIV/0!</v>
      </c>
      <c r="J108" s="542" t="s">
        <v>441</v>
      </c>
      <c r="K108" s="832">
        <v>0.8</v>
      </c>
      <c r="L108" s="565" t="e">
        <f t="shared" si="39"/>
        <v>#DIV/0!</v>
      </c>
      <c r="M108" s="495" t="e">
        <f>'R3_Hydro_MEFA'!L61</f>
        <v>#DIV/0!</v>
      </c>
      <c r="N108" s="577">
        <f>Macro!$D$16*Macro!$D$20*8</f>
        <v>7920</v>
      </c>
      <c r="O108" s="642" t="e">
        <f t="shared" si="34"/>
        <v>#DIV/0!</v>
      </c>
      <c r="P108" s="952">
        <f>10/60</f>
        <v>0.16666666666666666</v>
      </c>
      <c r="Q108" s="497" t="e">
        <f t="shared" si="38"/>
        <v>#DIV/0!</v>
      </c>
      <c r="R108" t="s">
        <v>148</v>
      </c>
      <c r="S108" s="264"/>
      <c r="V108" s="495"/>
    </row>
    <row r="109" spans="1:22" ht="17" x14ac:dyDescent="0.2">
      <c r="A109" s="1031"/>
      <c r="B109" t="s">
        <v>373</v>
      </c>
      <c r="C109" t="s">
        <v>485</v>
      </c>
      <c r="D109" s="816">
        <v>10</v>
      </c>
      <c r="E109" s="288" t="s">
        <v>478</v>
      </c>
      <c r="F109" s="816">
        <v>24</v>
      </c>
      <c r="G109" s="829">
        <v>0.4</v>
      </c>
      <c r="H109" s="542">
        <f t="shared" si="35"/>
        <v>33.599999999999994</v>
      </c>
      <c r="I109" s="459" t="e">
        <f t="shared" si="36"/>
        <v>#DIV/0!</v>
      </c>
      <c r="J109" s="542" t="s">
        <v>441</v>
      </c>
      <c r="K109" s="832">
        <v>0.8</v>
      </c>
      <c r="L109" s="565" t="e">
        <f t="shared" si="39"/>
        <v>#DIV/0!</v>
      </c>
      <c r="M109" s="495" t="e">
        <f>'R3_Hydro_MEFA'!L79</f>
        <v>#DIV/0!</v>
      </c>
      <c r="N109" s="577">
        <f>Macro!$D$16*Macro!$D$20*8</f>
        <v>7920</v>
      </c>
      <c r="O109" s="642" t="e">
        <f t="shared" si="34"/>
        <v>#DIV/0!</v>
      </c>
      <c r="P109" s="952">
        <f t="shared" ref="P109:P110" si="40">10/60</f>
        <v>0.16666666666666666</v>
      </c>
      <c r="Q109" s="497" t="e">
        <f t="shared" si="38"/>
        <v>#DIV/0!</v>
      </c>
      <c r="R109" t="s">
        <v>148</v>
      </c>
      <c r="S109" s="264"/>
    </row>
    <row r="110" spans="1:22" ht="17" x14ac:dyDescent="0.2">
      <c r="A110" s="1031"/>
      <c r="B110" t="s">
        <v>377</v>
      </c>
      <c r="C110" t="s">
        <v>485</v>
      </c>
      <c r="D110" s="816">
        <v>10</v>
      </c>
      <c r="E110" s="288" t="s">
        <v>478</v>
      </c>
      <c r="F110" s="816">
        <v>24</v>
      </c>
      <c r="G110" s="829">
        <v>0.4</v>
      </c>
      <c r="H110" s="542">
        <f t="shared" si="35"/>
        <v>33.599999999999994</v>
      </c>
      <c r="I110" s="459" t="e">
        <f t="shared" si="36"/>
        <v>#DIV/0!</v>
      </c>
      <c r="J110" s="542" t="s">
        <v>441</v>
      </c>
      <c r="K110" s="832">
        <v>0.8</v>
      </c>
      <c r="L110" s="565" t="e">
        <f t="shared" si="39"/>
        <v>#DIV/0!</v>
      </c>
      <c r="M110" s="495" t="e">
        <f>'R3_Hydro_MEFA'!L85</f>
        <v>#DIV/0!</v>
      </c>
      <c r="N110" s="577">
        <f>Macro!$D$16*Macro!$D$20*8</f>
        <v>7920</v>
      </c>
      <c r="O110" s="642" t="e">
        <f t="shared" si="34"/>
        <v>#DIV/0!</v>
      </c>
      <c r="P110" s="952">
        <f t="shared" si="40"/>
        <v>0.16666666666666666</v>
      </c>
      <c r="Q110" s="497" t="e">
        <f t="shared" si="38"/>
        <v>#DIV/0!</v>
      </c>
      <c r="R110" t="s">
        <v>148</v>
      </c>
      <c r="S110" s="264"/>
    </row>
    <row r="111" spans="1:22" x14ac:dyDescent="0.2">
      <c r="A111" s="1031"/>
      <c r="B111" t="s">
        <v>630</v>
      </c>
      <c r="C111" t="s">
        <v>487</v>
      </c>
      <c r="D111" s="1035"/>
      <c r="E111" s="1035"/>
      <c r="F111" s="1035"/>
      <c r="G111" s="1035"/>
      <c r="H111" s="1035"/>
      <c r="I111" s="1035"/>
      <c r="J111" s="1035"/>
      <c r="K111" s="1035"/>
      <c r="L111" s="1035"/>
      <c r="M111" s="1035"/>
      <c r="N111" s="1035"/>
      <c r="O111" s="642" t="e">
        <f>C152/3.6</f>
        <v>#DIV/0!</v>
      </c>
      <c r="P111" s="856">
        <v>2</v>
      </c>
      <c r="Q111" s="497"/>
      <c r="S111" s="264" t="s">
        <v>721</v>
      </c>
      <c r="V111" s="495"/>
    </row>
    <row r="112" spans="1:22" ht="16" thickBot="1" x14ac:dyDescent="0.25">
      <c r="A112" s="1032"/>
      <c r="B112" s="275" t="s">
        <v>631</v>
      </c>
      <c r="C112" s="275" t="s">
        <v>487</v>
      </c>
      <c r="D112" s="1034"/>
      <c r="E112" s="1034"/>
      <c r="F112" s="1034"/>
      <c r="G112" s="1034"/>
      <c r="H112" s="1034"/>
      <c r="I112" s="1034"/>
      <c r="J112" s="1034"/>
      <c r="K112" s="1034"/>
      <c r="L112" s="1034"/>
      <c r="M112" s="1034"/>
      <c r="N112" s="1034"/>
      <c r="O112" s="643" t="e">
        <f>C153/3.6</f>
        <v>#DIV/0!</v>
      </c>
      <c r="P112" s="857">
        <v>2</v>
      </c>
      <c r="Q112" s="552"/>
      <c r="R112" s="275"/>
      <c r="S112" s="278" t="s">
        <v>721</v>
      </c>
      <c r="V112" s="495"/>
    </row>
    <row r="113" spans="1:21" ht="17" x14ac:dyDescent="0.2">
      <c r="A113" s="1030" t="s">
        <v>510</v>
      </c>
      <c r="B113" s="288" t="s">
        <v>694</v>
      </c>
      <c r="C113" s="288" t="s">
        <v>344</v>
      </c>
      <c r="D113" s="816">
        <v>2</v>
      </c>
      <c r="E113" s="288" t="s">
        <v>478</v>
      </c>
      <c r="F113" s="816">
        <v>350</v>
      </c>
      <c r="G113" s="829">
        <v>0.4</v>
      </c>
      <c r="H113" s="549">
        <f>(1+G113)*(F113/800*140)</f>
        <v>85.75</v>
      </c>
      <c r="I113" s="497" t="e">
        <f t="shared" ref="I113:I121" si="41">M113/N113</f>
        <v>#DIV/0!</v>
      </c>
      <c r="J113" s="549" t="s">
        <v>441</v>
      </c>
      <c r="K113" s="832">
        <v>0.8</v>
      </c>
      <c r="L113" s="565" t="e">
        <f t="shared" ref="L113:L121" si="42">H113*(I113/D113)^K113</f>
        <v>#DIV/0!</v>
      </c>
      <c r="M113" s="495" t="e">
        <f>'R3_Hydro_MEFA'!L117</f>
        <v>#DIV/0!</v>
      </c>
      <c r="N113" s="577">
        <f>Macro!$D$16*Macro!$D$20*8</f>
        <v>7920</v>
      </c>
      <c r="O113" s="585" t="e">
        <f>L113*N113</f>
        <v>#DIV/0!</v>
      </c>
      <c r="P113" s="497"/>
      <c r="Q113" s="497" t="e">
        <f t="shared" ref="Q113:Q121" si="43">M113/I113</f>
        <v>#DIV/0!</v>
      </c>
      <c r="R113" t="s">
        <v>148</v>
      </c>
      <c r="S113" s="264"/>
      <c r="T113" s="288"/>
      <c r="U113" s="288"/>
    </row>
    <row r="114" spans="1:21" ht="17" x14ac:dyDescent="0.2">
      <c r="A114" s="1031"/>
      <c r="B114" s="288" t="s">
        <v>217</v>
      </c>
      <c r="C114" s="288" t="s">
        <v>479</v>
      </c>
      <c r="D114" s="816">
        <v>10</v>
      </c>
      <c r="E114" s="288" t="s">
        <v>478</v>
      </c>
      <c r="F114" s="816">
        <v>24</v>
      </c>
      <c r="G114" s="829">
        <v>0.4</v>
      </c>
      <c r="H114" s="549">
        <f t="shared" ref="H114:H121" si="44">(1+G114)*F114</f>
        <v>33.599999999999994</v>
      </c>
      <c r="I114" s="497" t="e">
        <f t="shared" si="41"/>
        <v>#DIV/0!</v>
      </c>
      <c r="J114" s="549" t="s">
        <v>441</v>
      </c>
      <c r="K114" s="832">
        <v>0.8</v>
      </c>
      <c r="L114" s="565" t="e">
        <f t="shared" si="42"/>
        <v>#DIV/0!</v>
      </c>
      <c r="M114" s="495" t="e">
        <f>'R3_Hydro_MEFA'!L124</f>
        <v>#DIV/0!</v>
      </c>
      <c r="N114" s="577">
        <f>Macro!$D$16*Macro!$D$20*8</f>
        <v>7920</v>
      </c>
      <c r="O114" s="585" t="e">
        <f t="shared" ref="O114" si="45">L114*N114</f>
        <v>#DIV/0!</v>
      </c>
      <c r="P114" s="497"/>
      <c r="Q114" s="497" t="e">
        <f t="shared" si="43"/>
        <v>#DIV/0!</v>
      </c>
      <c r="R114" t="s">
        <v>148</v>
      </c>
      <c r="S114" s="264"/>
      <c r="T114" s="288"/>
      <c r="U114" s="288"/>
    </row>
    <row r="115" spans="1:21" ht="17" x14ac:dyDescent="0.2">
      <c r="A115" s="1031"/>
      <c r="B115" s="288" t="s">
        <v>695</v>
      </c>
      <c r="C115" s="288" t="s">
        <v>491</v>
      </c>
      <c r="D115" s="816">
        <v>10</v>
      </c>
      <c r="E115" s="288" t="s">
        <v>478</v>
      </c>
      <c r="F115" s="816">
        <v>18.5</v>
      </c>
      <c r="G115" s="829">
        <v>0.4</v>
      </c>
      <c r="H115" s="549">
        <f t="shared" si="44"/>
        <v>25.9</v>
      </c>
      <c r="I115" s="497" t="e">
        <f t="shared" si="41"/>
        <v>#DIV/0!</v>
      </c>
      <c r="J115" s="549" t="s">
        <v>441</v>
      </c>
      <c r="K115" s="832">
        <v>0.8</v>
      </c>
      <c r="L115" s="565" t="e">
        <f t="shared" si="42"/>
        <v>#DIV/0!</v>
      </c>
      <c r="M115" s="495" t="e">
        <f>'R3_Hydro_MEFA'!L132</f>
        <v>#DIV/0!</v>
      </c>
      <c r="N115" s="577">
        <f>Macro!$D$16*Macro!$D$20*8</f>
        <v>7920</v>
      </c>
      <c r="O115" s="585" t="e">
        <f>L115*N115</f>
        <v>#DIV/0!</v>
      </c>
      <c r="P115" s="497"/>
      <c r="Q115" s="497" t="e">
        <f t="shared" si="43"/>
        <v>#DIV/0!</v>
      </c>
      <c r="R115" t="s">
        <v>744</v>
      </c>
      <c r="S115" s="264"/>
      <c r="T115" s="288"/>
      <c r="U115" s="288"/>
    </row>
    <row r="116" spans="1:21" ht="17" x14ac:dyDescent="0.2">
      <c r="A116" s="1031"/>
      <c r="B116" s="288" t="s">
        <v>357</v>
      </c>
      <c r="C116" s="288" t="s">
        <v>479</v>
      </c>
      <c r="D116" s="816">
        <v>10</v>
      </c>
      <c r="E116" s="288" t="s">
        <v>478</v>
      </c>
      <c r="F116" s="816">
        <v>24</v>
      </c>
      <c r="G116" s="829">
        <v>0.4</v>
      </c>
      <c r="H116" s="549">
        <f t="shared" si="44"/>
        <v>33.599999999999994</v>
      </c>
      <c r="I116" s="497" t="e">
        <f>M116/N116</f>
        <v>#DIV/0!</v>
      </c>
      <c r="J116" s="549" t="s">
        <v>441</v>
      </c>
      <c r="K116" s="832">
        <v>0.8</v>
      </c>
      <c r="L116" s="565" t="e">
        <f>H116*(I116/D116)^K116</f>
        <v>#DIV/0!</v>
      </c>
      <c r="M116" s="495" t="e">
        <f>'R3_Hydro_MEFA'!L140</f>
        <v>#DIV/0!</v>
      </c>
      <c r="N116" s="577">
        <f>Macro!$D$16*Macro!$D$20*8</f>
        <v>7920</v>
      </c>
      <c r="O116" s="585" t="e">
        <f t="shared" ref="O116:O118" si="46">L116*N116</f>
        <v>#DIV/0!</v>
      </c>
      <c r="P116" s="497"/>
      <c r="Q116" s="497" t="e">
        <f t="shared" si="43"/>
        <v>#DIV/0!</v>
      </c>
      <c r="R116" t="s">
        <v>148</v>
      </c>
      <c r="S116" s="264"/>
      <c r="T116" s="288"/>
      <c r="U116" s="288"/>
    </row>
    <row r="117" spans="1:21" ht="17" x14ac:dyDescent="0.2">
      <c r="A117" s="1031"/>
      <c r="B117" s="288" t="s">
        <v>402</v>
      </c>
      <c r="C117" s="288" t="s">
        <v>479</v>
      </c>
      <c r="D117" s="816">
        <v>10</v>
      </c>
      <c r="E117" s="288" t="s">
        <v>478</v>
      </c>
      <c r="F117" s="816">
        <v>24</v>
      </c>
      <c r="G117" s="829">
        <v>0.4</v>
      </c>
      <c r="H117" s="549">
        <f t="shared" si="44"/>
        <v>33.599999999999994</v>
      </c>
      <c r="I117" s="497" t="e">
        <f t="shared" si="41"/>
        <v>#DIV/0!</v>
      </c>
      <c r="J117" s="549" t="s">
        <v>441</v>
      </c>
      <c r="K117" s="832">
        <v>0.8</v>
      </c>
      <c r="L117" s="565" t="e">
        <f t="shared" si="42"/>
        <v>#DIV/0!</v>
      </c>
      <c r="M117" s="559" t="e">
        <f>'R3_Hydro_MEFA'!L147</f>
        <v>#DIV/0!</v>
      </c>
      <c r="N117" s="577">
        <f>Macro!$D$16*Macro!$D$20*8</f>
        <v>7920</v>
      </c>
      <c r="O117" s="585" t="e">
        <f t="shared" si="46"/>
        <v>#DIV/0!</v>
      </c>
      <c r="P117" s="497"/>
      <c r="Q117" s="497" t="e">
        <f t="shared" si="43"/>
        <v>#DIV/0!</v>
      </c>
      <c r="R117" t="s">
        <v>148</v>
      </c>
      <c r="S117" s="264"/>
    </row>
    <row r="118" spans="1:21" ht="17" x14ac:dyDescent="0.2">
      <c r="A118" s="1031"/>
      <c r="B118" s="288" t="s">
        <v>722</v>
      </c>
      <c r="C118" s="288" t="s">
        <v>492</v>
      </c>
      <c r="D118" s="816">
        <v>10</v>
      </c>
      <c r="E118" s="288" t="s">
        <v>478</v>
      </c>
      <c r="F118" s="816">
        <v>18.5</v>
      </c>
      <c r="G118" s="829">
        <v>0.4</v>
      </c>
      <c r="H118" s="549">
        <f t="shared" si="44"/>
        <v>25.9</v>
      </c>
      <c r="I118" s="497" t="e">
        <f t="shared" si="41"/>
        <v>#DIV/0!</v>
      </c>
      <c r="J118" s="549" t="s">
        <v>441</v>
      </c>
      <c r="K118" s="832">
        <v>0.8</v>
      </c>
      <c r="L118" s="565" t="e">
        <f t="shared" si="42"/>
        <v>#DIV/0!</v>
      </c>
      <c r="M118" s="495" t="e">
        <f>'R3_Hydro_MEFA'!L147</f>
        <v>#DIV/0!</v>
      </c>
      <c r="N118" s="577">
        <f>Macro!$D$16*Macro!$D$20*8</f>
        <v>7920</v>
      </c>
      <c r="O118" s="585" t="e">
        <f t="shared" si="46"/>
        <v>#DIV/0!</v>
      </c>
      <c r="P118" s="497"/>
      <c r="Q118" s="497" t="e">
        <f t="shared" si="43"/>
        <v>#DIV/0!</v>
      </c>
      <c r="R118" t="s">
        <v>744</v>
      </c>
      <c r="S118" s="264"/>
    </row>
    <row r="119" spans="1:21" ht="17" x14ac:dyDescent="0.2">
      <c r="A119" s="1031"/>
      <c r="B119" s="288" t="s">
        <v>405</v>
      </c>
      <c r="C119" s="288" t="s">
        <v>479</v>
      </c>
      <c r="D119" s="816">
        <v>10</v>
      </c>
      <c r="E119" s="288" t="s">
        <v>478</v>
      </c>
      <c r="F119" s="816">
        <v>24</v>
      </c>
      <c r="G119" s="829">
        <v>0.4</v>
      </c>
      <c r="H119" s="549">
        <f t="shared" si="44"/>
        <v>33.599999999999994</v>
      </c>
      <c r="I119" s="497" t="e">
        <f t="shared" si="41"/>
        <v>#DIV/0!</v>
      </c>
      <c r="J119" s="549" t="s">
        <v>441</v>
      </c>
      <c r="K119" s="832">
        <v>0.8</v>
      </c>
      <c r="L119" s="565" t="e">
        <f t="shared" si="42"/>
        <v>#DIV/0!</v>
      </c>
      <c r="M119" s="495" t="e">
        <f>'R3_Hydro_MEFA'!L155</f>
        <v>#DIV/0!</v>
      </c>
      <c r="N119" s="577">
        <f>Macro!$D$16*Macro!$D$20*8</f>
        <v>7920</v>
      </c>
      <c r="O119" s="585" t="e">
        <f t="shared" ref="O119:O121" si="47">L119*N119</f>
        <v>#DIV/0!</v>
      </c>
      <c r="P119" s="497"/>
      <c r="Q119" s="497" t="e">
        <f>M119/I119</f>
        <v>#DIV/0!</v>
      </c>
      <c r="R119" t="s">
        <v>148</v>
      </c>
      <c r="S119" s="264"/>
    </row>
    <row r="120" spans="1:21" ht="17" x14ac:dyDescent="0.2">
      <c r="A120" s="1031"/>
      <c r="B120" s="288" t="s">
        <v>411</v>
      </c>
      <c r="C120" s="288" t="s">
        <v>485</v>
      </c>
      <c r="D120" s="816">
        <v>10</v>
      </c>
      <c r="E120" s="288" t="s">
        <v>478</v>
      </c>
      <c r="F120" s="816">
        <v>24</v>
      </c>
      <c r="G120" s="829">
        <v>0.4</v>
      </c>
      <c r="H120" s="549">
        <f t="shared" si="44"/>
        <v>33.599999999999994</v>
      </c>
      <c r="I120" s="497" t="e">
        <f t="shared" si="41"/>
        <v>#DIV/0!</v>
      </c>
      <c r="J120" s="549" t="s">
        <v>441</v>
      </c>
      <c r="K120" s="832">
        <v>0.8</v>
      </c>
      <c r="L120" s="565" t="e">
        <f t="shared" si="42"/>
        <v>#DIV/0!</v>
      </c>
      <c r="M120" s="495" t="e">
        <f>'R3_Hydro_MEFA'!L172</f>
        <v>#DIV/0!</v>
      </c>
      <c r="N120" s="577">
        <f>Macro!$D$16*Macro!$D$20*8</f>
        <v>7920</v>
      </c>
      <c r="O120" s="585" t="e">
        <f t="shared" si="47"/>
        <v>#DIV/0!</v>
      </c>
      <c r="P120" s="497"/>
      <c r="Q120" s="497" t="e">
        <f>M120/I120</f>
        <v>#DIV/0!</v>
      </c>
      <c r="R120" t="s">
        <v>148</v>
      </c>
      <c r="S120" s="264"/>
    </row>
    <row r="121" spans="1:21" ht="17" x14ac:dyDescent="0.2">
      <c r="A121" s="1031"/>
      <c r="B121" s="288" t="s">
        <v>414</v>
      </c>
      <c r="C121" s="288" t="s">
        <v>485</v>
      </c>
      <c r="D121" s="816">
        <v>10</v>
      </c>
      <c r="E121" s="288" t="s">
        <v>478</v>
      </c>
      <c r="F121" s="816">
        <v>24</v>
      </c>
      <c r="G121" s="829">
        <v>0.4</v>
      </c>
      <c r="H121" s="549">
        <f t="shared" si="44"/>
        <v>33.599999999999994</v>
      </c>
      <c r="I121" s="497" t="e">
        <f t="shared" si="41"/>
        <v>#DIV/0!</v>
      </c>
      <c r="J121" s="549" t="s">
        <v>441</v>
      </c>
      <c r="K121" s="832">
        <v>0.8</v>
      </c>
      <c r="L121" s="565" t="e">
        <f t="shared" si="42"/>
        <v>#DIV/0!</v>
      </c>
      <c r="M121" s="495" t="e">
        <f>'R3_Hydro_MEFA'!L178</f>
        <v>#DIV/0!</v>
      </c>
      <c r="N121" s="577">
        <f>Macro!$D$16*Macro!$D$20*8</f>
        <v>7920</v>
      </c>
      <c r="O121" s="585" t="e">
        <f t="shared" si="47"/>
        <v>#DIV/0!</v>
      </c>
      <c r="P121" s="497"/>
      <c r="Q121" s="497" t="e">
        <f t="shared" si="43"/>
        <v>#DIV/0!</v>
      </c>
      <c r="R121" t="s">
        <v>148</v>
      </c>
      <c r="S121" s="264"/>
    </row>
    <row r="122" spans="1:21" x14ac:dyDescent="0.2">
      <c r="A122" s="1031"/>
      <c r="B122" s="288" t="s">
        <v>632</v>
      </c>
      <c r="C122" s="288" t="s">
        <v>745</v>
      </c>
      <c r="D122" s="567"/>
      <c r="E122" s="568"/>
      <c r="F122" s="567"/>
      <c r="G122" s="569"/>
      <c r="H122" s="570"/>
      <c r="I122" s="571"/>
      <c r="J122" s="570"/>
      <c r="K122" s="572"/>
      <c r="L122" s="573"/>
      <c r="M122" s="574"/>
      <c r="N122" s="571"/>
      <c r="O122" s="585" t="e">
        <f>C154/3.6</f>
        <v>#DIV/0!</v>
      </c>
      <c r="P122" s="497"/>
      <c r="Q122" s="497"/>
      <c r="S122" s="264" t="s">
        <v>721</v>
      </c>
    </row>
    <row r="123" spans="1:21" ht="17" x14ac:dyDescent="0.2">
      <c r="A123" s="1031"/>
      <c r="B123" s="288" t="s">
        <v>696</v>
      </c>
      <c r="C123" s="288" t="s">
        <v>485</v>
      </c>
      <c r="D123" s="816">
        <v>10</v>
      </c>
      <c r="E123" s="288" t="s">
        <v>478</v>
      </c>
      <c r="F123" s="816">
        <v>24</v>
      </c>
      <c r="G123" s="829">
        <v>0.4</v>
      </c>
      <c r="H123" s="542">
        <f t="shared" ref="H123:H124" si="48">(1+G123)*F123</f>
        <v>33.599999999999994</v>
      </c>
      <c r="I123" s="497" t="e">
        <f>M123/N123</f>
        <v>#DIV/0!</v>
      </c>
      <c r="J123" s="542" t="s">
        <v>441</v>
      </c>
      <c r="K123" s="832">
        <v>0.8</v>
      </c>
      <c r="L123" s="565">
        <f>H123*(D123/20)^K123</f>
        <v>19.298132363950188</v>
      </c>
      <c r="M123" s="495" t="e">
        <f>'R3_Hydro_MEFA'!L193</f>
        <v>#DIV/0!</v>
      </c>
      <c r="N123" s="577">
        <f>Macro!$D$16*Macro!$D$20*8</f>
        <v>7920</v>
      </c>
      <c r="O123" s="642">
        <f t="shared" ref="O123:O124" si="49">L123*N123</f>
        <v>152841.2083224855</v>
      </c>
      <c r="P123" s="497"/>
      <c r="Q123" s="497" t="e">
        <f t="shared" ref="Q123:Q124" si="50">M123/I123</f>
        <v>#DIV/0!</v>
      </c>
      <c r="R123" t="s">
        <v>148</v>
      </c>
      <c r="S123" s="264"/>
    </row>
    <row r="124" spans="1:21" ht="17" x14ac:dyDescent="0.2">
      <c r="A124" s="1031"/>
      <c r="B124" s="288" t="s">
        <v>697</v>
      </c>
      <c r="C124" s="288" t="s">
        <v>492</v>
      </c>
      <c r="D124" s="816">
        <v>10</v>
      </c>
      <c r="E124" s="288" t="s">
        <v>478</v>
      </c>
      <c r="F124" s="816">
        <v>18.5</v>
      </c>
      <c r="G124" s="829">
        <v>0.4</v>
      </c>
      <c r="H124" s="542">
        <f t="shared" si="48"/>
        <v>25.9</v>
      </c>
      <c r="I124" s="497" t="e">
        <f>M124/N124</f>
        <v>#DIV/0!</v>
      </c>
      <c r="J124" s="542" t="s">
        <v>441</v>
      </c>
      <c r="K124" s="832">
        <v>0.8</v>
      </c>
      <c r="L124" s="565">
        <f>H124*(D124/20)^K124</f>
        <v>14.875643697211604</v>
      </c>
      <c r="M124" s="495" t="e">
        <f>'R3_Hydro_MEFA'!L193</f>
        <v>#DIV/0!</v>
      </c>
      <c r="N124" s="577">
        <f>Macro!$D$16*Macro!$D$20*8</f>
        <v>7920</v>
      </c>
      <c r="O124" s="642">
        <f t="shared" si="49"/>
        <v>117815.0980819159</v>
      </c>
      <c r="P124" s="497"/>
      <c r="Q124" s="497" t="e">
        <f t="shared" si="50"/>
        <v>#DIV/0!</v>
      </c>
      <c r="R124" t="s">
        <v>744</v>
      </c>
      <c r="S124" s="264"/>
    </row>
    <row r="125" spans="1:21" ht="16" thickBot="1" x14ac:dyDescent="0.25">
      <c r="A125" s="1032"/>
      <c r="B125" s="275" t="s">
        <v>24</v>
      </c>
      <c r="C125" s="275" t="s">
        <v>417</v>
      </c>
      <c r="D125" s="1034"/>
      <c r="E125" s="1034"/>
      <c r="F125" s="1034"/>
      <c r="G125" s="1034"/>
      <c r="H125" s="1034"/>
      <c r="I125" s="1034"/>
      <c r="J125" s="1034"/>
      <c r="K125" s="1034"/>
      <c r="L125" s="1034"/>
      <c r="M125" s="1034"/>
      <c r="N125" s="1034"/>
      <c r="O125" s="635">
        <f>C162/3.6</f>
        <v>0</v>
      </c>
      <c r="P125" s="552"/>
      <c r="Q125" s="552"/>
      <c r="R125" s="275"/>
      <c r="S125" s="278" t="s">
        <v>721</v>
      </c>
    </row>
    <row r="127" spans="1:21" x14ac:dyDescent="0.2">
      <c r="K127"/>
      <c r="L127"/>
    </row>
    <row r="128" spans="1:21" ht="22" x14ac:dyDescent="0.25">
      <c r="A128" s="787" t="s">
        <v>746</v>
      </c>
      <c r="K128"/>
      <c r="L128"/>
    </row>
    <row r="129" spans="1:12" x14ac:dyDescent="0.2">
      <c r="K129"/>
      <c r="L129"/>
    </row>
    <row r="130" spans="1:12" ht="16" x14ac:dyDescent="0.2">
      <c r="A130" s="489" t="s">
        <v>85</v>
      </c>
      <c r="B130" s="490" t="s">
        <v>282</v>
      </c>
      <c r="C130" s="491" t="s">
        <v>262</v>
      </c>
      <c r="D130" s="492" t="s">
        <v>263</v>
      </c>
      <c r="K130"/>
      <c r="L130"/>
    </row>
    <row r="131" spans="1:12" ht="32" x14ac:dyDescent="0.2">
      <c r="A131" s="1040" t="s">
        <v>747</v>
      </c>
      <c r="B131" s="480" t="s">
        <v>748</v>
      </c>
      <c r="C131" s="862">
        <v>1.4139999999999999</v>
      </c>
      <c r="D131" s="75" t="s">
        <v>749</v>
      </c>
      <c r="E131" s="122" t="s">
        <v>750</v>
      </c>
      <c r="K131"/>
      <c r="L131"/>
    </row>
    <row r="132" spans="1:12" ht="16" x14ac:dyDescent="0.2">
      <c r="A132" s="1037"/>
      <c r="B132" s="480" t="s">
        <v>751</v>
      </c>
      <c r="C132" s="74" t="s">
        <v>752</v>
      </c>
      <c r="D132" s="75" t="s">
        <v>753</v>
      </c>
      <c r="K132"/>
      <c r="L132"/>
    </row>
    <row r="133" spans="1:12" ht="16" thickBot="1" x14ac:dyDescent="0.25">
      <c r="A133" s="1037"/>
      <c r="B133" s="488"/>
      <c r="C133" s="141"/>
      <c r="D133" s="321"/>
    </row>
    <row r="134" spans="1:12" ht="32" x14ac:dyDescent="0.2">
      <c r="A134" s="1037"/>
      <c r="B134" s="545" t="s">
        <v>754</v>
      </c>
      <c r="C134" s="863">
        <v>2257</v>
      </c>
      <c r="D134" s="147" t="s">
        <v>755</v>
      </c>
      <c r="E134" s="122" t="s">
        <v>756</v>
      </c>
    </row>
    <row r="135" spans="1:12" x14ac:dyDescent="0.2">
      <c r="A135" s="1037"/>
      <c r="B135" s="481" t="s">
        <v>757</v>
      </c>
      <c r="C135" s="124" t="s">
        <v>758</v>
      </c>
      <c r="D135" s="149" t="s">
        <v>753</v>
      </c>
    </row>
    <row r="136" spans="1:12" ht="16" thickBot="1" x14ac:dyDescent="0.25">
      <c r="A136" s="1041"/>
      <c r="B136" s="482"/>
      <c r="C136" s="141"/>
      <c r="D136" s="321"/>
    </row>
    <row r="137" spans="1:12" ht="16" x14ac:dyDescent="0.2">
      <c r="A137" s="1042" t="s">
        <v>759</v>
      </c>
      <c r="B137" s="483" t="s">
        <v>760</v>
      </c>
      <c r="C137" s="864">
        <v>20</v>
      </c>
      <c r="D137" s="478" t="s">
        <v>761</v>
      </c>
    </row>
    <row r="138" spans="1:12" ht="16" x14ac:dyDescent="0.2">
      <c r="A138" s="1038"/>
      <c r="B138" s="480" t="s">
        <v>762</v>
      </c>
      <c r="C138" s="862">
        <v>140</v>
      </c>
      <c r="D138" s="75" t="s">
        <v>761</v>
      </c>
    </row>
    <row r="139" spans="1:12" x14ac:dyDescent="0.2">
      <c r="A139" s="1038"/>
      <c r="B139" s="484"/>
      <c r="C139" s="124"/>
      <c r="D139" s="149"/>
    </row>
    <row r="140" spans="1:12" ht="16" x14ac:dyDescent="0.2">
      <c r="A140" s="1038"/>
      <c r="B140" s="480" t="s">
        <v>763</v>
      </c>
      <c r="C140" s="477" t="e">
        <f>C131*'R1_Hydro_MEFA'!$L$18*1000*(C138-C137)/1000</f>
        <v>#DIV/0!</v>
      </c>
      <c r="D140" s="75" t="s">
        <v>764</v>
      </c>
    </row>
    <row r="141" spans="1:12" ht="16" x14ac:dyDescent="0.2">
      <c r="A141" s="1038"/>
      <c r="B141" s="481" t="s">
        <v>765</v>
      </c>
      <c r="C141" s="453" t="e">
        <f>C131*'R1_Hydro_MEFA'!$L$116*1000*(C138-C137)/1000</f>
        <v>#DIV/0!</v>
      </c>
      <c r="D141" s="75" t="s">
        <v>764</v>
      </c>
    </row>
    <row r="142" spans="1:12" ht="16" x14ac:dyDescent="0.2">
      <c r="A142" s="1038"/>
      <c r="B142" s="481" t="s">
        <v>766</v>
      </c>
      <c r="C142" s="453" t="e">
        <f>C131*'R2_Hydro_MEFA'!$L$22*1000*(C138-C137)/1000</f>
        <v>#DIV/0!</v>
      </c>
      <c r="D142" s="75" t="s">
        <v>764</v>
      </c>
    </row>
    <row r="143" spans="1:12" ht="16" x14ac:dyDescent="0.2">
      <c r="A143" s="1038"/>
      <c r="B143" s="480" t="s">
        <v>763</v>
      </c>
      <c r="C143" s="477" t="e">
        <f>C131*'R3_Hydro_MEFA'!L18*1000*(C138-C137)/1000</f>
        <v>#DIV/0!</v>
      </c>
      <c r="D143" s="75" t="s">
        <v>764</v>
      </c>
    </row>
    <row r="144" spans="1:12" ht="16" x14ac:dyDescent="0.2">
      <c r="A144" s="1038"/>
      <c r="B144" s="481" t="s">
        <v>765</v>
      </c>
      <c r="C144" s="453" t="e">
        <f>C131*'R3_Hydro_MEFA'!L116*1000*(C138-C137)/1000</f>
        <v>#DIV/0!</v>
      </c>
      <c r="D144" s="75" t="s">
        <v>764</v>
      </c>
    </row>
    <row r="145" spans="1:5" ht="16" thickBot="1" x14ac:dyDescent="0.25">
      <c r="A145" s="1039"/>
      <c r="B145" s="482"/>
      <c r="C145" s="141"/>
      <c r="D145" s="321"/>
    </row>
    <row r="146" spans="1:5" x14ac:dyDescent="0.2">
      <c r="A146" s="1043" t="s">
        <v>767</v>
      </c>
      <c r="B146" s="485" t="s">
        <v>768</v>
      </c>
      <c r="C146" s="479" t="e">
        <f>'R1_Hydro_MEFA'!$L$93*1000*C134/1000</f>
        <v>#DIV/0!</v>
      </c>
      <c r="D146" s="486" t="s">
        <v>764</v>
      </c>
    </row>
    <row r="147" spans="1:5" x14ac:dyDescent="0.2">
      <c r="A147" s="1044"/>
      <c r="B147" s="481" t="s">
        <v>769</v>
      </c>
      <c r="C147" s="453" t="e">
        <f>'R1_Hydro_MEFA'!$L$99*1000*C134/1000</f>
        <v>#DIV/0!</v>
      </c>
      <c r="D147" s="149" t="s">
        <v>764</v>
      </c>
    </row>
    <row r="148" spans="1:5" x14ac:dyDescent="0.2">
      <c r="A148" s="1044"/>
      <c r="B148" s="481" t="s">
        <v>770</v>
      </c>
      <c r="C148" s="453" t="e">
        <f>'R1_Hydro_MEFA'!$L$186*1000*C134/1000</f>
        <v>#DIV/0!</v>
      </c>
      <c r="D148" s="149" t="s">
        <v>764</v>
      </c>
    </row>
    <row r="149" spans="1:5" x14ac:dyDescent="0.2">
      <c r="A149" s="1044"/>
      <c r="B149" s="481" t="s">
        <v>771</v>
      </c>
      <c r="C149" s="453" t="e">
        <f>'R2_Hydro_MEFA'!$L$137*1000*C134/1000</f>
        <v>#DIV/0!</v>
      </c>
      <c r="D149" s="149" t="s">
        <v>764</v>
      </c>
    </row>
    <row r="150" spans="1:5" x14ac:dyDescent="0.2">
      <c r="A150" s="1044"/>
      <c r="B150" s="481" t="s">
        <v>772</v>
      </c>
      <c r="C150" s="453" t="e">
        <f>'R2_Hydro_MEFA'!$L$143*1000*C134/1000</f>
        <v>#DIV/0!</v>
      </c>
      <c r="D150" s="149" t="s">
        <v>764</v>
      </c>
    </row>
    <row r="151" spans="1:5" x14ac:dyDescent="0.2">
      <c r="A151" s="1044"/>
      <c r="B151" s="481" t="s">
        <v>773</v>
      </c>
      <c r="C151" s="453" t="e">
        <f>'R2_Hydro_MEFA'!$L$173*1000*C134/1000</f>
        <v>#DIV/0!</v>
      </c>
      <c r="D151" s="149" t="s">
        <v>764</v>
      </c>
    </row>
    <row r="152" spans="1:5" x14ac:dyDescent="0.2">
      <c r="A152" s="1044"/>
      <c r="B152" s="481" t="s">
        <v>774</v>
      </c>
      <c r="C152" s="453" t="e">
        <f>'R3_Hydro_MEFA'!L93*1000*C134/1000</f>
        <v>#DIV/0!</v>
      </c>
      <c r="D152" s="149" t="s">
        <v>764</v>
      </c>
    </row>
    <row r="153" spans="1:5" x14ac:dyDescent="0.2">
      <c r="A153" s="1044"/>
      <c r="B153" s="481" t="s">
        <v>775</v>
      </c>
      <c r="C153" s="453" t="e">
        <f>'R3_Hydro_MEFA'!L99*1000*C134/1000</f>
        <v>#DIV/0!</v>
      </c>
      <c r="D153" s="149" t="s">
        <v>764</v>
      </c>
    </row>
    <row r="154" spans="1:5" x14ac:dyDescent="0.2">
      <c r="A154" s="1044"/>
      <c r="B154" s="481" t="s">
        <v>776</v>
      </c>
      <c r="C154" s="453" t="e">
        <f>'R3_Hydro_MEFA'!L186*1000*C134/1000</f>
        <v>#DIV/0!</v>
      </c>
      <c r="D154" s="149" t="s">
        <v>764</v>
      </c>
    </row>
    <row r="155" spans="1:5" ht="16" thickBot="1" x14ac:dyDescent="0.25">
      <c r="A155" s="1045"/>
      <c r="B155" s="482"/>
      <c r="C155" s="141"/>
      <c r="D155" s="321"/>
    </row>
    <row r="156" spans="1:5" x14ac:dyDescent="0.2">
      <c r="A156" s="1042" t="s">
        <v>777</v>
      </c>
      <c r="B156" s="485" t="s">
        <v>765</v>
      </c>
      <c r="C156" s="487" t="e">
        <f>'R1_Hydro_MEFA'!$L$193*1000*C134/1000</f>
        <v>#DIV/0!</v>
      </c>
      <c r="D156" s="149" t="s">
        <v>764</v>
      </c>
    </row>
    <row r="157" spans="1:5" x14ac:dyDescent="0.2">
      <c r="A157" s="1037"/>
      <c r="B157" s="481" t="s">
        <v>766</v>
      </c>
      <c r="C157" s="453" t="e">
        <f>'R2_Hydro_MEFA'!$L$181*1000*C134/1000</f>
        <v>#DIV/0!</v>
      </c>
      <c r="D157" s="149" t="s">
        <v>764</v>
      </c>
    </row>
    <row r="158" spans="1:5" x14ac:dyDescent="0.2">
      <c r="A158" s="1037"/>
      <c r="B158" s="481" t="s">
        <v>778</v>
      </c>
      <c r="C158" s="453">
        <v>0</v>
      </c>
      <c r="D158" s="149" t="s">
        <v>764</v>
      </c>
      <c r="E158" t="s">
        <v>779</v>
      </c>
    </row>
    <row r="159" spans="1:5" ht="16" thickBot="1" x14ac:dyDescent="0.25">
      <c r="A159" s="1041"/>
      <c r="B159" s="482"/>
      <c r="C159" s="141"/>
      <c r="D159" s="321"/>
    </row>
    <row r="160" spans="1:5" x14ac:dyDescent="0.2">
      <c r="A160" s="1042" t="s">
        <v>780</v>
      </c>
      <c r="B160" s="485" t="s">
        <v>765</v>
      </c>
      <c r="C160" s="487">
        <f>'R1_Hydro_MEFA'!$L$215*1000*C134/1000</f>
        <v>0</v>
      </c>
      <c r="D160" s="405" t="s">
        <v>764</v>
      </c>
    </row>
    <row r="161" spans="1:4" x14ac:dyDescent="0.2">
      <c r="A161" s="1037"/>
      <c r="B161" s="481" t="s">
        <v>766</v>
      </c>
      <c r="C161" s="453">
        <f>'R2_Hydro_MEFA'!$L$203*1000*C134/1000</f>
        <v>0</v>
      </c>
      <c r="D161" s="149" t="s">
        <v>764</v>
      </c>
    </row>
    <row r="162" spans="1:4" x14ac:dyDescent="0.2">
      <c r="A162" s="1037"/>
      <c r="B162" s="124" t="s">
        <v>778</v>
      </c>
      <c r="C162" s="453">
        <f>'R3_Hydro_MEFA'!L208*1000*C134/1000</f>
        <v>0</v>
      </c>
      <c r="D162" s="149" t="s">
        <v>764</v>
      </c>
    </row>
    <row r="163" spans="1:4" ht="16" thickBot="1" x14ac:dyDescent="0.25">
      <c r="A163" s="1037"/>
      <c r="B163" s="631"/>
      <c r="C163" s="174"/>
      <c r="D163" s="632"/>
    </row>
    <row r="164" spans="1:4" ht="32" x14ac:dyDescent="0.2">
      <c r="A164" s="747" t="s">
        <v>781</v>
      </c>
      <c r="B164" s="633"/>
      <c r="C164" s="633"/>
      <c r="D164" s="405"/>
    </row>
    <row r="165" spans="1:4" x14ac:dyDescent="0.2">
      <c r="A165" s="1037" t="s">
        <v>782</v>
      </c>
      <c r="B165" s="124"/>
      <c r="C165" s="124"/>
      <c r="D165" s="149"/>
    </row>
    <row r="166" spans="1:4" x14ac:dyDescent="0.2">
      <c r="A166" s="1038"/>
      <c r="B166" s="124" t="s">
        <v>783</v>
      </c>
      <c r="C166" s="865">
        <v>140</v>
      </c>
      <c r="D166" s="149" t="s">
        <v>761</v>
      </c>
    </row>
    <row r="167" spans="1:4" x14ac:dyDescent="0.2">
      <c r="A167" s="1038"/>
      <c r="B167" s="124" t="s">
        <v>784</v>
      </c>
      <c r="C167" s="865">
        <v>40</v>
      </c>
      <c r="D167" s="149" t="s">
        <v>761</v>
      </c>
    </row>
    <row r="168" spans="1:4" ht="16" x14ac:dyDescent="0.2">
      <c r="A168" s="1038"/>
      <c r="B168" s="700" t="s">
        <v>785</v>
      </c>
      <c r="C168" s="256">
        <f>50.09-0.9298*(C166+273)/1000-65.19*((C166+273)/1000)^2</f>
        <v>38.586599490000005</v>
      </c>
      <c r="D168" s="149" t="s">
        <v>786</v>
      </c>
    </row>
    <row r="169" spans="1:4" x14ac:dyDescent="0.2">
      <c r="A169" s="1038"/>
      <c r="B169" s="124" t="s">
        <v>787</v>
      </c>
      <c r="C169" s="124">
        <f>18.02/1000</f>
        <v>1.8020000000000001E-2</v>
      </c>
      <c r="D169" s="149" t="s">
        <v>788</v>
      </c>
    </row>
    <row r="170" spans="1:4" ht="16" x14ac:dyDescent="0.2">
      <c r="A170" s="1038"/>
      <c r="B170" s="700" t="s">
        <v>789</v>
      </c>
      <c r="C170" s="124">
        <f>C168/C169</f>
        <v>2141.3207264150947</v>
      </c>
      <c r="D170" s="149" t="s">
        <v>790</v>
      </c>
    </row>
    <row r="171" spans="1:4" ht="16" x14ac:dyDescent="0.2">
      <c r="A171" s="1038"/>
      <c r="B171" s="700" t="s">
        <v>791</v>
      </c>
      <c r="C171" s="124">
        <f>(50.09-0.9298*(C167+273)/1000-65.19*((C167+273)/1000)^2)/C169</f>
        <v>2409.1217253052168</v>
      </c>
      <c r="D171" s="149" t="s">
        <v>790</v>
      </c>
    </row>
    <row r="172" spans="1:4" ht="16" x14ac:dyDescent="0.2">
      <c r="A172" s="1038"/>
      <c r="B172" s="700" t="s">
        <v>792</v>
      </c>
      <c r="C172" s="124">
        <f>'R2_MEFA'!C52</f>
        <v>0</v>
      </c>
      <c r="D172" s="149" t="s">
        <v>793</v>
      </c>
    </row>
    <row r="173" spans="1:4" x14ac:dyDescent="0.2">
      <c r="A173" s="1038"/>
      <c r="B173" s="124" t="s">
        <v>794</v>
      </c>
      <c r="C173" s="124">
        <f>C172*1000*(C171-C170)</f>
        <v>0</v>
      </c>
      <c r="D173" s="149" t="s">
        <v>753</v>
      </c>
    </row>
    <row r="174" spans="1:4" x14ac:dyDescent="0.2">
      <c r="A174" s="1038"/>
      <c r="B174" s="124"/>
      <c r="C174" s="124">
        <f>C173/1000</f>
        <v>0</v>
      </c>
      <c r="D174" s="149" t="s">
        <v>795</v>
      </c>
    </row>
    <row r="175" spans="1:4" x14ac:dyDescent="0.2">
      <c r="A175" s="1038"/>
      <c r="B175" s="124"/>
      <c r="C175" s="124">
        <f>C174/3.6</f>
        <v>0</v>
      </c>
      <c r="D175" s="149" t="s">
        <v>233</v>
      </c>
    </row>
    <row r="176" spans="1:4" ht="16" x14ac:dyDescent="0.2">
      <c r="A176" s="1038"/>
      <c r="B176" s="700" t="s">
        <v>796</v>
      </c>
      <c r="C176" s="865">
        <v>0.6</v>
      </c>
      <c r="D176" s="149"/>
    </row>
    <row r="177" spans="1:4" ht="16" thickBot="1" x14ac:dyDescent="0.25">
      <c r="A177" s="1039"/>
      <c r="B177" s="124"/>
      <c r="C177" s="634">
        <f>C175/C176</f>
        <v>0</v>
      </c>
      <c r="D177" s="149" t="s">
        <v>233</v>
      </c>
    </row>
    <row r="178" spans="1:4" x14ac:dyDescent="0.2">
      <c r="C178" s="581"/>
    </row>
    <row r="179" spans="1:4" x14ac:dyDescent="0.2">
      <c r="C179" s="581"/>
    </row>
  </sheetData>
  <mergeCells count="29">
    <mergeCell ref="A165:A177"/>
    <mergeCell ref="A5:A9"/>
    <mergeCell ref="A49:A57"/>
    <mergeCell ref="A91:A92"/>
    <mergeCell ref="A10:A13"/>
    <mergeCell ref="A45:A48"/>
    <mergeCell ref="A87:A90"/>
    <mergeCell ref="A58:A82"/>
    <mergeCell ref="A14:A25"/>
    <mergeCell ref="A26:A39"/>
    <mergeCell ref="A131:A136"/>
    <mergeCell ref="A137:A145"/>
    <mergeCell ref="A146:A155"/>
    <mergeCell ref="A156:A159"/>
    <mergeCell ref="A160:A163"/>
    <mergeCell ref="A113:A125"/>
    <mergeCell ref="D24:N25"/>
    <mergeCell ref="D82:N82"/>
    <mergeCell ref="D79:N79"/>
    <mergeCell ref="D73:N74"/>
    <mergeCell ref="D57:N57"/>
    <mergeCell ref="D78:N78"/>
    <mergeCell ref="D39:N39"/>
    <mergeCell ref="D36:N36"/>
    <mergeCell ref="D125:N125"/>
    <mergeCell ref="A93:A96"/>
    <mergeCell ref="A97:A100"/>
    <mergeCell ref="A101:A112"/>
    <mergeCell ref="D111:N112"/>
  </mergeCells>
  <pageMargins left="0.7" right="0.7" top="0.78740157499999996" bottom="0.78740157499999996"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Tabelle14">
    <tabColor theme="0" tint="-0.499984740745262"/>
  </sheetPr>
  <dimension ref="A2:K164"/>
  <sheetViews>
    <sheetView workbookViewId="0"/>
  </sheetViews>
  <sheetFormatPr baseColWidth="10" defaultColWidth="11.5" defaultRowHeight="15" x14ac:dyDescent="0.2"/>
  <cols>
    <col min="2" max="2" width="26.5" customWidth="1"/>
    <col min="3" max="3" width="13.33203125" bestFit="1" customWidth="1"/>
    <col min="4" max="4" width="17.6640625" bestFit="1" customWidth="1"/>
    <col min="5" max="5" width="23.33203125" bestFit="1" customWidth="1"/>
    <col min="6" max="6" width="21" bestFit="1" customWidth="1"/>
    <col min="7" max="7" width="11.33203125" customWidth="1"/>
    <col min="9" max="9" width="38.33203125" bestFit="1" customWidth="1"/>
    <col min="10" max="10" width="9.5" customWidth="1"/>
  </cols>
  <sheetData>
    <row r="2" spans="1:11" ht="21" x14ac:dyDescent="0.25">
      <c r="A2" s="189" t="s">
        <v>797</v>
      </c>
    </row>
    <row r="3" spans="1:11" ht="16" thickBot="1" x14ac:dyDescent="0.25">
      <c r="A3" s="126" t="s">
        <v>798</v>
      </c>
      <c r="I3" t="s">
        <v>799</v>
      </c>
      <c r="J3" t="s">
        <v>800</v>
      </c>
    </row>
    <row r="4" spans="1:11" x14ac:dyDescent="0.2">
      <c r="B4" s="130" t="s">
        <v>801</v>
      </c>
      <c r="C4" s="131" t="s">
        <v>802</v>
      </c>
      <c r="D4" s="131" t="s">
        <v>803</v>
      </c>
      <c r="E4" s="131" t="s">
        <v>433</v>
      </c>
      <c r="F4" s="131" t="s">
        <v>804</v>
      </c>
      <c r="G4" s="132" t="s">
        <v>431</v>
      </c>
      <c r="I4" s="130" t="s">
        <v>805</v>
      </c>
      <c r="J4" s="131" t="s">
        <v>309</v>
      </c>
      <c r="K4" s="132" t="s">
        <v>263</v>
      </c>
    </row>
    <row r="5" spans="1:11" x14ac:dyDescent="0.2">
      <c r="B5" s="135" t="s">
        <v>101</v>
      </c>
      <c r="C5" s="124">
        <v>8.91</v>
      </c>
      <c r="D5" s="124">
        <v>58.69</v>
      </c>
      <c r="E5" s="136" t="e">
        <f>'R1_Hydro_MEFA'!B7*1000000/D5</f>
        <v>#DIV/0!</v>
      </c>
      <c r="F5" s="137" t="s">
        <v>806</v>
      </c>
      <c r="G5" s="138" t="e">
        <f>E5*D5/1000000</f>
        <v>#DIV/0!</v>
      </c>
      <c r="H5" s="126"/>
      <c r="I5" s="135" t="s">
        <v>807</v>
      </c>
      <c r="J5" s="124">
        <v>383</v>
      </c>
      <c r="K5" s="149" t="s">
        <v>808</v>
      </c>
    </row>
    <row r="6" spans="1:11" ht="16" x14ac:dyDescent="0.2">
      <c r="B6" s="135" t="s">
        <v>100</v>
      </c>
      <c r="C6" s="139">
        <v>8.9</v>
      </c>
      <c r="D6" s="124">
        <v>58.93</v>
      </c>
      <c r="E6" s="136" t="e">
        <f>'R1_Hydro_MEFA'!B8*1000000/D6</f>
        <v>#DIV/0!</v>
      </c>
      <c r="F6" s="137" t="s">
        <v>806</v>
      </c>
      <c r="G6" s="138" t="e">
        <f>E6*D6/1000000</f>
        <v>#DIV/0!</v>
      </c>
      <c r="I6" s="395" t="s">
        <v>809</v>
      </c>
      <c r="J6" s="124">
        <v>625</v>
      </c>
      <c r="K6" s="149" t="s">
        <v>808</v>
      </c>
    </row>
    <row r="7" spans="1:11" x14ac:dyDescent="0.2">
      <c r="B7" s="135" t="s">
        <v>105</v>
      </c>
      <c r="C7" s="124">
        <v>8.9600000000000009</v>
      </c>
      <c r="D7" s="124">
        <v>63.55</v>
      </c>
      <c r="E7" s="136" t="e">
        <f>'R1_Hydro_MEFA'!B9*1000000/D7</f>
        <v>#DIV/0!</v>
      </c>
      <c r="F7" s="137" t="s">
        <v>806</v>
      </c>
      <c r="G7" s="138" t="e">
        <f>E7*D7/1000000</f>
        <v>#DIV/0!</v>
      </c>
      <c r="I7" s="135" t="s">
        <v>810</v>
      </c>
      <c r="J7" s="124">
        <v>762</v>
      </c>
      <c r="K7" s="149" t="s">
        <v>808</v>
      </c>
    </row>
    <row r="8" spans="1:11" ht="16" thickBot="1" x14ac:dyDescent="0.25">
      <c r="B8" s="140" t="s">
        <v>49</v>
      </c>
      <c r="C8" s="141">
        <v>7.87</v>
      </c>
      <c r="D8" s="141">
        <v>55.85</v>
      </c>
      <c r="E8" s="142" t="e">
        <f>'R1_Hydro_MEFA'!B10*1000000/D8</f>
        <v>#DIV/0!</v>
      </c>
      <c r="F8" s="143" t="s">
        <v>806</v>
      </c>
      <c r="G8" s="144" t="e">
        <f>E8*D8/1000000</f>
        <v>#DIV/0!</v>
      </c>
      <c r="I8" s="135" t="s">
        <v>811</v>
      </c>
      <c r="J8" s="124">
        <v>340</v>
      </c>
      <c r="K8" s="149" t="s">
        <v>808</v>
      </c>
    </row>
    <row r="9" spans="1:11" x14ac:dyDescent="0.2">
      <c r="B9" s="145"/>
      <c r="C9" s="146"/>
      <c r="D9" s="146"/>
      <c r="E9" s="146"/>
      <c r="F9" s="146"/>
      <c r="G9" s="147"/>
      <c r="I9" s="135" t="s">
        <v>812</v>
      </c>
      <c r="J9" s="124">
        <v>203</v>
      </c>
      <c r="K9" s="149" t="s">
        <v>808</v>
      </c>
    </row>
    <row r="10" spans="1:11" ht="16" x14ac:dyDescent="0.2">
      <c r="B10" s="135" t="s">
        <v>106</v>
      </c>
      <c r="C10" s="124"/>
      <c r="D10" s="124"/>
      <c r="E10" s="136" t="e">
        <f>SUM(E5:E8)</f>
        <v>#DIV/0!</v>
      </c>
      <c r="F10" s="124"/>
      <c r="G10" s="149"/>
      <c r="I10" s="395" t="s">
        <v>813</v>
      </c>
      <c r="J10" s="124">
        <v>256</v>
      </c>
      <c r="K10" s="149" t="s">
        <v>808</v>
      </c>
    </row>
    <row r="11" spans="1:11" x14ac:dyDescent="0.2">
      <c r="B11" s="150" t="s">
        <v>814</v>
      </c>
      <c r="C11" s="124"/>
      <c r="D11" s="124">
        <v>96.06</v>
      </c>
      <c r="E11" s="136" t="e">
        <f>E5+E6+E7+E8</f>
        <v>#DIV/0!</v>
      </c>
      <c r="F11" s="124"/>
      <c r="G11" s="138" t="e">
        <f>E11*D11/1000000</f>
        <v>#DIV/0!</v>
      </c>
      <c r="I11" s="135" t="s">
        <v>815</v>
      </c>
      <c r="J11" s="124">
        <v>360</v>
      </c>
      <c r="K11" s="149" t="s">
        <v>808</v>
      </c>
    </row>
    <row r="12" spans="1:11" ht="17" thickBot="1" x14ac:dyDescent="0.25">
      <c r="B12" s="140" t="s">
        <v>816</v>
      </c>
      <c r="C12" s="141">
        <v>1.84</v>
      </c>
      <c r="D12" s="141">
        <v>98.08</v>
      </c>
      <c r="E12" s="141"/>
      <c r="F12" s="141"/>
      <c r="G12" s="151" t="e">
        <f>G11*D12/D11</f>
        <v>#DIV/0!</v>
      </c>
      <c r="I12" s="775" t="s">
        <v>33</v>
      </c>
      <c r="J12" s="141">
        <v>2.4</v>
      </c>
      <c r="K12" s="321" t="s">
        <v>808</v>
      </c>
    </row>
    <row r="13" spans="1:11" x14ac:dyDescent="0.2">
      <c r="B13" s="145"/>
      <c r="C13" s="146"/>
      <c r="D13" s="146"/>
      <c r="E13" s="146"/>
      <c r="F13" s="146"/>
      <c r="G13" s="147"/>
    </row>
    <row r="14" spans="1:11" x14ac:dyDescent="0.2">
      <c r="B14" s="135" t="s">
        <v>817</v>
      </c>
      <c r="C14" s="124">
        <v>3.68</v>
      </c>
      <c r="D14" s="124">
        <f>D11+D5</f>
        <v>154.75</v>
      </c>
      <c r="E14" s="136" t="e">
        <f>E5</f>
        <v>#DIV/0!</v>
      </c>
      <c r="F14" s="137" t="s">
        <v>806</v>
      </c>
      <c r="G14" s="138" t="e">
        <f>E14*D14/1000000</f>
        <v>#DIV/0!</v>
      </c>
      <c r="I14" t="s">
        <v>818</v>
      </c>
    </row>
    <row r="15" spans="1:11" x14ac:dyDescent="0.2">
      <c r="B15" s="135" t="s">
        <v>819</v>
      </c>
      <c r="C15" s="124">
        <v>3.71</v>
      </c>
      <c r="D15" s="124">
        <v>154.99</v>
      </c>
      <c r="E15" s="136" t="e">
        <f>E6</f>
        <v>#DIV/0!</v>
      </c>
      <c r="F15" s="137" t="s">
        <v>806</v>
      </c>
      <c r="G15" s="138" t="e">
        <f>E15*D15/1000000</f>
        <v>#DIV/0!</v>
      </c>
      <c r="H15" s="166"/>
    </row>
    <row r="16" spans="1:11" x14ac:dyDescent="0.2">
      <c r="B16" s="135" t="s">
        <v>820</v>
      </c>
      <c r="C16" s="139">
        <v>3.6</v>
      </c>
      <c r="D16" s="124">
        <v>159.61000000000001</v>
      </c>
      <c r="E16" s="136" t="e">
        <f>E7</f>
        <v>#DIV/0!</v>
      </c>
      <c r="F16" s="137" t="s">
        <v>806</v>
      </c>
      <c r="G16" s="138" t="e">
        <f>E16*D16/1000000</f>
        <v>#DIV/0!</v>
      </c>
      <c r="H16" s="168"/>
    </row>
    <row r="17" spans="1:11" x14ac:dyDescent="0.2">
      <c r="B17" s="135" t="s">
        <v>821</v>
      </c>
      <c r="C17" s="124">
        <v>2.84</v>
      </c>
      <c r="D17" s="124">
        <v>151.91</v>
      </c>
      <c r="E17" s="136" t="e">
        <f>E8</f>
        <v>#DIV/0!</v>
      </c>
      <c r="F17" s="137" t="s">
        <v>806</v>
      </c>
      <c r="G17" s="392" t="e">
        <f>E17*D17/1000000</f>
        <v>#DIV/0!</v>
      </c>
      <c r="H17" s="168"/>
    </row>
    <row r="18" spans="1:11" ht="16" thickBot="1" x14ac:dyDescent="0.25">
      <c r="B18" s="140"/>
      <c r="C18" s="393"/>
      <c r="D18" s="141"/>
      <c r="E18" s="141"/>
      <c r="F18" s="141"/>
      <c r="G18" s="394"/>
      <c r="H18" s="168"/>
    </row>
    <row r="19" spans="1:11" ht="17" thickBot="1" x14ac:dyDescent="0.25">
      <c r="B19" s="775" t="s">
        <v>822</v>
      </c>
      <c r="C19" s="393" t="e">
        <f>C14*G14/G19+C15*G15/G19+C16*G16/G19+C17*G17/G19</f>
        <v>#DIV/0!</v>
      </c>
      <c r="D19" s="393" t="e">
        <f>+D14*G14/G19+D15*G15/G19+D16*G16/G19+D17*G17/G19</f>
        <v>#DIV/0!</v>
      </c>
      <c r="E19" s="142" t="e">
        <f>SUM(E14:E17)</f>
        <v>#DIV/0!</v>
      </c>
      <c r="F19" s="141"/>
      <c r="G19" s="151" t="e">
        <f>SUM(G14:G17)</f>
        <v>#DIV/0!</v>
      </c>
      <c r="H19" s="168"/>
    </row>
    <row r="20" spans="1:11" x14ac:dyDescent="0.2">
      <c r="B20" s="145"/>
      <c r="C20" s="146"/>
      <c r="D20" s="146"/>
      <c r="E20" s="146"/>
      <c r="F20" s="146"/>
      <c r="G20" s="147"/>
    </row>
    <row r="21" spans="1:11" ht="17" x14ac:dyDescent="0.25">
      <c r="B21" s="135" t="s">
        <v>823</v>
      </c>
      <c r="C21" s="124"/>
      <c r="D21" s="124">
        <v>106.87</v>
      </c>
      <c r="E21" s="124"/>
      <c r="F21" s="124"/>
      <c r="G21" s="149"/>
    </row>
    <row r="22" spans="1:11" x14ac:dyDescent="0.2">
      <c r="B22" s="135"/>
      <c r="C22" s="124"/>
      <c r="D22" s="139"/>
      <c r="E22" s="124"/>
      <c r="F22" s="124" t="e">
        <f>(Stoichiometry!G14/(Stoichiometry!J6/1000)+Stoichiometry!G15/(Stoichiometry!J5/1000)+Stoichiometry!G16/(Stoichiometry!J9/1000)+Stoichiometry!G17/(Stoichiometry!J10/1000))*O22</f>
        <v>#DIV/0!</v>
      </c>
      <c r="G22" s="149"/>
    </row>
    <row r="23" spans="1:11" x14ac:dyDescent="0.2">
      <c r="B23" s="135" t="s">
        <v>78</v>
      </c>
      <c r="C23" s="124">
        <v>1.45</v>
      </c>
      <c r="D23" s="124">
        <v>34.01</v>
      </c>
      <c r="E23" s="124"/>
      <c r="F23" s="124"/>
      <c r="G23" s="149"/>
    </row>
    <row r="24" spans="1:11" ht="32" x14ac:dyDescent="0.2">
      <c r="B24" s="395" t="s">
        <v>824</v>
      </c>
      <c r="C24" s="124">
        <v>2.13</v>
      </c>
      <c r="D24" s="124">
        <v>39.979999999999997</v>
      </c>
      <c r="E24" s="396" t="e">
        <f>E17*3</f>
        <v>#DIV/0!</v>
      </c>
      <c r="F24" s="391" t="s">
        <v>825</v>
      </c>
      <c r="G24" s="138" t="e">
        <f>E24*D24/1000000</f>
        <v>#DIV/0!</v>
      </c>
    </row>
    <row r="25" spans="1:11" ht="16" x14ac:dyDescent="0.2">
      <c r="B25" s="395" t="s">
        <v>826</v>
      </c>
      <c r="C25" s="124">
        <v>0.8</v>
      </c>
      <c r="D25" s="124"/>
      <c r="E25" s="124"/>
      <c r="F25" s="124"/>
      <c r="G25" s="149"/>
    </row>
    <row r="26" spans="1:11" x14ac:dyDescent="0.2">
      <c r="B26" s="135" t="s">
        <v>41</v>
      </c>
      <c r="C26" s="124">
        <v>0.92</v>
      </c>
      <c r="D26" s="139">
        <v>290</v>
      </c>
      <c r="E26" s="397" t="e">
        <f>(G26*1000000)/D26</f>
        <v>#DIV/0!</v>
      </c>
      <c r="F26" s="124"/>
      <c r="G26" s="392" t="e">
        <f>'R1_Hydro_MEFA'!F67</f>
        <v>#DIV/0!</v>
      </c>
    </row>
    <row r="27" spans="1:11" ht="16" thickBot="1" x14ac:dyDescent="0.25">
      <c r="B27" s="140"/>
      <c r="C27" s="141"/>
      <c r="D27" s="393"/>
      <c r="E27" s="398"/>
      <c r="F27" s="141"/>
      <c r="G27" s="144"/>
    </row>
    <row r="28" spans="1:11" x14ac:dyDescent="0.2">
      <c r="B28" s="135" t="s">
        <v>827</v>
      </c>
      <c r="C28" s="139">
        <v>1</v>
      </c>
      <c r="D28" s="124">
        <v>18.02</v>
      </c>
      <c r="E28" s="136" t="e">
        <f>E14*6</f>
        <v>#DIV/0!</v>
      </c>
      <c r="F28" s="391" t="s">
        <v>828</v>
      </c>
      <c r="G28" s="138" t="e">
        <f>D28*E28/1000000</f>
        <v>#DIV/0!</v>
      </c>
    </row>
    <row r="29" spans="1:11" x14ac:dyDescent="0.2">
      <c r="B29" s="135" t="s">
        <v>829</v>
      </c>
      <c r="C29" s="139">
        <v>1</v>
      </c>
      <c r="D29" s="124">
        <v>18.02</v>
      </c>
      <c r="E29" s="136" t="e">
        <f>E15*7</f>
        <v>#DIV/0!</v>
      </c>
      <c r="F29" s="137" t="s">
        <v>830</v>
      </c>
      <c r="G29" s="138" t="e">
        <f>D29*E29/1000000</f>
        <v>#DIV/0!</v>
      </c>
      <c r="I29" s="128"/>
      <c r="J29" s="126"/>
      <c r="K29" s="126"/>
    </row>
    <row r="30" spans="1:11" ht="16" thickBot="1" x14ac:dyDescent="0.25">
      <c r="B30" s="140"/>
      <c r="C30" s="393"/>
      <c r="D30" s="141"/>
      <c r="E30" s="142"/>
      <c r="F30" s="143"/>
      <c r="G30" s="151"/>
    </row>
    <row r="31" spans="1:11" x14ac:dyDescent="0.2">
      <c r="C31" s="181"/>
      <c r="E31" s="168"/>
      <c r="F31" s="247"/>
      <c r="G31" s="168"/>
    </row>
    <row r="32" spans="1:11" ht="16" thickBot="1" x14ac:dyDescent="0.25">
      <c r="A32" s="126" t="s">
        <v>831</v>
      </c>
    </row>
    <row r="33" spans="2:8" ht="16" x14ac:dyDescent="0.2">
      <c r="B33" s="776" t="s">
        <v>801</v>
      </c>
      <c r="C33" s="131" t="s">
        <v>802</v>
      </c>
      <c r="D33" s="131" t="s">
        <v>803</v>
      </c>
      <c r="E33" s="131" t="s">
        <v>433</v>
      </c>
      <c r="F33" s="131" t="s">
        <v>804</v>
      </c>
      <c r="G33" s="132" t="s">
        <v>431</v>
      </c>
    </row>
    <row r="34" spans="2:8" x14ac:dyDescent="0.2">
      <c r="B34" s="135" t="s">
        <v>104</v>
      </c>
      <c r="C34" s="139">
        <v>2.7</v>
      </c>
      <c r="D34" s="124">
        <v>26.92</v>
      </c>
      <c r="E34" s="136" t="e">
        <f>'R1_Hydro_MEFA'!T114*1000000/D34</f>
        <v>#DIV/0!</v>
      </c>
      <c r="F34" s="391" t="s">
        <v>832</v>
      </c>
      <c r="G34" s="138" t="e">
        <f t="shared" ref="G34:G40" si="0">E34*D34/1000000</f>
        <v>#DIV/0!</v>
      </c>
      <c r="H34" s="126"/>
    </row>
    <row r="35" spans="2:8" x14ac:dyDescent="0.2">
      <c r="B35" s="135" t="s">
        <v>103</v>
      </c>
      <c r="C35" s="124">
        <v>7.47</v>
      </c>
      <c r="D35" s="124">
        <v>54.94</v>
      </c>
      <c r="E35" s="136" t="e">
        <f>'R1_Hydro_MEFA'!T115*1000000/D35</f>
        <v>#DIV/0!</v>
      </c>
      <c r="F35" s="137" t="s">
        <v>806</v>
      </c>
      <c r="G35" s="138" t="e">
        <f t="shared" si="0"/>
        <v>#DIV/0!</v>
      </c>
    </row>
    <row r="36" spans="2:8" x14ac:dyDescent="0.2">
      <c r="B36" s="135" t="s">
        <v>102</v>
      </c>
      <c r="C36" s="124">
        <v>0.53</v>
      </c>
      <c r="D36" s="124">
        <v>6.94</v>
      </c>
      <c r="E36" s="136" t="e">
        <f>'R1_Hydro_MEFA'!T116*1000000/D36</f>
        <v>#DIV/0!</v>
      </c>
      <c r="F36" s="137" t="s">
        <v>833</v>
      </c>
      <c r="G36" s="138" t="e">
        <f>E36*D36/1000000</f>
        <v>#DIV/0!</v>
      </c>
    </row>
    <row r="37" spans="2:8" x14ac:dyDescent="0.2">
      <c r="B37" s="135" t="s">
        <v>49</v>
      </c>
      <c r="C37" s="124">
        <v>7.87</v>
      </c>
      <c r="D37" s="124">
        <v>55.85</v>
      </c>
      <c r="E37" s="136" t="e">
        <f>'R1_Hydro_MEFA'!T117*1000000/D37</f>
        <v>#DIV/0!</v>
      </c>
      <c r="F37" s="137" t="s">
        <v>806</v>
      </c>
      <c r="G37" s="392" t="e">
        <f t="shared" si="0"/>
        <v>#DIV/0!</v>
      </c>
    </row>
    <row r="38" spans="2:8" x14ac:dyDescent="0.2">
      <c r="B38" s="135" t="s">
        <v>834</v>
      </c>
      <c r="C38" s="124">
        <v>1.55</v>
      </c>
      <c r="D38" s="124">
        <v>40.08</v>
      </c>
      <c r="E38" s="136" t="e">
        <f>'R1_Hydro_MEFA'!T119*1000000/D38</f>
        <v>#DIV/0!</v>
      </c>
      <c r="F38" s="391" t="s">
        <v>806</v>
      </c>
      <c r="G38" s="392" t="e">
        <f t="shared" si="0"/>
        <v>#DIV/0!</v>
      </c>
    </row>
    <row r="39" spans="2:8" x14ac:dyDescent="0.2">
      <c r="B39" s="135" t="s">
        <v>835</v>
      </c>
      <c r="C39" s="124">
        <v>3.34</v>
      </c>
      <c r="D39" s="124">
        <v>56.08</v>
      </c>
      <c r="E39" s="136"/>
      <c r="F39" s="163"/>
      <c r="G39" s="392">
        <f t="shared" si="0"/>
        <v>0</v>
      </c>
    </row>
    <row r="40" spans="2:8" ht="16" x14ac:dyDescent="0.2">
      <c r="B40" s="135" t="s">
        <v>836</v>
      </c>
      <c r="C40" s="124">
        <v>2.65</v>
      </c>
      <c r="D40" s="124">
        <v>60.08</v>
      </c>
      <c r="E40" s="136" t="e">
        <f>'R1_Hydro_MEFA'!T118*1000000/D40</f>
        <v>#DIV/0!</v>
      </c>
      <c r="F40" s="700" t="s">
        <v>837</v>
      </c>
      <c r="G40" s="392" t="e">
        <f t="shared" si="0"/>
        <v>#DIV/0!</v>
      </c>
    </row>
    <row r="41" spans="2:8" x14ac:dyDescent="0.2">
      <c r="B41" s="145"/>
      <c r="C41" s="146"/>
      <c r="D41" s="146"/>
      <c r="E41" s="146"/>
      <c r="F41" s="146"/>
      <c r="G41" s="147"/>
    </row>
    <row r="42" spans="2:8" x14ac:dyDescent="0.2">
      <c r="B42" s="135" t="s">
        <v>106</v>
      </c>
      <c r="C42" s="124"/>
      <c r="D42" s="124"/>
      <c r="E42" s="136" t="e">
        <f>SUM(E34:E38)</f>
        <v>#DIV/0!</v>
      </c>
      <c r="F42" s="124"/>
      <c r="G42" s="149"/>
    </row>
    <row r="43" spans="2:8" x14ac:dyDescent="0.2">
      <c r="B43" s="150" t="s">
        <v>814</v>
      </c>
      <c r="C43" s="124"/>
      <c r="D43" s="124">
        <v>96.06</v>
      </c>
      <c r="E43" s="136" t="e">
        <f>E34*3/2+E35+E36/2+E37+E38</f>
        <v>#DIV/0!</v>
      </c>
      <c r="F43" s="124"/>
      <c r="G43" s="138" t="e">
        <f>E43*D43/1000000</f>
        <v>#DIV/0!</v>
      </c>
    </row>
    <row r="44" spans="2:8" ht="16" thickBot="1" x14ac:dyDescent="0.25">
      <c r="B44" s="140" t="s">
        <v>816</v>
      </c>
      <c r="C44" s="141">
        <v>1.84</v>
      </c>
      <c r="D44" s="141">
        <v>98.08</v>
      </c>
      <c r="E44" s="141"/>
      <c r="F44" s="141"/>
      <c r="G44" s="151" t="e">
        <f>G43*D44/D43</f>
        <v>#DIV/0!</v>
      </c>
    </row>
    <row r="45" spans="2:8" x14ac:dyDescent="0.2">
      <c r="B45" s="145"/>
      <c r="C45" s="146"/>
      <c r="D45" s="146"/>
      <c r="E45" s="146"/>
      <c r="F45" s="146"/>
      <c r="G45" s="147"/>
    </row>
    <row r="46" spans="2:8" x14ac:dyDescent="0.2">
      <c r="B46" s="135" t="s">
        <v>838</v>
      </c>
      <c r="C46" s="124">
        <v>2.67</v>
      </c>
      <c r="D46" s="124">
        <v>342.15</v>
      </c>
      <c r="E46" s="136" t="e">
        <f>(E34+E34*3/2)/5</f>
        <v>#DIV/0!</v>
      </c>
      <c r="F46" s="391" t="s">
        <v>832</v>
      </c>
      <c r="G46" s="138" t="e">
        <f>E46*D46/1000000</f>
        <v>#DIV/0!</v>
      </c>
      <c r="H46" s="166"/>
    </row>
    <row r="47" spans="2:8" x14ac:dyDescent="0.2">
      <c r="B47" s="135" t="s">
        <v>839</v>
      </c>
      <c r="C47" s="124">
        <v>3.25</v>
      </c>
      <c r="D47" s="139">
        <v>151</v>
      </c>
      <c r="E47" s="136" t="e">
        <f>E35</f>
        <v>#DIV/0!</v>
      </c>
      <c r="F47" s="137" t="s">
        <v>806</v>
      </c>
      <c r="G47" s="138" t="e">
        <f>E47*D47/1000000</f>
        <v>#DIV/0!</v>
      </c>
      <c r="H47" s="168"/>
    </row>
    <row r="48" spans="2:8" ht="32" x14ac:dyDescent="0.2">
      <c r="B48" s="395" t="s">
        <v>840</v>
      </c>
      <c r="C48" s="124">
        <v>2.2200000000000002</v>
      </c>
      <c r="D48" s="124">
        <v>109.94</v>
      </c>
      <c r="E48" s="136" t="e">
        <f>(E36+E36/2)/3</f>
        <v>#DIV/0!</v>
      </c>
      <c r="F48" s="137" t="s">
        <v>833</v>
      </c>
      <c r="G48" s="138" t="e">
        <f>E48*D48/1000000</f>
        <v>#DIV/0!</v>
      </c>
      <c r="H48" s="166"/>
    </row>
    <row r="49" spans="2:8" ht="16" x14ac:dyDescent="0.2">
      <c r="B49" s="395" t="s">
        <v>821</v>
      </c>
      <c r="C49" s="124">
        <v>2.84</v>
      </c>
      <c r="D49" s="124">
        <v>151.91</v>
      </c>
      <c r="E49" s="136" t="e">
        <f>E37</f>
        <v>#DIV/0!</v>
      </c>
      <c r="F49" s="137" t="s">
        <v>806</v>
      </c>
      <c r="G49" s="392" t="e">
        <f>E49*D49/1000000</f>
        <v>#DIV/0!</v>
      </c>
      <c r="H49" s="168"/>
    </row>
    <row r="50" spans="2:8" x14ac:dyDescent="0.2">
      <c r="B50" s="208" t="s">
        <v>841</v>
      </c>
      <c r="C50" s="163">
        <v>2.96</v>
      </c>
      <c r="D50" s="163">
        <v>136.11000000000001</v>
      </c>
      <c r="E50" s="136" t="e">
        <f>E38</f>
        <v>#DIV/0!</v>
      </c>
      <c r="F50" s="391" t="s">
        <v>842</v>
      </c>
      <c r="G50" s="392" t="e">
        <f>E50*D50/1000000</f>
        <v>#DIV/0!</v>
      </c>
      <c r="H50" s="168"/>
    </row>
    <row r="51" spans="2:8" ht="16" thickBot="1" x14ac:dyDescent="0.25">
      <c r="B51" s="140" t="s">
        <v>843</v>
      </c>
      <c r="C51" s="393">
        <v>2.65</v>
      </c>
      <c r="D51" s="141">
        <v>60.08</v>
      </c>
      <c r="E51" s="142"/>
      <c r="F51" s="141" t="s">
        <v>837</v>
      </c>
      <c r="G51" s="394" t="e">
        <f>'R1_Hydro_MEFA'!T118</f>
        <v>#DIV/0!</v>
      </c>
      <c r="H51" s="168"/>
    </row>
    <row r="52" spans="2:8" x14ac:dyDescent="0.2">
      <c r="B52" s="145"/>
      <c r="C52" s="146"/>
      <c r="D52" s="146"/>
      <c r="E52" s="146"/>
      <c r="F52" s="146"/>
      <c r="G52" s="147"/>
    </row>
    <row r="53" spans="2:8" ht="16" thickBot="1" x14ac:dyDescent="0.25">
      <c r="B53" s="140" t="s">
        <v>822</v>
      </c>
      <c r="C53" s="393" t="e">
        <f>C46*G46/G53+C47*G47/G53+C48*G48/G53+C49*G49/G53+C50*G50/G53+C51*G51/G53</f>
        <v>#DIV/0!</v>
      </c>
      <c r="D53" s="393" t="e">
        <f>D46*G46/G53+D47*G47/G53+D48*G48/G53+D49*G49/G53+D50*G50/G53+D51*G51/G53</f>
        <v>#DIV/0!</v>
      </c>
      <c r="E53" s="142" t="e">
        <f>SUM(E46:E50)</f>
        <v>#DIV/0!</v>
      </c>
      <c r="F53" s="141"/>
      <c r="G53" s="151" t="e">
        <f>SUM(G46:G51)</f>
        <v>#DIV/0!</v>
      </c>
      <c r="H53" s="168"/>
    </row>
    <row r="54" spans="2:8" x14ac:dyDescent="0.2">
      <c r="B54" s="145"/>
      <c r="C54" s="146"/>
      <c r="D54" s="146"/>
      <c r="E54" s="146"/>
      <c r="F54" s="146"/>
      <c r="G54" s="147"/>
    </row>
    <row r="55" spans="2:8" ht="17" x14ac:dyDescent="0.25">
      <c r="B55" s="135" t="s">
        <v>823</v>
      </c>
      <c r="C55" s="124"/>
      <c r="D55" s="124">
        <v>106.87</v>
      </c>
      <c r="E55" s="124"/>
      <c r="F55" s="124"/>
      <c r="G55" s="149"/>
    </row>
    <row r="56" spans="2:8" ht="17" x14ac:dyDescent="0.25">
      <c r="B56" s="135" t="s">
        <v>844</v>
      </c>
      <c r="C56" s="124"/>
      <c r="D56" s="139">
        <v>78</v>
      </c>
      <c r="E56" s="124"/>
      <c r="F56" s="124"/>
      <c r="G56" s="149"/>
    </row>
    <row r="57" spans="2:8" ht="17" x14ac:dyDescent="0.25">
      <c r="B57" s="208" t="s">
        <v>845</v>
      </c>
      <c r="C57" s="124"/>
      <c r="D57" s="124">
        <v>74.09</v>
      </c>
      <c r="E57" s="124"/>
      <c r="F57" s="124"/>
      <c r="G57" s="149"/>
    </row>
    <row r="58" spans="2:8" ht="16" x14ac:dyDescent="0.2">
      <c r="B58" s="395" t="s">
        <v>78</v>
      </c>
      <c r="C58" s="124">
        <v>1.45</v>
      </c>
      <c r="D58" s="124">
        <v>34.01</v>
      </c>
      <c r="E58" s="124"/>
      <c r="F58" s="124"/>
      <c r="G58" s="149"/>
    </row>
    <row r="59" spans="2:8" ht="32" x14ac:dyDescent="0.2">
      <c r="B59" s="395" t="s">
        <v>846</v>
      </c>
      <c r="C59" s="124">
        <v>2.13</v>
      </c>
      <c r="D59" s="124">
        <v>39.979999999999997</v>
      </c>
      <c r="E59" s="396" t="e">
        <f>(E49+E46)*3+E50*2</f>
        <v>#DIV/0!</v>
      </c>
      <c r="F59" s="391" t="s">
        <v>847</v>
      </c>
      <c r="G59" s="138" t="e">
        <f>E59*D59/1000000</f>
        <v>#DIV/0!</v>
      </c>
    </row>
    <row r="60" spans="2:8" ht="16" x14ac:dyDescent="0.2">
      <c r="B60" s="395" t="s">
        <v>826</v>
      </c>
      <c r="C60" s="124">
        <v>0.8</v>
      </c>
      <c r="D60" s="124"/>
      <c r="E60" s="124"/>
      <c r="F60" s="124"/>
      <c r="G60" s="149"/>
    </row>
    <row r="61" spans="2:8" ht="16" thickBot="1" x14ac:dyDescent="0.25">
      <c r="B61" s="140" t="s">
        <v>45</v>
      </c>
      <c r="C61" s="141">
        <v>0.96</v>
      </c>
      <c r="D61" s="393">
        <v>322.39999999999998</v>
      </c>
      <c r="E61" s="398" t="e">
        <f>(G61*1000000)/D61</f>
        <v>#DIV/0!</v>
      </c>
      <c r="F61" s="141"/>
      <c r="G61" s="144" t="e">
        <f>'R1_Hydro_MEFA'!F160</f>
        <v>#DIV/0!</v>
      </c>
    </row>
    <row r="62" spans="2:8" ht="16" thickBot="1" x14ac:dyDescent="0.25">
      <c r="B62" s="140" t="s">
        <v>848</v>
      </c>
      <c r="C62" s="393">
        <v>1</v>
      </c>
      <c r="D62" s="141">
        <v>18.02</v>
      </c>
      <c r="E62" s="142" t="e">
        <f>E47</f>
        <v>#DIV/0!</v>
      </c>
      <c r="F62" s="143" t="s">
        <v>806</v>
      </c>
      <c r="G62" s="151" t="e">
        <f>D62*E62/1000000</f>
        <v>#DIV/0!</v>
      </c>
    </row>
    <row r="65" spans="1:8" ht="22" thickBot="1" x14ac:dyDescent="0.3">
      <c r="A65" s="189" t="s">
        <v>849</v>
      </c>
    </row>
    <row r="66" spans="1:8" x14ac:dyDescent="0.2">
      <c r="B66" s="130" t="s">
        <v>801</v>
      </c>
      <c r="C66" s="131" t="s">
        <v>802</v>
      </c>
      <c r="D66" s="131" t="s">
        <v>803</v>
      </c>
      <c r="E66" s="131" t="s">
        <v>433</v>
      </c>
      <c r="F66" s="131" t="s">
        <v>804</v>
      </c>
      <c r="G66" s="132" t="s">
        <v>431</v>
      </c>
    </row>
    <row r="67" spans="1:8" x14ac:dyDescent="0.2">
      <c r="B67" s="135" t="s">
        <v>104</v>
      </c>
      <c r="C67" s="139">
        <v>2.7</v>
      </c>
      <c r="D67" s="124">
        <v>26.92</v>
      </c>
      <c r="E67" s="397" t="e">
        <f>'R2_Hydro_MEFA'!C6*1000000/D67</f>
        <v>#DIV/0!</v>
      </c>
      <c r="F67" s="391" t="s">
        <v>832</v>
      </c>
      <c r="G67" s="138" t="e">
        <f t="shared" ref="G67:G73" si="1">E67*D67/1000000</f>
        <v>#DIV/0!</v>
      </c>
      <c r="H67" s="126"/>
    </row>
    <row r="68" spans="1:8" x14ac:dyDescent="0.2">
      <c r="B68" s="135" t="s">
        <v>101</v>
      </c>
      <c r="C68" s="124">
        <v>8.91</v>
      </c>
      <c r="D68" s="124">
        <v>58.69</v>
      </c>
      <c r="E68" s="136" t="e">
        <f>'R2_Hydro_MEFA'!C7*1000000/D68</f>
        <v>#DIV/0!</v>
      </c>
      <c r="F68" s="137" t="s">
        <v>806</v>
      </c>
      <c r="G68" s="138" t="e">
        <f t="shared" si="1"/>
        <v>#DIV/0!</v>
      </c>
    </row>
    <row r="69" spans="1:8" x14ac:dyDescent="0.2">
      <c r="B69" s="135" t="s">
        <v>100</v>
      </c>
      <c r="C69" s="139">
        <v>8.9</v>
      </c>
      <c r="D69" s="124">
        <v>58.93</v>
      </c>
      <c r="E69" s="463" t="e">
        <f>'R2_Hydro_MEFA'!C8*1000000/D69</f>
        <v>#DIV/0!</v>
      </c>
      <c r="F69" s="137" t="s">
        <v>806</v>
      </c>
      <c r="G69" s="138" t="e">
        <f t="shared" si="1"/>
        <v>#DIV/0!</v>
      </c>
    </row>
    <row r="70" spans="1:8" ht="16" x14ac:dyDescent="0.2">
      <c r="B70" s="395" t="s">
        <v>103</v>
      </c>
      <c r="C70" s="124">
        <v>7.47</v>
      </c>
      <c r="D70" s="124">
        <v>54.94</v>
      </c>
      <c r="E70" s="136" t="e">
        <f>'R2_Hydro_MEFA'!C9*1000000/D70</f>
        <v>#DIV/0!</v>
      </c>
      <c r="F70" s="137" t="s">
        <v>806</v>
      </c>
      <c r="G70" s="138" t="e">
        <f t="shared" si="1"/>
        <v>#DIV/0!</v>
      </c>
    </row>
    <row r="71" spans="1:8" x14ac:dyDescent="0.2">
      <c r="B71" s="135" t="s">
        <v>102</v>
      </c>
      <c r="C71" s="124">
        <v>0.53</v>
      </c>
      <c r="D71" s="124">
        <v>6.94</v>
      </c>
      <c r="E71" s="136" t="e">
        <f>'R2_Hydro_MEFA'!C10*1000000/D71</f>
        <v>#DIV/0!</v>
      </c>
      <c r="F71" s="137" t="s">
        <v>833</v>
      </c>
      <c r="G71" s="138" t="e">
        <f t="shared" si="1"/>
        <v>#DIV/0!</v>
      </c>
    </row>
    <row r="72" spans="1:8" x14ac:dyDescent="0.2">
      <c r="B72" s="135" t="s">
        <v>105</v>
      </c>
      <c r="C72" s="124">
        <v>8.9600000000000009</v>
      </c>
      <c r="D72" s="124">
        <v>63.55</v>
      </c>
      <c r="E72" s="136" t="e">
        <f>'R2_Hydro_MEFA'!C11*1000000/D72</f>
        <v>#DIV/0!</v>
      </c>
      <c r="F72" s="137" t="s">
        <v>806</v>
      </c>
      <c r="G72" s="138" t="e">
        <f t="shared" si="1"/>
        <v>#DIV/0!</v>
      </c>
    </row>
    <row r="73" spans="1:8" ht="16" thickBot="1" x14ac:dyDescent="0.25">
      <c r="B73" s="140" t="s">
        <v>49</v>
      </c>
      <c r="C73" s="141">
        <v>7.87</v>
      </c>
      <c r="D73" s="141">
        <v>55.85</v>
      </c>
      <c r="E73" s="142" t="e">
        <f>'R2_Hydro_MEFA'!C13*1000000/D73</f>
        <v>#DIV/0!</v>
      </c>
      <c r="F73" s="143" t="s">
        <v>806</v>
      </c>
      <c r="G73" s="144" t="e">
        <f t="shared" si="1"/>
        <v>#DIV/0!</v>
      </c>
    </row>
    <row r="74" spans="1:8" x14ac:dyDescent="0.2">
      <c r="B74" s="145"/>
      <c r="C74" s="146"/>
      <c r="D74" s="146"/>
      <c r="E74" s="146"/>
      <c r="F74" s="146"/>
      <c r="G74" s="147"/>
    </row>
    <row r="75" spans="1:8" x14ac:dyDescent="0.2">
      <c r="B75" s="135"/>
      <c r="C75" s="124"/>
      <c r="D75" s="124"/>
      <c r="E75" s="124"/>
      <c r="F75" s="124"/>
      <c r="G75" s="149"/>
    </row>
    <row r="76" spans="1:8" x14ac:dyDescent="0.2">
      <c r="B76" s="135" t="s">
        <v>106</v>
      </c>
      <c r="C76" s="124"/>
      <c r="D76" s="124"/>
      <c r="E76" s="136" t="e">
        <f>SUM(E67:E73)</f>
        <v>#DIV/0!</v>
      </c>
      <c r="F76" s="124"/>
      <c r="G76" s="149"/>
    </row>
    <row r="77" spans="1:8" x14ac:dyDescent="0.2">
      <c r="B77" s="150" t="s">
        <v>814</v>
      </c>
      <c r="C77" s="124"/>
      <c r="D77" s="124">
        <v>96.06</v>
      </c>
      <c r="E77" s="136" t="e">
        <f>E67*3/2+E68+E69+E70+E71/2+E72+E73</f>
        <v>#DIV/0!</v>
      </c>
      <c r="F77" s="124"/>
      <c r="G77" s="138" t="e">
        <f>E77*D77/1000000</f>
        <v>#DIV/0!</v>
      </c>
    </row>
    <row r="78" spans="1:8" ht="16" thickBot="1" x14ac:dyDescent="0.25">
      <c r="B78" s="140" t="s">
        <v>816</v>
      </c>
      <c r="C78" s="141">
        <v>1.84</v>
      </c>
      <c r="D78" s="141">
        <v>98.08</v>
      </c>
      <c r="E78" s="141"/>
      <c r="F78" s="141"/>
      <c r="G78" s="151" t="e">
        <f>G77*D78/D77</f>
        <v>#DIV/0!</v>
      </c>
    </row>
    <row r="79" spans="1:8" x14ac:dyDescent="0.2">
      <c r="B79" s="145"/>
      <c r="C79" s="146"/>
      <c r="D79" s="146"/>
      <c r="E79" s="146"/>
      <c r="F79" s="146"/>
      <c r="G79" s="147"/>
    </row>
    <row r="80" spans="1:8" ht="16" x14ac:dyDescent="0.2">
      <c r="B80" s="395" t="s">
        <v>838</v>
      </c>
      <c r="C80" s="124">
        <v>2.67</v>
      </c>
      <c r="D80" s="124">
        <v>342.15</v>
      </c>
      <c r="E80" s="136" t="e">
        <f>(E67+E67*3/2)/5</f>
        <v>#DIV/0!</v>
      </c>
      <c r="F80" s="391" t="s">
        <v>832</v>
      </c>
      <c r="G80" s="138" t="e">
        <f t="shared" ref="G80:G86" si="2">E80*D80/1000000</f>
        <v>#DIV/0!</v>
      </c>
      <c r="H80" s="166"/>
    </row>
    <row r="81" spans="2:8" ht="16" x14ac:dyDescent="0.2">
      <c r="B81" s="395" t="s">
        <v>817</v>
      </c>
      <c r="C81" s="124">
        <v>3.68</v>
      </c>
      <c r="D81" s="124">
        <f>D77+D68</f>
        <v>154.75</v>
      </c>
      <c r="E81" s="136" t="e">
        <f>E68</f>
        <v>#DIV/0!</v>
      </c>
      <c r="F81" s="137" t="s">
        <v>806</v>
      </c>
      <c r="G81" s="138" t="e">
        <f t="shared" si="2"/>
        <v>#DIV/0!</v>
      </c>
      <c r="H81" s="168"/>
    </row>
    <row r="82" spans="2:8" x14ac:dyDescent="0.2">
      <c r="B82" s="135" t="s">
        <v>819</v>
      </c>
      <c r="C82" s="124">
        <v>3.71</v>
      </c>
      <c r="D82" s="124">
        <v>154.99</v>
      </c>
      <c r="E82" s="136" t="e">
        <f>E69</f>
        <v>#DIV/0!</v>
      </c>
      <c r="F82" s="137" t="s">
        <v>806</v>
      </c>
      <c r="G82" s="138" t="e">
        <f t="shared" si="2"/>
        <v>#DIV/0!</v>
      </c>
      <c r="H82" s="168"/>
    </row>
    <row r="83" spans="2:8" x14ac:dyDescent="0.2">
      <c r="B83" s="135" t="s">
        <v>839</v>
      </c>
      <c r="C83" s="124">
        <v>3.25</v>
      </c>
      <c r="D83" s="139">
        <v>151</v>
      </c>
      <c r="E83" s="136" t="e">
        <f>E70</f>
        <v>#DIV/0!</v>
      </c>
      <c r="F83" s="137" t="s">
        <v>806</v>
      </c>
      <c r="G83" s="138" t="e">
        <f t="shared" si="2"/>
        <v>#DIV/0!</v>
      </c>
      <c r="H83" s="168"/>
    </row>
    <row r="84" spans="2:8" ht="16" x14ac:dyDescent="0.2">
      <c r="B84" s="395" t="s">
        <v>850</v>
      </c>
      <c r="C84" s="124">
        <v>2.2200000000000002</v>
      </c>
      <c r="D84" s="124">
        <v>109.94</v>
      </c>
      <c r="E84" s="136" t="e">
        <f>(E71+E71/2)/3</f>
        <v>#DIV/0!</v>
      </c>
      <c r="F84" s="137" t="s">
        <v>833</v>
      </c>
      <c r="G84" s="138" t="e">
        <f t="shared" si="2"/>
        <v>#DIV/0!</v>
      </c>
      <c r="H84" s="166"/>
    </row>
    <row r="85" spans="2:8" ht="16" x14ac:dyDescent="0.2">
      <c r="B85" s="395" t="s">
        <v>820</v>
      </c>
      <c r="C85" s="139">
        <v>3.6</v>
      </c>
      <c r="D85" s="124">
        <v>159.61000000000001</v>
      </c>
      <c r="E85" s="136" t="e">
        <f>E72</f>
        <v>#DIV/0!</v>
      </c>
      <c r="F85" s="137" t="s">
        <v>806</v>
      </c>
      <c r="G85" s="138" t="e">
        <f t="shared" si="2"/>
        <v>#DIV/0!</v>
      </c>
      <c r="H85" s="168"/>
    </row>
    <row r="86" spans="2:8" x14ac:dyDescent="0.2">
      <c r="B86" s="135" t="s">
        <v>821</v>
      </c>
      <c r="C86" s="124">
        <v>2.84</v>
      </c>
      <c r="D86" s="124">
        <v>151.91</v>
      </c>
      <c r="E86" s="136" t="e">
        <f>E73</f>
        <v>#DIV/0!</v>
      </c>
      <c r="F86" s="137" t="s">
        <v>806</v>
      </c>
      <c r="G86" s="392" t="e">
        <f t="shared" si="2"/>
        <v>#DIV/0!</v>
      </c>
      <c r="H86" s="168"/>
    </row>
    <row r="87" spans="2:8" ht="17" thickBot="1" x14ac:dyDescent="0.25">
      <c r="B87" s="775" t="s">
        <v>851</v>
      </c>
      <c r="C87" s="393">
        <v>2</v>
      </c>
      <c r="D87" s="141">
        <v>12</v>
      </c>
      <c r="E87" s="141"/>
      <c r="F87" s="141" t="s">
        <v>837</v>
      </c>
      <c r="G87" s="394" t="e">
        <f>'R2_Hydro_MEFA'!C12</f>
        <v>#DIV/0!</v>
      </c>
      <c r="H87" s="168"/>
    </row>
    <row r="88" spans="2:8" x14ac:dyDescent="0.2">
      <c r="B88" s="145"/>
      <c r="C88" s="146"/>
      <c r="D88" s="146"/>
      <c r="E88" s="146"/>
      <c r="F88" s="146"/>
      <c r="G88" s="147"/>
    </row>
    <row r="89" spans="2:8" ht="17" thickBot="1" x14ac:dyDescent="0.25">
      <c r="B89" s="775" t="s">
        <v>822</v>
      </c>
      <c r="C89" s="393" t="e">
        <f>C80*G80/G89+C81*G81/G89+C82*G82/G89+C83*G83/G89+C84*G84/G89+C85*G85/G89+C86*G86/G89+C87*G87/G89</f>
        <v>#DIV/0!</v>
      </c>
      <c r="D89" s="393" t="e">
        <f>D80*G80/G89+D81*G81/G89+D82*G82/G89+D83*G83/G89+D84*G84/G89+D85*G85/G89+D86*G86/G89+D87*G87/G89</f>
        <v>#DIV/0!</v>
      </c>
      <c r="E89" s="142" t="e">
        <f>SUM(E80:E86)</f>
        <v>#DIV/0!</v>
      </c>
      <c r="F89" s="141"/>
      <c r="G89" s="151" t="e">
        <f>SUM(G80:G87)</f>
        <v>#DIV/0!</v>
      </c>
      <c r="H89" s="168"/>
    </row>
    <row r="90" spans="2:8" x14ac:dyDescent="0.2">
      <c r="B90" s="208"/>
      <c r="C90" s="241"/>
      <c r="D90" s="241"/>
      <c r="E90" s="162"/>
      <c r="F90" s="163"/>
      <c r="G90" s="242"/>
      <c r="H90" s="168"/>
    </row>
    <row r="91" spans="2:8" ht="17" x14ac:dyDescent="0.25">
      <c r="B91" s="135" t="s">
        <v>823</v>
      </c>
      <c r="C91" s="124"/>
      <c r="D91" s="124">
        <v>106.87</v>
      </c>
      <c r="E91" s="124"/>
      <c r="F91" s="124"/>
      <c r="G91" s="149"/>
    </row>
    <row r="92" spans="2:8" ht="17" x14ac:dyDescent="0.25">
      <c r="B92" s="135" t="s">
        <v>844</v>
      </c>
      <c r="C92" s="124"/>
      <c r="D92" s="139">
        <v>78</v>
      </c>
      <c r="E92" s="124"/>
      <c r="F92" s="124"/>
      <c r="G92" s="149"/>
    </row>
    <row r="93" spans="2:8" ht="16" x14ac:dyDescent="0.2">
      <c r="B93" s="395" t="s">
        <v>78</v>
      </c>
      <c r="C93" s="124">
        <v>1.45</v>
      </c>
      <c r="D93" s="124">
        <v>34.01</v>
      </c>
      <c r="E93" s="124"/>
      <c r="F93" s="124"/>
      <c r="G93" s="149"/>
    </row>
    <row r="94" spans="2:8" ht="32" x14ac:dyDescent="0.2">
      <c r="B94" s="395" t="s">
        <v>824</v>
      </c>
      <c r="C94" s="124">
        <v>2.13</v>
      </c>
      <c r="D94" s="124">
        <v>39.979999999999997</v>
      </c>
      <c r="E94" s="396" t="e">
        <f>(E86+E80)*3</f>
        <v>#DIV/0!</v>
      </c>
      <c r="F94" s="391" t="s">
        <v>825</v>
      </c>
      <c r="G94" s="138" t="e">
        <f>E94*D94/1000000</f>
        <v>#DIV/0!</v>
      </c>
    </row>
    <row r="95" spans="2:8" x14ac:dyDescent="0.2">
      <c r="B95" s="135" t="s">
        <v>826</v>
      </c>
      <c r="C95" s="124">
        <v>0.8</v>
      </c>
      <c r="D95" s="124"/>
      <c r="E95" s="124"/>
      <c r="F95" s="124"/>
      <c r="G95" s="149"/>
    </row>
    <row r="96" spans="2:8" x14ac:dyDescent="0.2">
      <c r="B96" s="135" t="s">
        <v>44</v>
      </c>
      <c r="C96" s="124">
        <v>0.91</v>
      </c>
      <c r="D96" s="139">
        <v>322</v>
      </c>
      <c r="E96" s="397" t="e">
        <f>(G96*1000000)/D96</f>
        <v>#DIV/0!</v>
      </c>
      <c r="F96" s="124"/>
      <c r="G96" s="392" t="e">
        <f>'R2_Hydro_MEFA'!F85</f>
        <v>#DIV/0!</v>
      </c>
    </row>
    <row r="97" spans="1:7" x14ac:dyDescent="0.2">
      <c r="B97" s="135" t="s">
        <v>41</v>
      </c>
      <c r="C97" s="124">
        <v>0.92</v>
      </c>
      <c r="D97" s="139">
        <v>290</v>
      </c>
      <c r="E97" s="397" t="e">
        <f>(G97*1000000)/D97</f>
        <v>#DIV/0!</v>
      </c>
      <c r="F97" s="124"/>
      <c r="G97" s="392" t="e">
        <f>'R2_Hydro_MEFA'!F111</f>
        <v>#DIV/0!</v>
      </c>
    </row>
    <row r="98" spans="1:7" ht="16" thickBot="1" x14ac:dyDescent="0.25">
      <c r="B98" s="140" t="s">
        <v>45</v>
      </c>
      <c r="C98" s="141">
        <v>0.96</v>
      </c>
      <c r="D98" s="393">
        <v>322.39999999999998</v>
      </c>
      <c r="E98" s="398" t="e">
        <f>(G98*1000000)/D98</f>
        <v>#DIV/0!</v>
      </c>
      <c r="F98" s="141"/>
      <c r="G98" s="144" t="e">
        <f>'R2_Hydro_MEFA'!F148</f>
        <v>#DIV/0!</v>
      </c>
    </row>
    <row r="99" spans="1:7" x14ac:dyDescent="0.2">
      <c r="B99" s="145"/>
      <c r="C99" s="146"/>
      <c r="D99" s="146"/>
      <c r="E99" s="146"/>
      <c r="F99" s="146"/>
      <c r="G99" s="147"/>
    </row>
    <row r="100" spans="1:7" ht="16" x14ac:dyDescent="0.2">
      <c r="B100" s="395" t="s">
        <v>827</v>
      </c>
      <c r="C100" s="139">
        <v>1</v>
      </c>
      <c r="D100" s="124">
        <v>18.02</v>
      </c>
      <c r="E100" s="136" t="e">
        <f>E81*6</f>
        <v>#DIV/0!</v>
      </c>
      <c r="F100" s="391" t="s">
        <v>828</v>
      </c>
      <c r="G100" s="138" t="e">
        <f>D100*E100/1000000</f>
        <v>#DIV/0!</v>
      </c>
    </row>
    <row r="101" spans="1:7" ht="16" x14ac:dyDescent="0.2">
      <c r="B101" s="395" t="s">
        <v>829</v>
      </c>
      <c r="C101" s="139">
        <v>1</v>
      </c>
      <c r="D101" s="124">
        <v>18.02</v>
      </c>
      <c r="E101" s="136" t="e">
        <f>E82*7</f>
        <v>#DIV/0!</v>
      </c>
      <c r="F101" s="137" t="s">
        <v>830</v>
      </c>
      <c r="G101" s="138" t="e">
        <f>D101*E101/1000000</f>
        <v>#DIV/0!</v>
      </c>
    </row>
    <row r="102" spans="1:7" ht="16" thickBot="1" x14ac:dyDescent="0.25">
      <c r="B102" s="140" t="s">
        <v>848</v>
      </c>
      <c r="C102" s="393">
        <v>1</v>
      </c>
      <c r="D102" s="141">
        <v>18.02</v>
      </c>
      <c r="E102" s="142" t="e">
        <f>E83</f>
        <v>#DIV/0!</v>
      </c>
      <c r="F102" s="143" t="s">
        <v>806</v>
      </c>
      <c r="G102" s="151" t="e">
        <f>D102*E102/1000000</f>
        <v>#DIV/0!</v>
      </c>
    </row>
    <row r="104" spans="1:7" ht="21" x14ac:dyDescent="0.25">
      <c r="A104" s="189" t="s">
        <v>852</v>
      </c>
    </row>
    <row r="105" spans="1:7" ht="16" thickBot="1" x14ac:dyDescent="0.25">
      <c r="A105" s="126" t="s">
        <v>798</v>
      </c>
    </row>
    <row r="106" spans="1:7" x14ac:dyDescent="0.2">
      <c r="B106" s="130" t="s">
        <v>801</v>
      </c>
      <c r="C106" s="131" t="s">
        <v>802</v>
      </c>
      <c r="D106" s="131" t="s">
        <v>803</v>
      </c>
      <c r="E106" s="131" t="s">
        <v>433</v>
      </c>
      <c r="F106" s="131" t="s">
        <v>804</v>
      </c>
      <c r="G106" s="132" t="s">
        <v>431</v>
      </c>
    </row>
    <row r="107" spans="1:7" x14ac:dyDescent="0.2">
      <c r="B107" s="135" t="s">
        <v>101</v>
      </c>
      <c r="C107" s="124">
        <v>8.91</v>
      </c>
      <c r="D107" s="124">
        <v>58.69</v>
      </c>
      <c r="E107" s="136" t="e">
        <f>'R3_Hydro_MEFA'!B7*1000000/D107</f>
        <v>#DIV/0!</v>
      </c>
      <c r="F107" s="137" t="s">
        <v>806</v>
      </c>
      <c r="G107" s="138" t="e">
        <f>E107*D107/1000000</f>
        <v>#DIV/0!</v>
      </c>
    </row>
    <row r="108" spans="1:7" x14ac:dyDescent="0.2">
      <c r="B108" s="135" t="s">
        <v>100</v>
      </c>
      <c r="C108" s="139">
        <v>8.9</v>
      </c>
      <c r="D108" s="124">
        <v>58.93</v>
      </c>
      <c r="E108" s="136" t="e">
        <f>'R3_Hydro_MEFA'!B8*1000000/D108</f>
        <v>#DIV/0!</v>
      </c>
      <c r="F108" s="137" t="s">
        <v>806</v>
      </c>
      <c r="G108" s="138" t="e">
        <f>E108*D108/1000000</f>
        <v>#DIV/0!</v>
      </c>
    </row>
    <row r="109" spans="1:7" x14ac:dyDescent="0.2">
      <c r="B109" s="135" t="s">
        <v>105</v>
      </c>
      <c r="C109" s="124">
        <v>8.9600000000000009</v>
      </c>
      <c r="D109" s="124">
        <v>63.55</v>
      </c>
      <c r="E109" s="136" t="e">
        <f>'R3_Hydro_MEFA'!B9*1000000/D109</f>
        <v>#DIV/0!</v>
      </c>
      <c r="F109" s="137" t="s">
        <v>806</v>
      </c>
      <c r="G109" s="138" t="e">
        <f>E109*D109/1000000</f>
        <v>#DIV/0!</v>
      </c>
    </row>
    <row r="110" spans="1:7" ht="16" thickBot="1" x14ac:dyDescent="0.25">
      <c r="B110" s="140" t="s">
        <v>49</v>
      </c>
      <c r="C110" s="141">
        <v>7.87</v>
      </c>
      <c r="D110" s="141">
        <v>55.85</v>
      </c>
      <c r="E110" s="142" t="e">
        <f>'R3_Hydro_MEFA'!B10*1000000/D110</f>
        <v>#DIV/0!</v>
      </c>
      <c r="F110" s="143" t="s">
        <v>806</v>
      </c>
      <c r="G110" s="144" t="e">
        <f>E110*D110/1000000</f>
        <v>#DIV/0!</v>
      </c>
    </row>
    <row r="111" spans="1:7" x14ac:dyDescent="0.2">
      <c r="B111" s="145"/>
      <c r="C111" s="146"/>
      <c r="D111" s="146"/>
      <c r="E111" s="146"/>
      <c r="F111" s="146"/>
      <c r="G111" s="147"/>
    </row>
    <row r="112" spans="1:7" x14ac:dyDescent="0.2">
      <c r="B112" s="135" t="s">
        <v>106</v>
      </c>
      <c r="C112" s="124"/>
      <c r="D112" s="124"/>
      <c r="E112" s="136" t="e">
        <f>SUM(E107:E110)</f>
        <v>#DIV/0!</v>
      </c>
      <c r="F112" s="124"/>
      <c r="G112" s="149"/>
    </row>
    <row r="113" spans="2:7" x14ac:dyDescent="0.2">
      <c r="B113" s="150" t="s">
        <v>814</v>
      </c>
      <c r="C113" s="124"/>
      <c r="D113" s="124">
        <v>96.06</v>
      </c>
      <c r="E113" s="136" t="e">
        <f>E107+E108+E109+E110</f>
        <v>#DIV/0!</v>
      </c>
      <c r="F113" s="124"/>
      <c r="G113" s="138" t="e">
        <f>E113*D113/1000000</f>
        <v>#DIV/0!</v>
      </c>
    </row>
    <row r="114" spans="2:7" ht="16" thickBot="1" x14ac:dyDescent="0.25">
      <c r="B114" s="140" t="s">
        <v>816</v>
      </c>
      <c r="C114" s="141">
        <v>1.84</v>
      </c>
      <c r="D114" s="141">
        <v>98.08</v>
      </c>
      <c r="E114" s="141"/>
      <c r="F114" s="141"/>
      <c r="G114" s="151" t="e">
        <f>G113*D114/D113</f>
        <v>#DIV/0!</v>
      </c>
    </row>
    <row r="115" spans="2:7" x14ac:dyDescent="0.2">
      <c r="B115" s="145"/>
      <c r="C115" s="146"/>
      <c r="D115" s="146"/>
      <c r="E115" s="146"/>
      <c r="F115" s="146"/>
      <c r="G115" s="147"/>
    </row>
    <row r="116" spans="2:7" x14ac:dyDescent="0.2">
      <c r="B116" s="135" t="s">
        <v>817</v>
      </c>
      <c r="C116" s="124">
        <v>3.68</v>
      </c>
      <c r="D116" s="124">
        <f>D113+D107</f>
        <v>154.75</v>
      </c>
      <c r="E116" s="136" t="e">
        <f>E107</f>
        <v>#DIV/0!</v>
      </c>
      <c r="F116" s="137" t="s">
        <v>806</v>
      </c>
      <c r="G116" s="138" t="e">
        <f>E116*D116/1000000</f>
        <v>#DIV/0!</v>
      </c>
    </row>
    <row r="117" spans="2:7" x14ac:dyDescent="0.2">
      <c r="B117" s="135" t="s">
        <v>819</v>
      </c>
      <c r="C117" s="124">
        <v>3.71</v>
      </c>
      <c r="D117" s="124">
        <v>154.99</v>
      </c>
      <c r="E117" s="136" t="e">
        <f>E108</f>
        <v>#DIV/0!</v>
      </c>
      <c r="F117" s="137" t="s">
        <v>806</v>
      </c>
      <c r="G117" s="138" t="e">
        <f>E117*D117/1000000</f>
        <v>#DIV/0!</v>
      </c>
    </row>
    <row r="118" spans="2:7" x14ac:dyDescent="0.2">
      <c r="B118" s="135" t="s">
        <v>853</v>
      </c>
      <c r="C118" s="139">
        <v>3.6</v>
      </c>
      <c r="D118" s="124">
        <v>159.61000000000001</v>
      </c>
      <c r="E118" s="136" t="e">
        <f>E109</f>
        <v>#DIV/0!</v>
      </c>
      <c r="F118" s="137" t="s">
        <v>806</v>
      </c>
      <c r="G118" s="138" t="e">
        <f>E118*D118/1000000</f>
        <v>#DIV/0!</v>
      </c>
    </row>
    <row r="119" spans="2:7" x14ac:dyDescent="0.2">
      <c r="B119" s="135" t="s">
        <v>821</v>
      </c>
      <c r="C119" s="124">
        <v>2.84</v>
      </c>
      <c r="D119" s="124">
        <v>151.91</v>
      </c>
      <c r="E119" s="136" t="e">
        <f>E110</f>
        <v>#DIV/0!</v>
      </c>
      <c r="F119" s="137" t="s">
        <v>806</v>
      </c>
      <c r="G119" s="392" t="e">
        <f>E119*D119/1000000</f>
        <v>#DIV/0!</v>
      </c>
    </row>
    <row r="120" spans="2:7" ht="16" thickBot="1" x14ac:dyDescent="0.25">
      <c r="B120" s="140"/>
      <c r="C120" s="393"/>
      <c r="D120" s="141"/>
      <c r="E120" s="141"/>
      <c r="F120" s="141"/>
      <c r="G120" s="394"/>
    </row>
    <row r="121" spans="2:7" ht="17" thickBot="1" x14ac:dyDescent="0.25">
      <c r="B121" s="775" t="s">
        <v>822</v>
      </c>
      <c r="C121" s="393" t="e">
        <f>C116*G116/G121+C117*G117/G121+C118*G118/G121+C119*G119/G121</f>
        <v>#DIV/0!</v>
      </c>
      <c r="D121" s="393" t="e">
        <f>+D116*G116/G121+D117*G117/G121+D118*G118/G121+D119*G119/G121</f>
        <v>#DIV/0!</v>
      </c>
      <c r="E121" s="142" t="e">
        <f>SUM(E116:E119)</f>
        <v>#DIV/0!</v>
      </c>
      <c r="F121" s="141"/>
      <c r="G121" s="151" t="e">
        <f>SUM(G116:G119)</f>
        <v>#DIV/0!</v>
      </c>
    </row>
    <row r="122" spans="2:7" x14ac:dyDescent="0.2">
      <c r="B122" s="145"/>
      <c r="C122" s="146"/>
      <c r="D122" s="146"/>
      <c r="E122" s="146"/>
      <c r="F122" s="146"/>
      <c r="G122" s="147"/>
    </row>
    <row r="123" spans="2:7" ht="17" x14ac:dyDescent="0.25">
      <c r="B123" s="135" t="s">
        <v>823</v>
      </c>
      <c r="C123" s="124"/>
      <c r="D123" s="124">
        <v>106.87</v>
      </c>
      <c r="E123" s="124"/>
      <c r="F123" s="124"/>
      <c r="G123" s="149"/>
    </row>
    <row r="124" spans="2:7" x14ac:dyDescent="0.2">
      <c r="B124" s="135"/>
      <c r="C124" s="124"/>
      <c r="D124" s="139"/>
      <c r="E124" s="124"/>
      <c r="F124" s="634" t="e">
        <f>(Stoichiometry!G116/(Stoichiometry!J6/1000)+Stoichiometry!G117/(Stoichiometry!J5/1000)+Stoichiometry!G118/(Stoichiometry!J9/1000)+Stoichiometry!G119/(Stoichiometry!J10/1000))*O124</f>
        <v>#DIV/0!</v>
      </c>
      <c r="G124" s="149"/>
    </row>
    <row r="125" spans="2:7" ht="16" x14ac:dyDescent="0.2">
      <c r="B125" s="395" t="s">
        <v>78</v>
      </c>
      <c r="C125" s="124">
        <v>1.45</v>
      </c>
      <c r="D125" s="124">
        <v>34.01</v>
      </c>
      <c r="E125" s="124"/>
      <c r="F125" s="124"/>
      <c r="G125" s="149"/>
    </row>
    <row r="126" spans="2:7" ht="32" x14ac:dyDescent="0.2">
      <c r="B126" s="395" t="s">
        <v>824</v>
      </c>
      <c r="C126" s="124">
        <v>2.13</v>
      </c>
      <c r="D126" s="124">
        <v>39.979999999999997</v>
      </c>
      <c r="E126" s="396" t="e">
        <f>E119*3</f>
        <v>#DIV/0!</v>
      </c>
      <c r="F126" s="391" t="s">
        <v>825</v>
      </c>
      <c r="G126" s="138" t="e">
        <f>E126*D126/1000000</f>
        <v>#DIV/0!</v>
      </c>
    </row>
    <row r="127" spans="2:7" ht="16" x14ac:dyDescent="0.2">
      <c r="B127" s="395" t="s">
        <v>826</v>
      </c>
      <c r="C127" s="124">
        <v>0.8</v>
      </c>
      <c r="D127" s="124"/>
      <c r="E127" s="124"/>
      <c r="F127" s="124"/>
      <c r="G127" s="149"/>
    </row>
    <row r="128" spans="2:7" x14ac:dyDescent="0.2">
      <c r="B128" s="135" t="s">
        <v>41</v>
      </c>
      <c r="C128" s="124">
        <v>0.92</v>
      </c>
      <c r="D128" s="139">
        <v>290</v>
      </c>
      <c r="E128" s="139" t="e">
        <f>(G128*1000000)/D128</f>
        <v>#DIV/0!</v>
      </c>
      <c r="F128" s="124"/>
      <c r="G128" s="392" t="e">
        <f>'R3_Hydro_MEFA'!F67</f>
        <v>#DIV/0!</v>
      </c>
    </row>
    <row r="129" spans="1:7" ht="16" thickBot="1" x14ac:dyDescent="0.25">
      <c r="B129" s="140"/>
      <c r="C129" s="141"/>
      <c r="D129" s="393"/>
      <c r="E129" s="398"/>
      <c r="F129" s="141"/>
      <c r="G129" s="144"/>
    </row>
    <row r="130" spans="1:7" ht="16" x14ac:dyDescent="0.2">
      <c r="B130" s="395" t="s">
        <v>854</v>
      </c>
      <c r="C130" s="139">
        <v>1</v>
      </c>
      <c r="D130" s="124">
        <v>18.02</v>
      </c>
      <c r="E130" s="136" t="e">
        <f>E116*6</f>
        <v>#DIV/0!</v>
      </c>
      <c r="F130" s="391" t="s">
        <v>828</v>
      </c>
      <c r="G130" s="138" t="e">
        <f>D130*E130/1000000</f>
        <v>#DIV/0!</v>
      </c>
    </row>
    <row r="131" spans="1:7" x14ac:dyDescent="0.2">
      <c r="B131" s="135" t="s">
        <v>855</v>
      </c>
      <c r="C131" s="139">
        <v>1</v>
      </c>
      <c r="D131" s="124">
        <v>18.02</v>
      </c>
      <c r="E131" s="136" t="e">
        <f>E117*7</f>
        <v>#DIV/0!</v>
      </c>
      <c r="F131" s="137" t="s">
        <v>830</v>
      </c>
      <c r="G131" s="138" t="e">
        <f>D131*E131/1000000</f>
        <v>#DIV/0!</v>
      </c>
    </row>
    <row r="132" spans="1:7" ht="16" thickBot="1" x14ac:dyDescent="0.25">
      <c r="B132" s="140"/>
      <c r="C132" s="393"/>
      <c r="D132" s="141"/>
      <c r="E132" s="142"/>
      <c r="F132" s="143"/>
      <c r="G132" s="151"/>
    </row>
    <row r="133" spans="1:7" x14ac:dyDescent="0.2">
      <c r="C133" s="181"/>
      <c r="E133" s="168"/>
      <c r="F133" s="247"/>
      <c r="G133" s="168"/>
    </row>
    <row r="134" spans="1:7" ht="16" thickBot="1" x14ac:dyDescent="0.25">
      <c r="A134" s="126" t="s">
        <v>831</v>
      </c>
    </row>
    <row r="135" spans="1:7" x14ac:dyDescent="0.2">
      <c r="B135" s="130" t="s">
        <v>801</v>
      </c>
      <c r="C135" s="131" t="s">
        <v>802</v>
      </c>
      <c r="D135" s="131" t="s">
        <v>803</v>
      </c>
      <c r="E135" s="131" t="s">
        <v>433</v>
      </c>
      <c r="F135" s="131" t="s">
        <v>804</v>
      </c>
      <c r="G135" s="132" t="s">
        <v>431</v>
      </c>
    </row>
    <row r="136" spans="1:7" x14ac:dyDescent="0.2">
      <c r="B136" s="135" t="s">
        <v>104</v>
      </c>
      <c r="C136" s="139">
        <v>2.7</v>
      </c>
      <c r="D136" s="124">
        <v>26.92</v>
      </c>
      <c r="E136" s="136" t="e">
        <f>'R3_Hydro_MEFA'!T114*1000000/D136</f>
        <v>#DIV/0!</v>
      </c>
      <c r="F136" s="391" t="s">
        <v>832</v>
      </c>
      <c r="G136" s="138" t="e">
        <f t="shared" ref="G136:G137" si="3">E136*D136/1000000</f>
        <v>#DIV/0!</v>
      </c>
    </row>
    <row r="137" spans="1:7" x14ac:dyDescent="0.2">
      <c r="B137" s="135" t="s">
        <v>103</v>
      </c>
      <c r="C137" s="124">
        <v>7.47</v>
      </c>
      <c r="D137" s="124">
        <v>54.94</v>
      </c>
      <c r="E137" s="136" t="e">
        <f>'R3_Hydro_MEFA'!T115*1000000/D137</f>
        <v>#DIV/0!</v>
      </c>
      <c r="F137" s="137" t="s">
        <v>806</v>
      </c>
      <c r="G137" s="138" t="e">
        <f t="shared" si="3"/>
        <v>#DIV/0!</v>
      </c>
    </row>
    <row r="138" spans="1:7" x14ac:dyDescent="0.2">
      <c r="B138" s="135" t="s">
        <v>102</v>
      </c>
      <c r="C138" s="124">
        <v>0.53</v>
      </c>
      <c r="D138" s="124">
        <v>6.94</v>
      </c>
      <c r="E138" s="136" t="e">
        <f>'R3_Hydro_MEFA'!T116*1000000/D138</f>
        <v>#DIV/0!</v>
      </c>
      <c r="F138" s="137" t="s">
        <v>833</v>
      </c>
      <c r="G138" s="138" t="e">
        <f>E138*D138/1000000</f>
        <v>#DIV/0!</v>
      </c>
    </row>
    <row r="139" spans="1:7" x14ac:dyDescent="0.2">
      <c r="B139" s="135" t="s">
        <v>49</v>
      </c>
      <c r="C139" s="124">
        <v>7.87</v>
      </c>
      <c r="D139" s="124">
        <v>55.85</v>
      </c>
      <c r="E139" s="136" t="e">
        <f>'R3_Hydro_MEFA'!T117*1000000/D139</f>
        <v>#DIV/0!</v>
      </c>
      <c r="F139" s="137" t="s">
        <v>806</v>
      </c>
      <c r="G139" s="392" t="e">
        <f>E139*D139/1000000</f>
        <v>#DIV/0!</v>
      </c>
    </row>
    <row r="140" spans="1:7" x14ac:dyDescent="0.2">
      <c r="B140" s="135" t="s">
        <v>834</v>
      </c>
      <c r="C140" s="124">
        <v>1.55</v>
      </c>
      <c r="D140" s="124">
        <v>40.08</v>
      </c>
      <c r="E140" s="136" t="e">
        <f>'R3_Hydro_MEFA'!T119*1000000/D140</f>
        <v>#DIV/0!</v>
      </c>
      <c r="F140" s="391" t="s">
        <v>806</v>
      </c>
      <c r="G140" s="392" t="e">
        <f t="shared" ref="G140:G142" si="4">E140*D140/1000000</f>
        <v>#DIV/0!</v>
      </c>
    </row>
    <row r="141" spans="1:7" x14ac:dyDescent="0.2">
      <c r="B141" s="135" t="s">
        <v>835</v>
      </c>
      <c r="C141" s="124">
        <v>3.34</v>
      </c>
      <c r="D141" s="124">
        <v>56.08</v>
      </c>
      <c r="E141" s="136"/>
      <c r="F141" s="163"/>
      <c r="G141" s="392">
        <f t="shared" si="4"/>
        <v>0</v>
      </c>
    </row>
    <row r="142" spans="1:7" x14ac:dyDescent="0.2">
      <c r="B142" s="135" t="s">
        <v>856</v>
      </c>
      <c r="C142" s="124">
        <v>2.65</v>
      </c>
      <c r="D142" s="124">
        <v>60.08</v>
      </c>
      <c r="E142" s="136" t="e">
        <f>'R3_Hydro_MEFA'!T118*1000000/D142</f>
        <v>#DIV/0!</v>
      </c>
      <c r="F142" s="124" t="s">
        <v>837</v>
      </c>
      <c r="G142" s="392" t="e">
        <f t="shared" si="4"/>
        <v>#DIV/0!</v>
      </c>
    </row>
    <row r="143" spans="1:7" x14ac:dyDescent="0.2">
      <c r="B143" s="145"/>
      <c r="C143" s="146"/>
      <c r="D143" s="146"/>
      <c r="E143" s="146"/>
      <c r="F143" s="146"/>
      <c r="G143" s="147"/>
    </row>
    <row r="144" spans="1:7" x14ac:dyDescent="0.2">
      <c r="B144" s="135" t="s">
        <v>106</v>
      </c>
      <c r="C144" s="124"/>
      <c r="D144" s="124"/>
      <c r="E144" s="136" t="e">
        <f>SUM(E136:E140)</f>
        <v>#DIV/0!</v>
      </c>
      <c r="F144" s="124"/>
      <c r="G144" s="149"/>
    </row>
    <row r="145" spans="2:7" x14ac:dyDescent="0.2">
      <c r="B145" s="150" t="s">
        <v>814</v>
      </c>
      <c r="C145" s="124"/>
      <c r="D145" s="124">
        <v>96.06</v>
      </c>
      <c r="E145" s="136" t="e">
        <f>E136*3/2+E137+E138/2+E139+E140</f>
        <v>#DIV/0!</v>
      </c>
      <c r="F145" s="124"/>
      <c r="G145" s="138" t="e">
        <f>E145*D145/1000000</f>
        <v>#DIV/0!</v>
      </c>
    </row>
    <row r="146" spans="2:7" ht="16" thickBot="1" x14ac:dyDescent="0.25">
      <c r="B146" s="140" t="s">
        <v>816</v>
      </c>
      <c r="C146" s="141">
        <v>1.84</v>
      </c>
      <c r="D146" s="141">
        <v>98.08</v>
      </c>
      <c r="E146" s="141"/>
      <c r="F146" s="141"/>
      <c r="G146" s="151" t="e">
        <f>G145*D146/D145</f>
        <v>#DIV/0!</v>
      </c>
    </row>
    <row r="147" spans="2:7" x14ac:dyDescent="0.2">
      <c r="B147" s="145"/>
      <c r="C147" s="146"/>
      <c r="D147" s="146"/>
      <c r="E147" s="146"/>
      <c r="F147" s="146"/>
      <c r="G147" s="147"/>
    </row>
    <row r="148" spans="2:7" ht="17" x14ac:dyDescent="0.25">
      <c r="B148" s="135" t="s">
        <v>857</v>
      </c>
      <c r="C148" s="124">
        <v>2.67</v>
      </c>
      <c r="D148" s="124">
        <v>342.15</v>
      </c>
      <c r="E148" s="136" t="e">
        <f>(E136+E136*3/2)/5</f>
        <v>#DIV/0!</v>
      </c>
      <c r="F148" s="391" t="s">
        <v>832</v>
      </c>
      <c r="G148" s="138" t="e">
        <f>E148*D148/1000000</f>
        <v>#DIV/0!</v>
      </c>
    </row>
    <row r="149" spans="2:7" x14ac:dyDescent="0.2">
      <c r="B149" s="135" t="s">
        <v>858</v>
      </c>
      <c r="C149" s="124">
        <v>3.25</v>
      </c>
      <c r="D149" s="139">
        <v>151</v>
      </c>
      <c r="E149" s="136" t="e">
        <f>E137</f>
        <v>#DIV/0!</v>
      </c>
      <c r="F149" s="137" t="s">
        <v>806</v>
      </c>
      <c r="G149" s="138" t="e">
        <f>E149*D149/1000000</f>
        <v>#DIV/0!</v>
      </c>
    </row>
    <row r="150" spans="2:7" ht="17" x14ac:dyDescent="0.25">
      <c r="B150" s="135" t="s">
        <v>859</v>
      </c>
      <c r="C150" s="124">
        <v>2.2200000000000002</v>
      </c>
      <c r="D150" s="124">
        <v>109.94</v>
      </c>
      <c r="E150" s="136" t="e">
        <f>(E138+E138/2)/3</f>
        <v>#DIV/0!</v>
      </c>
      <c r="F150" s="137" t="s">
        <v>833</v>
      </c>
      <c r="G150" s="138" t="e">
        <f>E150*D150/1000000</f>
        <v>#DIV/0!</v>
      </c>
    </row>
    <row r="151" spans="2:7" x14ac:dyDescent="0.2">
      <c r="B151" s="135" t="s">
        <v>821</v>
      </c>
      <c r="C151" s="124">
        <v>2.84</v>
      </c>
      <c r="D151" s="124">
        <v>151.91</v>
      </c>
      <c r="E151" s="136" t="e">
        <f>E139</f>
        <v>#DIV/0!</v>
      </c>
      <c r="F151" s="137" t="s">
        <v>806</v>
      </c>
      <c r="G151" s="392" t="e">
        <f>E151*D151/1000000</f>
        <v>#DIV/0!</v>
      </c>
    </row>
    <row r="152" spans="2:7" x14ac:dyDescent="0.2">
      <c r="B152" s="208" t="s">
        <v>841</v>
      </c>
      <c r="C152" s="163">
        <v>2.96</v>
      </c>
      <c r="D152" s="163">
        <v>136.11000000000001</v>
      </c>
      <c r="E152" s="136" t="e">
        <f>E140</f>
        <v>#DIV/0!</v>
      </c>
      <c r="F152" s="391" t="s">
        <v>842</v>
      </c>
      <c r="G152" s="392" t="e">
        <f>E152*D152/1000000</f>
        <v>#DIV/0!</v>
      </c>
    </row>
    <row r="153" spans="2:7" ht="16" thickBot="1" x14ac:dyDescent="0.25">
      <c r="B153" s="140" t="s">
        <v>843</v>
      </c>
      <c r="C153" s="393">
        <v>2.65</v>
      </c>
      <c r="D153" s="141">
        <v>60.08</v>
      </c>
      <c r="E153" s="142"/>
      <c r="F153" s="141" t="s">
        <v>837</v>
      </c>
      <c r="G153" s="394" t="e">
        <f>'R3_Hydro_MEFA'!T118</f>
        <v>#DIV/0!</v>
      </c>
    </row>
    <row r="154" spans="2:7" x14ac:dyDescent="0.2">
      <c r="B154" s="145"/>
      <c r="C154" s="146"/>
      <c r="D154" s="146"/>
      <c r="E154" s="146"/>
      <c r="F154" s="146"/>
      <c r="G154" s="147"/>
    </row>
    <row r="155" spans="2:7" ht="17" thickBot="1" x14ac:dyDescent="0.25">
      <c r="B155" s="775" t="s">
        <v>822</v>
      </c>
      <c r="C155" s="393" t="e">
        <f>C148*G148/G155+C149*G149/G155+C150*G150/G155+C151*G151/G155+C152*G152/G155+C153*G153/G155</f>
        <v>#DIV/0!</v>
      </c>
      <c r="D155" s="393" t="e">
        <f>D148*G148/G155+D149*G149/G155+D150*G150/G155+D151*G151/G155+D152*G152/G155+D153*G153/G155</f>
        <v>#DIV/0!</v>
      </c>
      <c r="E155" s="142" t="e">
        <f>SUM(E148:E152)</f>
        <v>#DIV/0!</v>
      </c>
      <c r="F155" s="141"/>
      <c r="G155" s="151" t="e">
        <f>SUM(G148:G153)</f>
        <v>#DIV/0!</v>
      </c>
    </row>
    <row r="156" spans="2:7" x14ac:dyDescent="0.2">
      <c r="B156" s="145"/>
      <c r="C156" s="146"/>
      <c r="D156" s="146"/>
      <c r="E156" s="146"/>
      <c r="F156" s="146"/>
      <c r="G156" s="147"/>
    </row>
    <row r="157" spans="2:7" ht="17" x14ac:dyDescent="0.25">
      <c r="B157" s="135" t="s">
        <v>823</v>
      </c>
      <c r="C157" s="124"/>
      <c r="D157" s="124">
        <v>106.87</v>
      </c>
      <c r="E157" s="124"/>
      <c r="F157" s="124"/>
      <c r="G157" s="149"/>
    </row>
    <row r="158" spans="2:7" ht="17" x14ac:dyDescent="0.25">
      <c r="B158" s="135" t="s">
        <v>844</v>
      </c>
      <c r="C158" s="124"/>
      <c r="D158" s="139">
        <v>78</v>
      </c>
      <c r="E158" s="124"/>
      <c r="F158" s="124"/>
      <c r="G158" s="149"/>
    </row>
    <row r="159" spans="2:7" ht="17" x14ac:dyDescent="0.25">
      <c r="B159" s="208" t="s">
        <v>845</v>
      </c>
      <c r="C159" s="124"/>
      <c r="D159" s="124">
        <v>74.09</v>
      </c>
      <c r="E159" s="124"/>
      <c r="F159" s="124"/>
      <c r="G159" s="149"/>
    </row>
    <row r="160" spans="2:7" ht="16" x14ac:dyDescent="0.2">
      <c r="B160" s="395" t="s">
        <v>78</v>
      </c>
      <c r="C160" s="124">
        <v>1.45</v>
      </c>
      <c r="D160" s="124">
        <v>34.01</v>
      </c>
      <c r="E160" s="124"/>
      <c r="F160" s="124"/>
      <c r="G160" s="149"/>
    </row>
    <row r="161" spans="2:7" ht="32" x14ac:dyDescent="0.2">
      <c r="B161" s="395" t="s">
        <v>846</v>
      </c>
      <c r="C161" s="124">
        <v>2.13</v>
      </c>
      <c r="D161" s="124">
        <v>39.979999999999997</v>
      </c>
      <c r="E161" s="396" t="e">
        <f>(E151+E148)*3+E152*2</f>
        <v>#DIV/0!</v>
      </c>
      <c r="F161" s="391" t="s">
        <v>847</v>
      </c>
      <c r="G161" s="138" t="e">
        <f>E161*D161/1000000</f>
        <v>#DIV/0!</v>
      </c>
    </row>
    <row r="162" spans="2:7" x14ac:dyDescent="0.2">
      <c r="B162" s="135" t="s">
        <v>826</v>
      </c>
      <c r="C162" s="124">
        <v>0.8</v>
      </c>
      <c r="D162" s="124"/>
      <c r="E162" s="124"/>
      <c r="F162" s="124"/>
      <c r="G162" s="149"/>
    </row>
    <row r="163" spans="2:7" ht="16" thickBot="1" x14ac:dyDescent="0.25">
      <c r="B163" s="140" t="s">
        <v>45</v>
      </c>
      <c r="C163" s="141">
        <v>0.96</v>
      </c>
      <c r="D163" s="393">
        <v>322.39999999999998</v>
      </c>
      <c r="E163" s="398" t="e">
        <f>(G163*1000000)/D163</f>
        <v>#DIV/0!</v>
      </c>
      <c r="F163" s="141"/>
      <c r="G163" s="144" t="e">
        <f>'R3_Hydro_MEFA'!F160</f>
        <v>#DIV/0!</v>
      </c>
    </row>
    <row r="164" spans="2:7" ht="16" thickBot="1" x14ac:dyDescent="0.25">
      <c r="B164" s="140" t="s">
        <v>848</v>
      </c>
      <c r="C164" s="393">
        <v>1</v>
      </c>
      <c r="D164" s="141">
        <v>18.02</v>
      </c>
      <c r="E164" s="142" t="e">
        <f>E149</f>
        <v>#DIV/0!</v>
      </c>
      <c r="F164" s="143" t="s">
        <v>806</v>
      </c>
      <c r="G164" s="151" t="e">
        <f>D164*E164/1000000</f>
        <v>#DIV/0!</v>
      </c>
    </row>
  </sheetData>
  <pageMargins left="0.7" right="0.7" top="0.78740157499999996" bottom="0.78740157499999996"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Tabelle20">
    <tabColor theme="0" tint="-0.499984740745262"/>
  </sheetPr>
  <dimension ref="A1:M44"/>
  <sheetViews>
    <sheetView workbookViewId="0">
      <selection activeCell="E39" sqref="E39"/>
    </sheetView>
  </sheetViews>
  <sheetFormatPr baseColWidth="10" defaultColWidth="11.5" defaultRowHeight="15" x14ac:dyDescent="0.2"/>
  <cols>
    <col min="1" max="1" width="8.5" customWidth="1"/>
    <col min="2" max="2" width="40.33203125" customWidth="1"/>
    <col min="3" max="3" width="31.5" customWidth="1"/>
    <col min="4" max="4" width="46.83203125" style="122" customWidth="1"/>
    <col min="5" max="5" width="28" customWidth="1"/>
    <col min="6" max="6" width="70.6640625" customWidth="1"/>
    <col min="8" max="8" width="17.6640625" customWidth="1"/>
  </cols>
  <sheetData>
    <row r="1" spans="1:9" ht="21" x14ac:dyDescent="0.25">
      <c r="A1" s="189" t="s">
        <v>860</v>
      </c>
    </row>
    <row r="2" spans="1:9" ht="14.5" customHeight="1" x14ac:dyDescent="0.2">
      <c r="A2" t="s">
        <v>861</v>
      </c>
      <c r="E2" s="588"/>
      <c r="F2" s="588"/>
      <c r="G2" s="122"/>
    </row>
    <row r="3" spans="1:9" x14ac:dyDescent="0.2">
      <c r="E3" s="588"/>
      <c r="F3" s="588"/>
      <c r="G3" s="122"/>
    </row>
    <row r="5" spans="1:9" ht="32" x14ac:dyDescent="0.2">
      <c r="B5" s="125" t="s">
        <v>862</v>
      </c>
      <c r="C5" s="125" t="s">
        <v>863</v>
      </c>
      <c r="D5" s="152" t="s">
        <v>865</v>
      </c>
      <c r="E5" s="152" t="s">
        <v>867</v>
      </c>
      <c r="F5" s="152" t="s">
        <v>868</v>
      </c>
    </row>
    <row r="6" spans="1:9" ht="16" x14ac:dyDescent="0.2">
      <c r="B6" s="124" t="s">
        <v>869</v>
      </c>
      <c r="C6" s="700" t="s">
        <v>217</v>
      </c>
      <c r="D6" s="774" t="s">
        <v>870</v>
      </c>
      <c r="E6" s="945" t="s">
        <v>1095</v>
      </c>
      <c r="F6" s="124"/>
    </row>
    <row r="7" spans="1:9" ht="14.5" customHeight="1" x14ac:dyDescent="0.2">
      <c r="B7" s="700" t="s">
        <v>74</v>
      </c>
      <c r="C7" s="700" t="s">
        <v>871</v>
      </c>
      <c r="D7" s="774" t="s">
        <v>872</v>
      </c>
      <c r="E7" s="945" t="s">
        <v>1095</v>
      </c>
      <c r="F7" s="124"/>
    </row>
    <row r="8" spans="1:9" ht="32" x14ac:dyDescent="0.2">
      <c r="B8" s="700" t="s">
        <v>70</v>
      </c>
      <c r="C8" s="700" t="s">
        <v>873</v>
      </c>
      <c r="D8" s="774" t="s">
        <v>874</v>
      </c>
      <c r="E8" s="945" t="s">
        <v>1095</v>
      </c>
      <c r="F8" s="124"/>
    </row>
    <row r="9" spans="1:9" ht="32" x14ac:dyDescent="0.2">
      <c r="B9" s="700" t="s">
        <v>78</v>
      </c>
      <c r="C9" s="124" t="s">
        <v>220</v>
      </c>
      <c r="D9" s="774" t="s">
        <v>875</v>
      </c>
      <c r="E9" s="945" t="s">
        <v>1095</v>
      </c>
      <c r="F9" s="124"/>
      <c r="H9" s="122"/>
      <c r="I9" s="122"/>
    </row>
    <row r="10" spans="1:9" ht="16" x14ac:dyDescent="0.2">
      <c r="B10" s="773" t="s">
        <v>63</v>
      </c>
      <c r="C10" s="712" t="s">
        <v>876</v>
      </c>
      <c r="D10" s="920" t="s">
        <v>877</v>
      </c>
      <c r="E10" s="945" t="s">
        <v>1095</v>
      </c>
      <c r="F10" s="124" t="s">
        <v>381</v>
      </c>
      <c r="H10" s="122"/>
      <c r="I10" s="122"/>
    </row>
    <row r="11" spans="1:9" ht="16" x14ac:dyDescent="0.2">
      <c r="B11" s="124" t="s">
        <v>878</v>
      </c>
      <c r="C11" s="700" t="s">
        <v>199</v>
      </c>
      <c r="D11" s="751" t="s">
        <v>879</v>
      </c>
      <c r="E11" s="945" t="s">
        <v>1095</v>
      </c>
      <c r="F11" s="124" t="s">
        <v>96</v>
      </c>
      <c r="H11" s="122"/>
      <c r="I11" s="122"/>
    </row>
    <row r="12" spans="1:9" ht="16" x14ac:dyDescent="0.2">
      <c r="B12" s="124" t="s">
        <v>880</v>
      </c>
      <c r="C12" s="124" t="s">
        <v>876</v>
      </c>
      <c r="D12" s="774" t="s">
        <v>881</v>
      </c>
      <c r="E12" s="945" t="s">
        <v>1095</v>
      </c>
      <c r="F12" s="124"/>
    </row>
    <row r="13" spans="1:9" ht="16" x14ac:dyDescent="0.2">
      <c r="B13" s="124" t="s">
        <v>882</v>
      </c>
      <c r="C13" s="124" t="s">
        <v>883</v>
      </c>
      <c r="D13" s="774" t="s">
        <v>884</v>
      </c>
      <c r="E13" s="945" t="s">
        <v>1095</v>
      </c>
      <c r="F13" s="124" t="s">
        <v>885</v>
      </c>
    </row>
    <row r="14" spans="1:9" ht="16" x14ac:dyDescent="0.2">
      <c r="B14" s="124" t="s">
        <v>105</v>
      </c>
      <c r="C14" s="700" t="s">
        <v>886</v>
      </c>
      <c r="D14" s="774" t="s">
        <v>887</v>
      </c>
      <c r="E14" s="945" t="s">
        <v>1095</v>
      </c>
      <c r="F14" s="124"/>
    </row>
    <row r="15" spans="1:9" ht="16" x14ac:dyDescent="0.2">
      <c r="B15" s="124" t="s">
        <v>59</v>
      </c>
      <c r="C15" s="700" t="s">
        <v>888</v>
      </c>
      <c r="D15" s="774" t="s">
        <v>889</v>
      </c>
      <c r="E15" s="945" t="s">
        <v>1095</v>
      </c>
      <c r="F15" s="124"/>
    </row>
    <row r="16" spans="1:9" ht="16" x14ac:dyDescent="0.2">
      <c r="B16" s="700" t="s">
        <v>810</v>
      </c>
      <c r="C16" s="124" t="s">
        <v>890</v>
      </c>
      <c r="D16" s="774" t="s">
        <v>891</v>
      </c>
      <c r="E16" s="945" t="s">
        <v>1095</v>
      </c>
      <c r="F16" s="124"/>
    </row>
    <row r="17" spans="2:13" ht="16" x14ac:dyDescent="0.2">
      <c r="B17" s="700" t="s">
        <v>809</v>
      </c>
      <c r="C17" s="700" t="s">
        <v>892</v>
      </c>
      <c r="D17" s="774" t="s">
        <v>893</v>
      </c>
      <c r="E17" s="945" t="s">
        <v>1095</v>
      </c>
      <c r="F17" s="124"/>
    </row>
    <row r="18" spans="2:13" ht="16" x14ac:dyDescent="0.2">
      <c r="B18" s="712" t="s">
        <v>894</v>
      </c>
      <c r="C18" s="773" t="s">
        <v>895</v>
      </c>
      <c r="D18" s="920" t="s">
        <v>896</v>
      </c>
      <c r="E18" s="945" t="s">
        <v>1095</v>
      </c>
      <c r="F18" s="124" t="s">
        <v>897</v>
      </c>
    </row>
    <row r="19" spans="2:13" ht="16" x14ac:dyDescent="0.2">
      <c r="B19" s="700" t="s">
        <v>807</v>
      </c>
      <c r="C19" s="700" t="s">
        <v>898</v>
      </c>
      <c r="D19" s="774" t="s">
        <v>899</v>
      </c>
      <c r="E19" s="945" t="s">
        <v>1095</v>
      </c>
      <c r="F19" s="124"/>
      <c r="H19" s="715"/>
    </row>
    <row r="20" spans="2:13" ht="16" x14ac:dyDescent="0.2">
      <c r="B20" s="700" t="s">
        <v>900</v>
      </c>
      <c r="C20" s="124" t="s">
        <v>901</v>
      </c>
      <c r="D20" s="774" t="s">
        <v>902</v>
      </c>
      <c r="E20" s="945" t="s">
        <v>1095</v>
      </c>
      <c r="F20" s="124"/>
      <c r="H20" s="715"/>
    </row>
    <row r="21" spans="2:13" ht="32" x14ac:dyDescent="0.2">
      <c r="B21" s="124" t="s">
        <v>903</v>
      </c>
      <c r="C21" s="124" t="s">
        <v>904</v>
      </c>
      <c r="D21" s="774" t="s">
        <v>905</v>
      </c>
      <c r="E21" s="945" t="s">
        <v>1095</v>
      </c>
      <c r="F21" s="700" t="s">
        <v>906</v>
      </c>
    </row>
    <row r="22" spans="2:13" ht="32" x14ac:dyDescent="0.2">
      <c r="B22" s="712" t="s">
        <v>907</v>
      </c>
      <c r="C22" s="712" t="s">
        <v>908</v>
      </c>
      <c r="D22" s="921" t="s">
        <v>909</v>
      </c>
      <c r="E22" s="945" t="s">
        <v>1095</v>
      </c>
      <c r="F22" s="712" t="s">
        <v>910</v>
      </c>
    </row>
    <row r="23" spans="2:13" ht="16" x14ac:dyDescent="0.2">
      <c r="B23" s="700" t="s">
        <v>911</v>
      </c>
      <c r="C23" s="700" t="s">
        <v>912</v>
      </c>
      <c r="D23" s="774" t="s">
        <v>913</v>
      </c>
      <c r="E23" s="945" t="s">
        <v>1095</v>
      </c>
      <c r="F23" s="124"/>
      <c r="M23" s="247"/>
    </row>
    <row r="24" spans="2:13" ht="16" x14ac:dyDescent="0.2">
      <c r="B24" s="124" t="s">
        <v>49</v>
      </c>
      <c r="C24" s="700" t="s">
        <v>914</v>
      </c>
      <c r="D24" s="751" t="s">
        <v>915</v>
      </c>
      <c r="E24" s="945" t="s">
        <v>1095</v>
      </c>
      <c r="F24" s="124" t="s">
        <v>916</v>
      </c>
    </row>
    <row r="25" spans="2:13" ht="32" x14ac:dyDescent="0.2">
      <c r="B25" s="124" t="s">
        <v>917</v>
      </c>
      <c r="C25" s="700" t="s">
        <v>918</v>
      </c>
      <c r="D25" s="774" t="s">
        <v>919</v>
      </c>
      <c r="E25" s="945" t="s">
        <v>1095</v>
      </c>
      <c r="F25" s="124"/>
    </row>
    <row r="26" spans="2:13" ht="32" x14ac:dyDescent="0.2">
      <c r="B26" s="124" t="s">
        <v>920</v>
      </c>
      <c r="C26" s="700" t="s">
        <v>921</v>
      </c>
      <c r="D26" s="751" t="s">
        <v>922</v>
      </c>
      <c r="E26" s="945" t="s">
        <v>1095</v>
      </c>
      <c r="F26" s="124"/>
    </row>
    <row r="27" spans="2:13" ht="16" x14ac:dyDescent="0.2">
      <c r="B27" s="712" t="s">
        <v>923</v>
      </c>
      <c r="C27" s="773" t="s">
        <v>920</v>
      </c>
      <c r="D27" s="920" t="s">
        <v>924</v>
      </c>
      <c r="E27" s="945" t="s">
        <v>1095</v>
      </c>
      <c r="F27" s="700" t="s">
        <v>925</v>
      </c>
    </row>
    <row r="28" spans="2:13" ht="16" x14ac:dyDescent="0.2">
      <c r="B28" s="700" t="s">
        <v>926</v>
      </c>
      <c r="C28" s="700" t="s">
        <v>927</v>
      </c>
      <c r="D28" s="751" t="s">
        <v>928</v>
      </c>
      <c r="E28" s="945" t="s">
        <v>1095</v>
      </c>
      <c r="F28" s="700" t="s">
        <v>929</v>
      </c>
    </row>
    <row r="29" spans="2:13" ht="16" x14ac:dyDescent="0.2">
      <c r="B29" s="124" t="s">
        <v>930</v>
      </c>
      <c r="C29" s="124" t="s">
        <v>927</v>
      </c>
      <c r="D29" s="774" t="s">
        <v>931</v>
      </c>
      <c r="E29" s="945" t="s">
        <v>1095</v>
      </c>
      <c r="F29" s="700" t="s">
        <v>929</v>
      </c>
    </row>
    <row r="30" spans="2:13" ht="32" x14ac:dyDescent="0.2">
      <c r="B30" s="124" t="s">
        <v>932</v>
      </c>
      <c r="C30" s="700" t="s">
        <v>933</v>
      </c>
      <c r="D30" s="774" t="s">
        <v>934</v>
      </c>
      <c r="E30" s="945" t="s">
        <v>1095</v>
      </c>
      <c r="F30" s="124"/>
    </row>
    <row r="31" spans="2:13" ht="32" x14ac:dyDescent="0.2">
      <c r="B31" s="700" t="s">
        <v>935</v>
      </c>
      <c r="C31" s="124" t="s">
        <v>936</v>
      </c>
      <c r="D31" s="922" t="s">
        <v>937</v>
      </c>
      <c r="E31" s="945" t="s">
        <v>1095</v>
      </c>
      <c r="F31" s="700" t="s">
        <v>938</v>
      </c>
    </row>
    <row r="32" spans="2:13" ht="16" x14ac:dyDescent="0.2">
      <c r="B32" s="124" t="s">
        <v>286</v>
      </c>
      <c r="C32" s="124" t="s">
        <v>939</v>
      </c>
      <c r="D32" s="774" t="s">
        <v>940</v>
      </c>
      <c r="E32" s="945" t="s">
        <v>1095</v>
      </c>
      <c r="F32" s="124"/>
    </row>
    <row r="33" spans="2:6" ht="16" x14ac:dyDescent="0.2">
      <c r="B33" s="700" t="s">
        <v>941</v>
      </c>
      <c r="C33" s="124" t="s">
        <v>942</v>
      </c>
      <c r="D33" s="774" t="s">
        <v>943</v>
      </c>
      <c r="E33" s="945" t="s">
        <v>1095</v>
      </c>
      <c r="F33" s="124"/>
    </row>
    <row r="34" spans="2:6" ht="16" x14ac:dyDescent="0.2">
      <c r="B34" s="124" t="s">
        <v>944</v>
      </c>
      <c r="C34" s="124" t="s">
        <v>945</v>
      </c>
      <c r="D34" s="774" t="s">
        <v>946</v>
      </c>
      <c r="E34" s="945" t="s">
        <v>1095</v>
      </c>
      <c r="F34" s="700" t="s">
        <v>947</v>
      </c>
    </row>
    <row r="35" spans="2:6" ht="32" x14ac:dyDescent="0.2">
      <c r="B35" s="700" t="s">
        <v>139</v>
      </c>
      <c r="C35" s="124" t="s">
        <v>948</v>
      </c>
      <c r="D35" s="774" t="s">
        <v>949</v>
      </c>
      <c r="E35" s="945" t="s">
        <v>1095</v>
      </c>
      <c r="F35" s="124"/>
    </row>
    <row r="36" spans="2:6" ht="16" x14ac:dyDescent="0.2">
      <c r="B36" s="124" t="s">
        <v>54</v>
      </c>
      <c r="C36" s="124" t="s">
        <v>950</v>
      </c>
      <c r="D36" s="774" t="s">
        <v>951</v>
      </c>
      <c r="E36" s="945" t="s">
        <v>1095</v>
      </c>
      <c r="F36" s="124"/>
    </row>
    <row r="37" spans="2:6" ht="16" x14ac:dyDescent="0.2">
      <c r="B37" s="700" t="s">
        <v>952</v>
      </c>
      <c r="C37" s="124" t="s">
        <v>953</v>
      </c>
      <c r="D37" s="774" t="s">
        <v>954</v>
      </c>
      <c r="E37" s="945" t="s">
        <v>1095</v>
      </c>
      <c r="F37" s="124"/>
    </row>
    <row r="38" spans="2:6" ht="16" x14ac:dyDescent="0.2">
      <c r="B38" s="164" t="s">
        <v>955</v>
      </c>
      <c r="C38" s="163" t="s">
        <v>956</v>
      </c>
      <c r="D38" s="401" t="s">
        <v>957</v>
      </c>
      <c r="E38" s="945" t="s">
        <v>1095</v>
      </c>
      <c r="F38" s="124"/>
    </row>
    <row r="39" spans="2:6" ht="32" x14ac:dyDescent="0.2">
      <c r="B39" s="124" t="s">
        <v>958</v>
      </c>
      <c r="C39" s="124" t="s">
        <v>959</v>
      </c>
      <c r="D39" s="774" t="s">
        <v>960</v>
      </c>
      <c r="E39" s="451" t="str">
        <f>C44</f>
        <v>366</v>
      </c>
      <c r="F39" s="124" t="s">
        <v>961</v>
      </c>
    </row>
    <row r="42" spans="2:6" ht="16" x14ac:dyDescent="0.2">
      <c r="B42" s="2" t="s">
        <v>962</v>
      </c>
      <c r="D42" s="122" t="s">
        <v>963</v>
      </c>
    </row>
    <row r="43" spans="2:6" ht="32" x14ac:dyDescent="0.2">
      <c r="B43" s="445" t="s">
        <v>964</v>
      </c>
      <c r="C43" s="451">
        <v>366</v>
      </c>
      <c r="D43" s="774" t="s">
        <v>960</v>
      </c>
    </row>
    <row r="44" spans="2:6" x14ac:dyDescent="0.2">
      <c r="B44" s="446" t="s">
        <v>965</v>
      </c>
      <c r="C44" s="458" t="str">
        <f>Macro!H12</f>
        <v>366</v>
      </c>
      <c r="D44" s="171"/>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1">
    <tabColor rgb="FF003F57"/>
  </sheetPr>
  <dimension ref="A1:T116"/>
  <sheetViews>
    <sheetView zoomScaleNormal="100" workbookViewId="0">
      <selection activeCell="D50" sqref="D50"/>
    </sheetView>
  </sheetViews>
  <sheetFormatPr baseColWidth="10" defaultColWidth="9.1640625" defaultRowHeight="14" x14ac:dyDescent="0.15"/>
  <cols>
    <col min="1" max="1" width="3.1640625" style="4" customWidth="1"/>
    <col min="2" max="13" width="21.6640625" style="4" customWidth="1"/>
    <col min="14" max="14" width="29.1640625" style="4" customWidth="1"/>
    <col min="15" max="15" width="6.5" style="4" customWidth="1"/>
    <col min="16" max="16" width="28.6640625" style="4" customWidth="1"/>
    <col min="17" max="17" width="22.6640625" style="4" customWidth="1"/>
    <col min="18" max="18" width="7" style="4" customWidth="1"/>
    <col min="19" max="19" width="58.5" style="4" bestFit="1" customWidth="1"/>
    <col min="20" max="20" width="13.6640625" style="4" customWidth="1"/>
    <col min="21" max="16384" width="9.1640625" style="4"/>
  </cols>
  <sheetData>
    <row r="1" spans="1:20" ht="45" customHeight="1" x14ac:dyDescent="0.15">
      <c r="A1" s="3"/>
      <c r="B1" s="3"/>
      <c r="C1" s="961" t="s">
        <v>12</v>
      </c>
      <c r="D1" s="961"/>
      <c r="E1" s="961"/>
      <c r="F1" s="961"/>
      <c r="G1" s="961"/>
      <c r="H1" s="961"/>
      <c r="I1" s="961"/>
      <c r="J1" s="3"/>
      <c r="K1" s="3"/>
      <c r="L1" s="3"/>
      <c r="M1" s="3"/>
      <c r="N1" s="3"/>
    </row>
    <row r="2" spans="1:20" x14ac:dyDescent="0.15">
      <c r="A2" s="5"/>
      <c r="B2" s="5"/>
      <c r="C2" s="5"/>
      <c r="D2" s="5"/>
      <c r="E2" s="5"/>
      <c r="F2" s="5"/>
      <c r="G2" s="5"/>
      <c r="H2" s="5"/>
      <c r="I2" s="5"/>
      <c r="J2" s="5"/>
      <c r="K2" s="5"/>
      <c r="L2" s="5"/>
      <c r="M2" s="5"/>
      <c r="N2" s="5"/>
    </row>
    <row r="4" spans="1:20" ht="18" x14ac:dyDescent="0.2">
      <c r="B4" s="6" t="s">
        <v>13</v>
      </c>
    </row>
    <row r="6" spans="1:20" ht="14.25" customHeight="1" x14ac:dyDescent="0.15">
      <c r="B6" s="958" t="s">
        <v>14</v>
      </c>
      <c r="C6" s="960"/>
      <c r="D6" s="960"/>
      <c r="E6" s="959"/>
      <c r="F6" s="958" t="s">
        <v>15</v>
      </c>
      <c r="G6" s="960"/>
      <c r="H6" s="960"/>
      <c r="I6" s="959"/>
      <c r="J6" s="958" t="s">
        <v>16</v>
      </c>
      <c r="K6" s="960"/>
      <c r="L6" s="960"/>
      <c r="M6" s="960"/>
      <c r="N6" s="959"/>
      <c r="P6" s="958" t="s">
        <v>17</v>
      </c>
      <c r="Q6" s="959"/>
      <c r="S6" s="962" t="s">
        <v>18</v>
      </c>
      <c r="T6" s="959"/>
    </row>
    <row r="7" spans="1:20" ht="14.25" customHeight="1" x14ac:dyDescent="0.15">
      <c r="B7" s="7"/>
      <c r="D7" s="902"/>
      <c r="E7" s="8"/>
      <c r="F7" s="7"/>
      <c r="H7" s="902"/>
      <c r="I7" s="8"/>
      <c r="J7" s="7"/>
      <c r="N7" s="8"/>
      <c r="P7" s="788" t="s">
        <v>19</v>
      </c>
      <c r="Q7" s="729"/>
      <c r="S7" s="725" t="str">
        <f>'R1_Econ.'!B12&amp;": "&amp;'R1_Econ.'!C12</f>
        <v>Storage: System container</v>
      </c>
      <c r="T7" s="729">
        <v>5</v>
      </c>
    </row>
    <row r="8" spans="1:20" ht="14.25" customHeight="1" x14ac:dyDescent="0.15">
      <c r="B8" s="7" t="s">
        <v>20</v>
      </c>
      <c r="D8" s="900">
        <v>2</v>
      </c>
      <c r="E8" s="12" t="s">
        <v>21</v>
      </c>
      <c r="F8" s="7" t="s">
        <v>22</v>
      </c>
      <c r="H8" s="907">
        <v>2</v>
      </c>
      <c r="I8" s="8"/>
      <c r="J8" s="7" t="s">
        <v>23</v>
      </c>
      <c r="N8" s="8"/>
      <c r="P8" s="724" t="s">
        <v>24</v>
      </c>
      <c r="Q8" s="730"/>
      <c r="S8" s="724" t="str">
        <f>'R1_Econ.'!B13&amp;": "&amp;'R1_Econ.'!C13</f>
        <v>Storage (defective): Hazardous material container (F-90)</v>
      </c>
      <c r="T8" s="730">
        <v>5</v>
      </c>
    </row>
    <row r="9" spans="1:20" ht="14.25" customHeight="1" x14ac:dyDescent="0.15">
      <c r="B9" s="7"/>
      <c r="D9" s="902"/>
      <c r="E9" s="8"/>
      <c r="F9" s="7"/>
      <c r="H9" s="902"/>
      <c r="I9" s="8"/>
      <c r="J9" s="7"/>
      <c r="N9" s="8"/>
      <c r="P9" s="724" t="s">
        <v>25</v>
      </c>
      <c r="Q9" s="730"/>
      <c r="S9" s="724" t="str">
        <f>'R1_Econ.'!B14&amp;": "&amp;'R1_Econ.'!C14</f>
        <v>Discharge: Unloading place &amp; device</v>
      </c>
      <c r="T9" s="730">
        <v>5</v>
      </c>
    </row>
    <row r="10" spans="1:20" ht="14.25" customHeight="1" x14ac:dyDescent="0.15">
      <c r="B10" s="7" t="s">
        <v>26</v>
      </c>
      <c r="D10" s="900" t="b">
        <v>1</v>
      </c>
      <c r="E10" s="19" t="s">
        <v>27</v>
      </c>
      <c r="F10" s="7" t="s">
        <v>28</v>
      </c>
      <c r="H10" s="904" t="s">
        <v>29</v>
      </c>
      <c r="I10" s="20" t="s">
        <v>30</v>
      </c>
      <c r="J10" s="7" t="s">
        <v>31</v>
      </c>
      <c r="N10" s="8"/>
      <c r="P10" s="724" t="s">
        <v>32</v>
      </c>
      <c r="Q10" s="730"/>
      <c r="S10" s="724" t="str">
        <f>'R1_Econ.'!B15&amp;": "&amp;'R1_Econ.'!C15</f>
        <v>Disassembly: Disassembly area including tools</v>
      </c>
      <c r="T10" s="730">
        <v>5</v>
      </c>
    </row>
    <row r="11" spans="1:20" ht="14.25" customHeight="1" x14ac:dyDescent="0.15">
      <c r="B11" s="7"/>
      <c r="C11" s="12"/>
      <c r="D11" s="903"/>
      <c r="E11" s="13"/>
      <c r="F11" s="7"/>
      <c r="H11" s="903"/>
      <c r="I11" s="13"/>
      <c r="J11" s="7"/>
      <c r="N11" s="8"/>
      <c r="P11" s="724" t="s">
        <v>33</v>
      </c>
      <c r="Q11" s="730"/>
      <c r="S11" s="724" t="str">
        <f>'R1_Econ.'!B16&amp;": "&amp;'R1_Econ.'!C16</f>
        <v>Melting down: Shaft furnace</v>
      </c>
      <c r="T11" s="730">
        <v>5</v>
      </c>
    </row>
    <row r="12" spans="1:20" ht="14.25" customHeight="1" x14ac:dyDescent="0.2">
      <c r="B12" s="7" t="s">
        <v>34</v>
      </c>
      <c r="D12" s="900" t="b">
        <v>1</v>
      </c>
      <c r="E12" s="19" t="s">
        <v>35</v>
      </c>
      <c r="F12" s="7" t="s">
        <v>36</v>
      </c>
      <c r="H12" s="907" t="s">
        <v>37</v>
      </c>
      <c r="I12" s="13" t="s">
        <v>38</v>
      </c>
      <c r="J12" s="7" t="s">
        <v>39</v>
      </c>
      <c r="N12" s="8"/>
      <c r="P12" s="724" t="s">
        <v>40</v>
      </c>
      <c r="Q12" s="730"/>
      <c r="S12" s="724" t="str">
        <f>'R1_Econ.'!B17&amp;": "&amp;'R1_Econ.'!C17</f>
        <v>Exhaust gas cleaning: Plasma torch, pocket filter, gas scrubbing</v>
      </c>
      <c r="T12" s="730">
        <v>5</v>
      </c>
    </row>
    <row r="13" spans="1:20" ht="14.25" customHeight="1" x14ac:dyDescent="0.15">
      <c r="B13" s="7"/>
      <c r="D13" s="902"/>
      <c r="E13" s="8"/>
      <c r="F13" s="7"/>
      <c r="H13" s="902"/>
      <c r="I13" s="13"/>
      <c r="J13" s="7"/>
      <c r="N13" s="8"/>
      <c r="P13" s="724" t="s">
        <v>41</v>
      </c>
      <c r="Q13" s="730"/>
      <c r="S13" s="724" t="str">
        <f>'R1_Econ.'!B18&amp;": "&amp;'R1_Econ.'!C18</f>
        <v>Mill 1: Granulator (alloy)</v>
      </c>
      <c r="T13" s="730">
        <v>5</v>
      </c>
    </row>
    <row r="14" spans="1:20" ht="14.25" customHeight="1" x14ac:dyDescent="0.15">
      <c r="B14" s="7" t="s">
        <v>42</v>
      </c>
      <c r="D14" s="900" t="b">
        <v>0</v>
      </c>
      <c r="E14" s="19" t="s">
        <v>35</v>
      </c>
      <c r="F14" s="7" t="s">
        <v>43</v>
      </c>
      <c r="H14" s="908">
        <v>1</v>
      </c>
      <c r="I14" s="13"/>
      <c r="J14" s="7"/>
      <c r="N14" s="8"/>
      <c r="P14" s="724" t="s">
        <v>44</v>
      </c>
      <c r="Q14" s="730"/>
      <c r="S14" s="724" t="str">
        <f>'R1_Econ.'!B19&amp;": "&amp;'R1_Econ.'!C19</f>
        <v>Mill 2: Granulator (slag)</v>
      </c>
      <c r="T14" s="730">
        <v>5</v>
      </c>
    </row>
    <row r="15" spans="1:20" ht="14.25" customHeight="1" x14ac:dyDescent="0.15">
      <c r="B15" s="7"/>
      <c r="D15" s="902"/>
      <c r="E15" s="19"/>
      <c r="F15" s="7"/>
      <c r="H15" s="901"/>
      <c r="I15" s="13"/>
      <c r="J15" s="7"/>
      <c r="N15" s="8"/>
      <c r="P15" s="724" t="s">
        <v>45</v>
      </c>
      <c r="Q15" s="730"/>
      <c r="S15" s="724" t="str">
        <f>'R1_Econ.'!B20&amp;": "&amp;'R1_Econ.'!C20</f>
        <v>Exposure: Rotary kiln</v>
      </c>
      <c r="T15" s="730">
        <v>5</v>
      </c>
    </row>
    <row r="16" spans="1:20" ht="14.25" customHeight="1" x14ac:dyDescent="0.15">
      <c r="B16" s="7" t="s">
        <v>46</v>
      </c>
      <c r="D16" s="904" t="s">
        <v>47</v>
      </c>
      <c r="E16" s="12" t="s">
        <v>48</v>
      </c>
      <c r="F16" s="7"/>
      <c r="I16" s="13"/>
      <c r="J16" s="7"/>
      <c r="N16" s="8"/>
      <c r="P16" s="724" t="s">
        <v>49</v>
      </c>
      <c r="Q16" s="730"/>
      <c r="S16" s="724" t="str">
        <f>'R1_Econ.'!B21&amp;": "&amp;'R1_Econ.'!C21</f>
        <v>Leaching: Reactor</v>
      </c>
      <c r="T16" s="730">
        <v>5</v>
      </c>
    </row>
    <row r="17" spans="1:20" ht="14.25" customHeight="1" x14ac:dyDescent="0.15">
      <c r="B17" s="7"/>
      <c r="D17" s="902"/>
      <c r="E17" s="12"/>
      <c r="F17" s="7"/>
      <c r="I17" s="13"/>
      <c r="J17" s="7"/>
      <c r="N17" s="8"/>
      <c r="P17" s="724" t="s">
        <v>50</v>
      </c>
      <c r="Q17" s="730"/>
      <c r="S17" s="724" t="str">
        <f>'R1_Econ.'!B22&amp;": "&amp;'R1_Econ.'!C22</f>
        <v>Cementation Cu: Reactor</v>
      </c>
      <c r="T17" s="730">
        <v>5</v>
      </c>
    </row>
    <row r="18" spans="1:20" ht="14.25" customHeight="1" x14ac:dyDescent="0.15">
      <c r="B18" s="7" t="s">
        <v>51</v>
      </c>
      <c r="D18" s="905">
        <v>2</v>
      </c>
      <c r="E18" s="12"/>
      <c r="F18" s="7"/>
      <c r="I18" s="13"/>
      <c r="J18" s="7"/>
      <c r="N18" s="8"/>
      <c r="P18" s="724" t="s">
        <v>52</v>
      </c>
      <c r="Q18" s="730" t="s">
        <v>53</v>
      </c>
      <c r="S18" s="724" t="str">
        <f>'R1_Econ.'!B23&amp;": "&amp;'R1_Econ.'!C23</f>
        <v>Filtration Cu: Band filter &lt;50um</v>
      </c>
      <c r="T18" s="730">
        <v>5</v>
      </c>
    </row>
    <row r="19" spans="1:20" ht="14.25" customHeight="1" x14ac:dyDescent="0.15">
      <c r="B19" s="7"/>
      <c r="D19" s="902"/>
      <c r="E19" s="12"/>
      <c r="F19" s="7"/>
      <c r="I19" s="13"/>
      <c r="J19" s="7"/>
      <c r="N19" s="8"/>
      <c r="P19" s="724" t="s">
        <v>54</v>
      </c>
      <c r="Q19" s="730"/>
      <c r="S19" s="724" t="str">
        <f>'R1_Econ.'!B24&amp;": "&amp;'R1_Econ.'!C24</f>
        <v>Oxidation Fe: Reactor</v>
      </c>
      <c r="T19" s="730">
        <v>5</v>
      </c>
    </row>
    <row r="20" spans="1:20" ht="14.25" customHeight="1" x14ac:dyDescent="0.15">
      <c r="B20" s="7" t="s">
        <v>55</v>
      </c>
      <c r="D20" s="905">
        <v>3</v>
      </c>
      <c r="E20" s="12"/>
      <c r="F20" s="7"/>
      <c r="I20" s="13"/>
      <c r="J20" s="7"/>
      <c r="N20" s="8"/>
      <c r="P20" s="724" t="s">
        <v>56</v>
      </c>
      <c r="Q20" s="730"/>
      <c r="S20" s="724" t="str">
        <f>'R1_Econ.'!B25&amp;": "&amp;'R1_Econ.'!C25</f>
        <v>Precipitation Fe: Reaktor</v>
      </c>
      <c r="T20" s="730">
        <v>5</v>
      </c>
    </row>
    <row r="21" spans="1:20" ht="14.25" customHeight="1" x14ac:dyDescent="0.15">
      <c r="B21" s="7"/>
      <c r="D21" s="902"/>
      <c r="E21" s="12"/>
      <c r="F21" s="7"/>
      <c r="I21" s="13"/>
      <c r="J21" s="7"/>
      <c r="N21" s="8"/>
      <c r="P21" s="724" t="s">
        <v>57</v>
      </c>
      <c r="Q21" s="730"/>
      <c r="S21" s="724" t="str">
        <f>'R1_Econ.'!B26&amp;": "&amp;'R1_Econ.'!C26</f>
        <v>Filtration Fe: Band filter &lt;15um</v>
      </c>
      <c r="T21" s="730">
        <v>5</v>
      </c>
    </row>
    <row r="22" spans="1:20" ht="14.25" customHeight="1" x14ac:dyDescent="0.15">
      <c r="B22" s="9" t="s">
        <v>58</v>
      </c>
      <c r="C22" s="5"/>
      <c r="D22" s="906" t="b">
        <v>0</v>
      </c>
      <c r="E22" s="683" t="str">
        <f>IF(D22=FALSE,"external treatment","")</f>
        <v>external treatment</v>
      </c>
      <c r="F22" s="9"/>
      <c r="G22" s="5"/>
      <c r="H22" s="5"/>
      <c r="I22" s="10"/>
      <c r="J22" s="9"/>
      <c r="K22" s="5"/>
      <c r="L22" s="5"/>
      <c r="M22" s="5"/>
      <c r="N22" s="10"/>
      <c r="P22" s="724" t="s">
        <v>59</v>
      </c>
      <c r="Q22" s="730"/>
      <c r="S22" s="724" t="str">
        <f>'R1_Econ.'!B27&amp;": "&amp;'R1_Econ.'!C27</f>
        <v xml:space="preserve">Extraction Co: Reactor </v>
      </c>
      <c r="T22" s="730">
        <v>5</v>
      </c>
    </row>
    <row r="23" spans="1:20" ht="14.25" customHeight="1" x14ac:dyDescent="0.15">
      <c r="A23" s="5"/>
      <c r="B23" s="5"/>
      <c r="C23" s="5"/>
      <c r="D23" s="5"/>
      <c r="E23" s="5"/>
      <c r="F23" s="5"/>
      <c r="G23" s="5"/>
      <c r="H23" s="5"/>
      <c r="I23" s="5"/>
      <c r="J23" s="5"/>
      <c r="K23" s="5"/>
      <c r="L23" s="5"/>
      <c r="M23" s="5"/>
      <c r="N23" s="5"/>
      <c r="P23" s="724" t="s">
        <v>60</v>
      </c>
      <c r="Q23" s="730"/>
      <c r="S23" s="724" t="str">
        <f>'R1_Econ.'!B28&amp;": "&amp;'R1_Econ.'!C28</f>
        <v xml:space="preserve">Scrubbing co: Reactor </v>
      </c>
      <c r="T23" s="730">
        <v>5</v>
      </c>
    </row>
    <row r="24" spans="1:20" ht="14.25" customHeight="1" x14ac:dyDescent="0.15">
      <c r="P24" s="724" t="s">
        <v>61</v>
      </c>
      <c r="Q24" s="730"/>
      <c r="S24" s="724" t="str">
        <f>'R1_Econ.'!B29&amp;": "&amp;'R1_Econ.'!C29</f>
        <v xml:space="preserve">Stripping Co: Reactor </v>
      </c>
      <c r="T24" s="730">
        <v>5</v>
      </c>
    </row>
    <row r="25" spans="1:20" ht="14.25" customHeight="1" x14ac:dyDescent="0.2">
      <c r="B25" s="6" t="s">
        <v>62</v>
      </c>
      <c r="P25" s="724" t="s">
        <v>63</v>
      </c>
      <c r="Q25" s="730"/>
      <c r="S25" s="724" t="str">
        <f>'R1_Econ.'!B30&amp;": "&amp;'R1_Econ.'!C30</f>
        <v>Crystallization Ni: Evaporation crystallizer</v>
      </c>
      <c r="T25" s="730">
        <v>5</v>
      </c>
    </row>
    <row r="26" spans="1:20" ht="14.25" customHeight="1" x14ac:dyDescent="0.15">
      <c r="P26" s="724" t="s">
        <v>64</v>
      </c>
      <c r="Q26" s="730"/>
      <c r="S26" s="724" t="str">
        <f>'R1_Econ.'!B31&amp;": "&amp;'R1_Econ.'!C31</f>
        <v>Crystallization Co: Evaporation crystallizer</v>
      </c>
      <c r="T26" s="730">
        <v>5</v>
      </c>
    </row>
    <row r="27" spans="1:20" ht="14.25" customHeight="1" x14ac:dyDescent="0.15">
      <c r="B27" s="958" t="s">
        <v>65</v>
      </c>
      <c r="C27" s="960"/>
      <c r="D27" s="960"/>
      <c r="E27" s="960"/>
      <c r="F27" s="960"/>
      <c r="G27" s="960"/>
      <c r="H27" s="960"/>
      <c r="I27" s="960"/>
      <c r="J27" s="960"/>
      <c r="K27" s="960"/>
      <c r="L27" s="960"/>
      <c r="M27" s="960"/>
      <c r="N27" s="959"/>
      <c r="P27" s="724" t="s">
        <v>66</v>
      </c>
      <c r="Q27" s="730"/>
      <c r="S27" s="724" t="str">
        <f>'R1_Econ.'!B32&amp;": "&amp;'R1_Econ.'!C32</f>
        <v xml:space="preserve">
Digestion (140 ° C): Rotary kiln</v>
      </c>
      <c r="T27" s="730">
        <v>5</v>
      </c>
    </row>
    <row r="28" spans="1:20" ht="14.25" customHeight="1" x14ac:dyDescent="0.15">
      <c r="B28" s="17"/>
      <c r="C28" s="11"/>
      <c r="D28" s="11"/>
      <c r="E28" s="11"/>
      <c r="F28" s="11"/>
      <c r="G28" s="11"/>
      <c r="H28" s="11"/>
      <c r="I28" s="11"/>
      <c r="J28" s="11"/>
      <c r="K28" s="11"/>
      <c r="L28" s="11"/>
      <c r="M28" s="11"/>
      <c r="N28" s="18"/>
      <c r="P28" s="724" t="s">
        <v>67</v>
      </c>
      <c r="Q28" s="730"/>
      <c r="S28" s="724" t="str">
        <f>'R1_Econ.'!B33&amp;": "&amp;'R1_Econ.'!C33</f>
        <v xml:space="preserve">Leaching: Reactor </v>
      </c>
      <c r="T28" s="730">
        <v>5</v>
      </c>
    </row>
    <row r="29" spans="1:20" ht="14.25" customHeight="1" x14ac:dyDescent="0.15">
      <c r="B29" s="17"/>
      <c r="C29" s="11"/>
      <c r="D29" s="11"/>
      <c r="E29" s="11"/>
      <c r="F29" s="11"/>
      <c r="G29" s="11"/>
      <c r="H29" s="11"/>
      <c r="I29" s="11"/>
      <c r="J29" s="11"/>
      <c r="K29" s="11"/>
      <c r="L29" s="11"/>
      <c r="M29" s="11"/>
      <c r="N29" s="18"/>
      <c r="P29" s="724" t="s">
        <v>68</v>
      </c>
      <c r="Q29" s="730"/>
      <c r="S29" s="724" t="str">
        <f>'R1_Econ.'!B34&amp;": "&amp;'R1_Econ.'!C34</f>
        <v>Filtration SiO2, CaSO4: Chamber filter press</v>
      </c>
      <c r="T29" s="730">
        <v>5</v>
      </c>
    </row>
    <row r="30" spans="1:20" ht="14.25" customHeight="1" x14ac:dyDescent="0.15">
      <c r="B30" s="17"/>
      <c r="C30" s="11"/>
      <c r="D30" s="11"/>
      <c r="E30" s="11"/>
      <c r="F30" s="11"/>
      <c r="G30" s="11"/>
      <c r="H30" s="11"/>
      <c r="I30" s="11"/>
      <c r="J30" s="11"/>
      <c r="K30" s="11"/>
      <c r="L30" s="11"/>
      <c r="M30" s="11"/>
      <c r="N30" s="18"/>
      <c r="P30" s="724" t="s">
        <v>69</v>
      </c>
      <c r="Q30" s="730"/>
      <c r="S30" s="724" t="str">
        <f>'R1_Econ.'!B35&amp;": "&amp;'R1_Econ.'!C35</f>
        <v>Oxidation Fe: Reactor</v>
      </c>
      <c r="T30" s="730">
        <v>5</v>
      </c>
    </row>
    <row r="31" spans="1:20" ht="14.25" customHeight="1" x14ac:dyDescent="0.15">
      <c r="B31" s="17"/>
      <c r="C31" s="11"/>
      <c r="D31" s="11"/>
      <c r="E31" s="11"/>
      <c r="F31" s="11"/>
      <c r="G31" s="11"/>
      <c r="H31" s="11"/>
      <c r="I31" s="11"/>
      <c r="J31" s="11"/>
      <c r="K31" s="11"/>
      <c r="L31" s="11"/>
      <c r="M31" s="11"/>
      <c r="N31" s="18"/>
      <c r="P31" s="724" t="s">
        <v>69</v>
      </c>
      <c r="Q31" s="730"/>
      <c r="S31" s="724" t="str">
        <f>'R1_Econ.'!B36&amp;": "&amp;'R1_Econ.'!C36</f>
        <v xml:space="preserve">Precipitation Fe, Al: Reactor </v>
      </c>
      <c r="T31" s="730">
        <v>5</v>
      </c>
    </row>
    <row r="32" spans="1:20" ht="14.25" customHeight="1" x14ac:dyDescent="0.15">
      <c r="B32" s="17"/>
      <c r="C32" s="11"/>
      <c r="D32" s="11"/>
      <c r="E32" s="11"/>
      <c r="F32" s="11"/>
      <c r="G32" s="11"/>
      <c r="H32" s="11"/>
      <c r="I32" s="11"/>
      <c r="J32" s="11"/>
      <c r="K32" s="11"/>
      <c r="L32" s="11"/>
      <c r="M32" s="11"/>
      <c r="N32" s="18"/>
      <c r="P32" s="724" t="s">
        <v>70</v>
      </c>
      <c r="Q32" s="730"/>
      <c r="S32" s="724" t="str">
        <f>'R1_Econ.'!B37&amp;": "&amp;'R1_Econ.'!C37</f>
        <v>Filtration Fe, Al: Band filter</v>
      </c>
      <c r="T32" s="730">
        <v>5</v>
      </c>
    </row>
    <row r="33" spans="2:20" ht="14.25" customHeight="1" x14ac:dyDescent="0.15">
      <c r="B33" s="17"/>
      <c r="C33" s="11"/>
      <c r="D33" s="11"/>
      <c r="E33" s="11"/>
      <c r="F33" s="11"/>
      <c r="G33" s="11"/>
      <c r="H33" s="11"/>
      <c r="I33" s="11"/>
      <c r="J33" s="11"/>
      <c r="K33" s="11"/>
      <c r="L33" s="11"/>
      <c r="M33" s="11"/>
      <c r="N33" s="18"/>
      <c r="P33" s="724" t="s">
        <v>71</v>
      </c>
      <c r="Q33" s="730"/>
      <c r="S33" s="724" t="str">
        <f>'R1_Econ.'!B38&amp;": "&amp;'R1_Econ.'!C38</f>
        <v>Extraction Mn: Reactor</v>
      </c>
      <c r="T33" s="730">
        <v>5</v>
      </c>
    </row>
    <row r="34" spans="2:20" ht="14.25" customHeight="1" x14ac:dyDescent="0.15">
      <c r="B34" s="17"/>
      <c r="C34" s="11"/>
      <c r="D34" s="11"/>
      <c r="E34" s="11"/>
      <c r="F34" s="11"/>
      <c r="G34" s="11"/>
      <c r="H34" s="11"/>
      <c r="I34" s="11"/>
      <c r="J34" s="11"/>
      <c r="K34" s="11"/>
      <c r="L34" s="11"/>
      <c r="M34" s="11"/>
      <c r="N34" s="18"/>
      <c r="P34" s="724" t="s">
        <v>72</v>
      </c>
      <c r="Q34" s="730"/>
      <c r="S34" s="724" t="str">
        <f>'R1_Econ.'!B39&amp;": "&amp;'R1_Econ.'!C39</f>
        <v xml:space="preserve">Scrubbing Mn: Reactor </v>
      </c>
      <c r="T34" s="730">
        <v>5</v>
      </c>
    </row>
    <row r="35" spans="2:20" ht="14.25" customHeight="1" x14ac:dyDescent="0.15">
      <c r="B35" s="17"/>
      <c r="C35" s="11"/>
      <c r="D35" s="11"/>
      <c r="E35" s="11"/>
      <c r="F35" s="11"/>
      <c r="G35" s="11"/>
      <c r="H35" s="11"/>
      <c r="I35" s="11"/>
      <c r="J35" s="11"/>
      <c r="K35" s="11"/>
      <c r="L35" s="11"/>
      <c r="M35" s="11"/>
      <c r="N35" s="18"/>
      <c r="P35" s="724" t="s">
        <v>73</v>
      </c>
      <c r="Q35" s="730"/>
      <c r="S35" s="724" t="str">
        <f>'R1_Econ.'!B40&amp;": "&amp;'R1_Econ.'!C40</f>
        <v>Stripping Mn: Reactor</v>
      </c>
      <c r="T35" s="730">
        <v>5</v>
      </c>
    </row>
    <row r="36" spans="2:20" ht="14.25" customHeight="1" x14ac:dyDescent="0.15">
      <c r="B36" s="17"/>
      <c r="C36" s="11"/>
      <c r="D36" s="11"/>
      <c r="E36" s="11"/>
      <c r="F36" s="11"/>
      <c r="G36" s="11"/>
      <c r="H36" s="11"/>
      <c r="I36" s="11"/>
      <c r="J36" s="11"/>
      <c r="K36" s="11"/>
      <c r="L36" s="11"/>
      <c r="M36" s="11"/>
      <c r="N36" s="18"/>
      <c r="P36" s="726" t="s">
        <v>74</v>
      </c>
      <c r="Q36" s="730"/>
      <c r="S36" s="726" t="str">
        <f>'R1_Econ.'!B41&amp;": "&amp;'R1_Econ.'!C41</f>
        <v>Crystallization Mn: Evaporation crystallizer</v>
      </c>
      <c r="T36" s="730">
        <v>5</v>
      </c>
    </row>
    <row r="37" spans="2:20" ht="14.25" customHeight="1" x14ac:dyDescent="0.15">
      <c r="B37" s="17"/>
      <c r="C37" s="11"/>
      <c r="D37" s="11"/>
      <c r="E37" s="11"/>
      <c r="F37" s="11"/>
      <c r="G37" s="11"/>
      <c r="H37" s="11"/>
      <c r="I37" s="11"/>
      <c r="J37" s="11"/>
      <c r="K37" s="11"/>
      <c r="L37" s="11"/>
      <c r="M37" s="11"/>
      <c r="N37" s="18"/>
      <c r="P37" s="726" t="s">
        <v>75</v>
      </c>
      <c r="Q37" s="731"/>
      <c r="S37" s="726" t="str">
        <f>'R1_Econ.'!B42&amp;": "&amp;'R1_Econ.'!C42</f>
        <v>Concentration Li: Evaporator</v>
      </c>
      <c r="T37" s="731">
        <v>5</v>
      </c>
    </row>
    <row r="38" spans="2:20" ht="14.25" customHeight="1" x14ac:dyDescent="0.15">
      <c r="B38" s="17"/>
      <c r="C38" s="11"/>
      <c r="D38" s="11"/>
      <c r="E38" s="11"/>
      <c r="F38" s="11"/>
      <c r="G38" s="11"/>
      <c r="H38" s="11"/>
      <c r="I38" s="11"/>
      <c r="J38" s="11"/>
      <c r="K38" s="11"/>
      <c r="L38" s="11"/>
      <c r="M38" s="11"/>
      <c r="N38" s="18"/>
      <c r="P38" s="726" t="s">
        <v>76</v>
      </c>
      <c r="Q38" s="731"/>
      <c r="S38" s="726" t="str">
        <f>'R1_Econ.'!B43&amp;": "&amp;'R1_Econ.'!C43</f>
        <v xml:space="preserve">Precipitation Li (90 ° C): Reactor </v>
      </c>
      <c r="T38" s="731">
        <v>5</v>
      </c>
    </row>
    <row r="39" spans="2:20" ht="14.25" customHeight="1" x14ac:dyDescent="0.15">
      <c r="B39" s="17"/>
      <c r="C39" s="11"/>
      <c r="D39" s="11"/>
      <c r="E39" s="11"/>
      <c r="F39" s="11"/>
      <c r="G39" s="11"/>
      <c r="H39" s="11"/>
      <c r="I39" s="11"/>
      <c r="J39" s="11"/>
      <c r="K39" s="11"/>
      <c r="L39" s="11"/>
      <c r="M39" s="11"/>
      <c r="N39" s="18"/>
      <c r="P39" s="726" t="s">
        <v>77</v>
      </c>
      <c r="Q39" s="731"/>
      <c r="S39" s="726" t="str">
        <f>'R1_Econ.'!B44&amp;": "&amp;'R1_Econ.'!C44</f>
        <v>Filtration Li: Band filter</v>
      </c>
      <c r="T39" s="731">
        <v>5</v>
      </c>
    </row>
    <row r="40" spans="2:20" ht="14.25" customHeight="1" x14ac:dyDescent="0.15">
      <c r="B40" s="17"/>
      <c r="C40" s="11"/>
      <c r="D40" s="11"/>
      <c r="E40" s="11"/>
      <c r="F40" s="11"/>
      <c r="G40" s="11"/>
      <c r="H40" s="11"/>
      <c r="I40" s="11"/>
      <c r="J40" s="11"/>
      <c r="K40" s="11"/>
      <c r="L40" s="11"/>
      <c r="M40" s="11"/>
      <c r="N40" s="18"/>
      <c r="P40" s="727" t="s">
        <v>78</v>
      </c>
      <c r="Q40" s="732"/>
      <c r="S40" s="726" t="str">
        <f>'R1_Econ.'!B45&amp;": "&amp;'R1_Econ.'!C45</f>
        <v>Wastewater: Evaporator</v>
      </c>
      <c r="T40" s="731">
        <v>5</v>
      </c>
    </row>
    <row r="41" spans="2:20" ht="14.25" customHeight="1" x14ac:dyDescent="0.15">
      <c r="B41" s="17"/>
      <c r="C41" s="11"/>
      <c r="D41" s="11"/>
      <c r="E41" s="11"/>
      <c r="F41" s="11"/>
      <c r="G41" s="11"/>
      <c r="H41" s="11"/>
      <c r="I41" s="11"/>
      <c r="J41" s="11"/>
      <c r="K41" s="11"/>
      <c r="L41" s="11"/>
      <c r="M41" s="11"/>
      <c r="N41" s="18"/>
      <c r="Q41" s="733"/>
      <c r="S41" s="956" t="s">
        <v>79</v>
      </c>
      <c r="T41" s="957"/>
    </row>
    <row r="42" spans="2:20" ht="14.25" customHeight="1" x14ac:dyDescent="0.15">
      <c r="B42" s="17"/>
      <c r="C42" s="11"/>
      <c r="D42" s="11"/>
      <c r="E42" s="11"/>
      <c r="F42" s="11"/>
      <c r="G42" s="11"/>
      <c r="H42" s="11"/>
      <c r="I42" s="11"/>
      <c r="J42" s="11"/>
      <c r="K42" s="11"/>
      <c r="L42" s="11"/>
      <c r="M42" s="11"/>
      <c r="N42" s="18"/>
      <c r="S42" s="728" t="str">
        <f>'R2_Econ.'!B12&amp;": "&amp;'R2_Econ.'!C12</f>
        <v>Storage: System container</v>
      </c>
      <c r="T42" s="729">
        <v>5</v>
      </c>
    </row>
    <row r="43" spans="2:20" ht="14.25" customHeight="1" x14ac:dyDescent="0.15">
      <c r="B43" s="17"/>
      <c r="C43" s="11"/>
      <c r="D43" s="11"/>
      <c r="E43" s="11"/>
      <c r="F43" s="11"/>
      <c r="G43" s="11"/>
      <c r="H43" s="11"/>
      <c r="I43" s="11"/>
      <c r="J43" s="11"/>
      <c r="K43" s="11"/>
      <c r="L43" s="11"/>
      <c r="M43" s="11"/>
      <c r="N43" s="18"/>
      <c r="S43" s="726" t="str">
        <f>'R2_Econ.'!B13&amp;": "&amp;'R2_Econ.'!C13</f>
        <v>Storage (defective): Hazardous material container (F-90)</v>
      </c>
      <c r="T43" s="730">
        <v>5</v>
      </c>
    </row>
    <row r="44" spans="2:20" ht="14.25" customHeight="1" x14ac:dyDescent="0.15">
      <c r="B44" s="17"/>
      <c r="C44" s="11"/>
      <c r="D44" s="11"/>
      <c r="E44" s="11"/>
      <c r="F44" s="11"/>
      <c r="G44" s="11"/>
      <c r="H44" s="11"/>
      <c r="I44" s="11"/>
      <c r="J44" s="11"/>
      <c r="K44" s="11"/>
      <c r="L44" s="11"/>
      <c r="M44" s="11"/>
      <c r="N44" s="18"/>
      <c r="S44" s="726" t="str">
        <f>'R2_Econ.'!B14&amp;": "&amp;'R2_Econ.'!C14</f>
        <v>Discharge: Unloading place &amp; device</v>
      </c>
      <c r="T44" s="730">
        <v>5</v>
      </c>
    </row>
    <row r="45" spans="2:20" ht="14.25" customHeight="1" x14ac:dyDescent="0.15">
      <c r="B45" s="7"/>
      <c r="N45" s="8"/>
      <c r="S45" s="726" t="str">
        <f>'R2_Econ.'!B15&amp;": "&amp;'R2_Econ.'!C15</f>
        <v>Disassembly: Disassembly area including tools</v>
      </c>
      <c r="T45" s="730">
        <v>5</v>
      </c>
    </row>
    <row r="46" spans="2:20" ht="14.25" customHeight="1" x14ac:dyDescent="0.15">
      <c r="B46" s="9"/>
      <c r="C46" s="5"/>
      <c r="D46" s="5"/>
      <c r="E46" s="5"/>
      <c r="F46" s="5"/>
      <c r="G46" s="5"/>
      <c r="H46" s="5"/>
      <c r="I46" s="5"/>
      <c r="J46" s="5"/>
      <c r="K46" s="5"/>
      <c r="L46" s="5"/>
      <c r="M46" s="5"/>
      <c r="N46" s="10"/>
      <c r="S46" s="726" t="str">
        <f>'R2_Econ.'!B16&amp;": "&amp;'R2_Econ.'!C16</f>
        <v>Shredder 1: Shredder</v>
      </c>
      <c r="T46" s="730">
        <v>5</v>
      </c>
    </row>
    <row r="47" spans="2:20" ht="14.25" customHeight="1" x14ac:dyDescent="0.15">
      <c r="S47" s="726" t="str">
        <f>'R2_Econ.'!B17&amp;": "&amp;'R2_Econ.'!C17</f>
        <v>Drying: Mixing dryer</v>
      </c>
      <c r="T47" s="730">
        <v>5</v>
      </c>
    </row>
    <row r="48" spans="2:20" ht="14.25" customHeight="1" x14ac:dyDescent="0.15">
      <c r="S48" s="726" t="str">
        <f>'R2_Econ.'!B18&amp;": "&amp;'R2_Econ.'!C18</f>
        <v>Exhaust gas cleaning: Plasma torch, pocket filter, gas scrubbing</v>
      </c>
      <c r="T48" s="730">
        <v>5</v>
      </c>
    </row>
    <row r="49" spans="19:20" ht="14.25" customHeight="1" x14ac:dyDescent="0.15">
      <c r="S49" s="726" t="str">
        <f>'R2_Econ.'!B19&amp;": "&amp;'R2_Econ.'!C19</f>
        <v>Magnetic separation: Magnetic separator</v>
      </c>
      <c r="T49" s="730">
        <v>5</v>
      </c>
    </row>
    <row r="50" spans="19:20" ht="14.25" customHeight="1" x14ac:dyDescent="0.15">
      <c r="S50" s="726" t="str">
        <f>'R2_Econ.'!B20&amp;": "&amp;'R2_Econ.'!C20</f>
        <v>Zig-zag sighting 1: Aerial sighting</v>
      </c>
      <c r="T50" s="730">
        <v>5</v>
      </c>
    </row>
    <row r="51" spans="19:20" ht="14.25" customHeight="1" x14ac:dyDescent="0.15">
      <c r="S51" s="726" t="str">
        <f>'R2_Econ.'!B21&amp;": "&amp;'R2_Econ.'!C21</f>
        <v>Shredder 2: Granulator</v>
      </c>
      <c r="T51" s="730">
        <v>5</v>
      </c>
    </row>
    <row r="52" spans="19:20" x14ac:dyDescent="0.15">
      <c r="S52" s="726" t="str">
        <f>'R2_Econ.'!B22&amp;": "&amp;'R2_Econ.'!C22</f>
        <v>Sieving: Sieve</v>
      </c>
      <c r="T52" s="730">
        <v>5</v>
      </c>
    </row>
    <row r="53" spans="19:20" x14ac:dyDescent="0.15">
      <c r="S53" s="726" t="str">
        <f>'R2_Econ.'!B23&amp;": "&amp;'R2_Econ.'!C23</f>
        <v>Zig-zag sighting 2: Aerial sighting</v>
      </c>
      <c r="T53" s="730">
        <v>5</v>
      </c>
    </row>
    <row r="54" spans="19:20" x14ac:dyDescent="0.15">
      <c r="S54" s="726" t="str">
        <f>'R2_Econ.'!B24&amp;": "&amp;'R2_Econ.'!C24</f>
        <v>Electrolyte recovery: Extraction (DMC and water), solvent cleaning</v>
      </c>
      <c r="T54" s="730">
        <v>5</v>
      </c>
    </row>
    <row r="55" spans="19:20" x14ac:dyDescent="0.15">
      <c r="S55" s="726" t="str">
        <f>'R2_Econ.'!B25&amp;": "&amp;'R2_Econ.'!C25</f>
        <v>Digestion: Rotary kiln</v>
      </c>
      <c r="T55" s="730">
        <v>5</v>
      </c>
    </row>
    <row r="56" spans="19:20" x14ac:dyDescent="0.15">
      <c r="S56" s="726" t="str">
        <f>'R2_Econ.'!B26&amp;": "&amp;'R2_Econ.'!C26</f>
        <v xml:space="preserve">Leaching: Reactor </v>
      </c>
      <c r="T56" s="730">
        <v>5</v>
      </c>
    </row>
    <row r="57" spans="19:20" x14ac:dyDescent="0.15">
      <c r="S57" s="726" t="str">
        <f>'R2_Econ.'!B27&amp;": "&amp;'R2_Econ.'!C27</f>
        <v>Filtration C: Chamber filter press</v>
      </c>
      <c r="T57" s="730">
        <v>5</v>
      </c>
    </row>
    <row r="58" spans="19:20" x14ac:dyDescent="0.15">
      <c r="S58" s="726" t="str">
        <f>'R2_Econ.'!B28&amp;": "&amp;'R2_Econ.'!C28</f>
        <v>Washing C: Sprinkling</v>
      </c>
      <c r="T58" s="730">
        <v>5</v>
      </c>
    </row>
    <row r="59" spans="19:20" x14ac:dyDescent="0.15">
      <c r="S59" s="726" t="str">
        <f>'R2_Econ.'!B29&amp;": "&amp;'R2_Econ.'!C29</f>
        <v xml:space="preserve">Cementation Cu: Reactor </v>
      </c>
      <c r="T59" s="730">
        <v>5</v>
      </c>
    </row>
    <row r="60" spans="19:20" x14ac:dyDescent="0.15">
      <c r="S60" s="726" t="str">
        <f>'R2_Econ.'!B30&amp;": "&amp;'R2_Econ.'!C30</f>
        <v>Filtration Cu: Band filter &lt;50um</v>
      </c>
      <c r="T60" s="730">
        <v>5</v>
      </c>
    </row>
    <row r="61" spans="19:20" x14ac:dyDescent="0.15">
      <c r="S61" s="726" t="str">
        <f>'R2_Econ.'!B31&amp;": "&amp;'R2_Econ.'!C31</f>
        <v>Oxidation: Reactor</v>
      </c>
      <c r="T61" s="730">
        <v>5</v>
      </c>
    </row>
    <row r="62" spans="19:20" x14ac:dyDescent="0.15">
      <c r="S62" s="726" t="str">
        <f>'R2_Econ.'!B32&amp;": "&amp;'R2_Econ.'!C32</f>
        <v>Precipitation Al + Fe: Reactor</v>
      </c>
      <c r="T62" s="730">
        <v>5</v>
      </c>
    </row>
    <row r="63" spans="19:20" x14ac:dyDescent="0.15">
      <c r="S63" s="726" t="str">
        <f>'R2_Econ.'!B33&amp;": "&amp;'R2_Econ.'!C33</f>
        <v>Filtration Al+Fe: Band filter &lt;15um</v>
      </c>
      <c r="T63" s="730">
        <v>5</v>
      </c>
    </row>
    <row r="64" spans="19:20" x14ac:dyDescent="0.15">
      <c r="S64" s="726" t="str">
        <f>'R2_Econ.'!B34&amp;": "&amp;'R2_Econ.'!C34</f>
        <v>Extraction Co+Ni: Reactor</v>
      </c>
      <c r="T64" s="730">
        <v>5</v>
      </c>
    </row>
    <row r="65" spans="19:20" x14ac:dyDescent="0.15">
      <c r="S65" s="726" t="str">
        <f>'R2_Econ.'!B35&amp;": "&amp;'R2_Econ.'!C35</f>
        <v>Scrubbing Co+Ni: Reactor</v>
      </c>
      <c r="T65" s="730">
        <v>5</v>
      </c>
    </row>
    <row r="66" spans="19:20" x14ac:dyDescent="0.15">
      <c r="S66" s="726" t="str">
        <f>'R2_Econ.'!B36&amp;": "&amp;'R2_Econ.'!C36</f>
        <v>Stripping Co+Ni: Reactor</v>
      </c>
      <c r="T66" s="730">
        <v>5</v>
      </c>
    </row>
    <row r="67" spans="19:20" x14ac:dyDescent="0.15">
      <c r="S67" s="726" t="str">
        <f>'R2_Econ.'!B37&amp;": "&amp;'R2_Econ.'!C37</f>
        <v>Extraction Co: Reactor</v>
      </c>
      <c r="T67" s="730">
        <v>5</v>
      </c>
    </row>
    <row r="68" spans="19:20" x14ac:dyDescent="0.15">
      <c r="S68" s="726" t="str">
        <f>'R2_Econ.'!B38&amp;": "&amp;'R2_Econ.'!C38</f>
        <v>Scrubbing Co: Reactor</v>
      </c>
      <c r="T68" s="730">
        <v>5</v>
      </c>
    </row>
    <row r="69" spans="19:20" x14ac:dyDescent="0.15">
      <c r="S69" s="726" t="str">
        <f>'R2_Econ.'!B39&amp;": "&amp;'R2_Econ.'!C39</f>
        <v>Stripping Co: Reactor</v>
      </c>
      <c r="T69" s="730">
        <v>5</v>
      </c>
    </row>
    <row r="70" spans="19:20" x14ac:dyDescent="0.15">
      <c r="S70" s="726" t="str">
        <f>'R2_Econ.'!B40&amp;": "&amp;'R2_Econ.'!C40</f>
        <v>Cristallisation Ni: Evaporation crystallizer</v>
      </c>
      <c r="T70" s="730">
        <v>5</v>
      </c>
    </row>
    <row r="71" spans="19:20" x14ac:dyDescent="0.15">
      <c r="S71" s="726" t="str">
        <f>'R2_Econ.'!B41&amp;": "&amp;'R2_Econ.'!C41</f>
        <v>Cristallisation Co: Evaporation crystallizer</v>
      </c>
      <c r="T71" s="730">
        <v>5</v>
      </c>
    </row>
    <row r="72" spans="19:20" x14ac:dyDescent="0.15">
      <c r="S72" s="726" t="str">
        <f>'R2_Econ.'!B42&amp;": "&amp;'R2_Econ.'!C42</f>
        <v>Extraction Mn: Reactor</v>
      </c>
      <c r="T72" s="731">
        <v>5</v>
      </c>
    </row>
    <row r="73" spans="19:20" x14ac:dyDescent="0.15">
      <c r="S73" s="726" t="str">
        <f>'R2_Econ.'!B43&amp;": "&amp;'R2_Econ.'!C43</f>
        <v>Scrubbing Mn: Reactor</v>
      </c>
      <c r="T73" s="731">
        <v>5</v>
      </c>
    </row>
    <row r="74" spans="19:20" x14ac:dyDescent="0.15">
      <c r="S74" s="726" t="str">
        <f>'R2_Econ.'!B44&amp;": "&amp;'R2_Econ.'!C44</f>
        <v>Stripping Mn: Reactor</v>
      </c>
      <c r="T74" s="731">
        <v>5</v>
      </c>
    </row>
    <row r="75" spans="19:20" x14ac:dyDescent="0.15">
      <c r="S75" s="726" t="str">
        <f>'R2_Econ.'!B45&amp;": "&amp;'R2_Econ.'!C45</f>
        <v>Cristallisation Mn: Evaporation crystallizer</v>
      </c>
      <c r="T75" s="731">
        <v>5</v>
      </c>
    </row>
    <row r="76" spans="19:20" x14ac:dyDescent="0.15">
      <c r="S76" s="726" t="str">
        <f>'R2_Econ.'!B46&amp;": "&amp;'R2_Econ.'!C46</f>
        <v>Concentration Li: Evaporator</v>
      </c>
      <c r="T76" s="731">
        <v>5</v>
      </c>
    </row>
    <row r="77" spans="19:20" x14ac:dyDescent="0.15">
      <c r="S77" s="726" t="str">
        <f>'R2_Econ.'!B47&amp;": "&amp;'R2_Econ.'!C47</f>
        <v>Precipitation Li: Reactor</v>
      </c>
      <c r="T77" s="731">
        <v>5</v>
      </c>
    </row>
    <row r="78" spans="19:20" x14ac:dyDescent="0.15">
      <c r="S78" s="726" t="str">
        <f>'R2_Econ.'!B48&amp;": "&amp;'R2_Econ.'!C48</f>
        <v>Filtration Li: Band filter</v>
      </c>
      <c r="T78" s="731">
        <v>5</v>
      </c>
    </row>
    <row r="79" spans="19:20" x14ac:dyDescent="0.15">
      <c r="S79" s="727" t="str">
        <f>'R2_Econ.'!B49&amp;": "&amp;'R2_Econ.'!C49</f>
        <v>Wastewater: Evaporator</v>
      </c>
      <c r="T79" s="732">
        <v>5</v>
      </c>
    </row>
    <row r="80" spans="19:20" x14ac:dyDescent="0.15">
      <c r="S80" s="956" t="s">
        <v>80</v>
      </c>
      <c r="T80" s="957"/>
    </row>
    <row r="81" spans="19:20" x14ac:dyDescent="0.15">
      <c r="S81" s="728" t="str">
        <f>'R3_Econ.'!B12&amp;": "&amp;'R3_Econ.'!C12</f>
        <v>Storage: System container</v>
      </c>
      <c r="T81" s="729">
        <v>5</v>
      </c>
    </row>
    <row r="82" spans="19:20" x14ac:dyDescent="0.15">
      <c r="S82" s="726" t="str">
        <f>'R3_Econ.'!B13&amp;": "&amp;'R3_Econ.'!C13</f>
        <v>Storage (deffective): Hazardous material container (F-90)</v>
      </c>
      <c r="T82" s="731">
        <v>5</v>
      </c>
    </row>
    <row r="83" spans="19:20" x14ac:dyDescent="0.15">
      <c r="S83" s="726" t="str">
        <f>'R3_Econ.'!B14&amp;": "&amp;'R3_Econ.'!C14</f>
        <v>Discharge: Unloading place &amp; device</v>
      </c>
      <c r="T83" s="731">
        <v>5</v>
      </c>
    </row>
    <row r="84" spans="19:20" x14ac:dyDescent="0.15">
      <c r="S84" s="726" t="str">
        <f>'R3_Econ.'!B15&amp;": "&amp;'R3_Econ.'!C15</f>
        <v>Disassembly: Disassembly area including tools</v>
      </c>
      <c r="T84" s="731">
        <v>5</v>
      </c>
    </row>
    <row r="85" spans="19:20" x14ac:dyDescent="0.15">
      <c r="S85" s="726" t="str">
        <f>'R3_Econ.'!B16&amp;": "&amp;'R3_Econ.'!C16</f>
        <v>Deactivation and evaporation: Rotary kiln</v>
      </c>
      <c r="T85" s="731">
        <v>5</v>
      </c>
    </row>
    <row r="86" spans="19:20" x14ac:dyDescent="0.15">
      <c r="S86" s="726" t="str">
        <f>'R3_Econ.'!B17&amp;": "&amp;'R3_Econ.'!C17</f>
        <v>Exhaust gas cleaning: Plasma torch, pocket filter, gas scrubbing</v>
      </c>
      <c r="T86" s="731">
        <v>5</v>
      </c>
    </row>
    <row r="87" spans="19:20" x14ac:dyDescent="0.15">
      <c r="S87" s="726" t="str">
        <f>'R3_Econ.'!B18&amp;": "&amp;'R3_Econ.'!C18</f>
        <v>Shredder: Granulator</v>
      </c>
      <c r="T87" s="731">
        <v>5</v>
      </c>
    </row>
    <row r="88" spans="19:20" x14ac:dyDescent="0.15">
      <c r="S88" s="726" t="str">
        <f>'R3_Econ.'!B19&amp;": "&amp;'R3_Econ.'!C19</f>
        <v>Magnetic seperation: Magnetic separator</v>
      </c>
      <c r="T88" s="731">
        <v>5</v>
      </c>
    </row>
    <row r="89" spans="19:20" x14ac:dyDescent="0.15">
      <c r="S89" s="726" t="str">
        <f>'R3_Econ.'!B20&amp;": "&amp;'R3_Econ.'!C20</f>
        <v>Sieving: Sieve</v>
      </c>
      <c r="T89" s="731">
        <v>5</v>
      </c>
    </row>
    <row r="90" spans="19:20" x14ac:dyDescent="0.15">
      <c r="S90" s="726" t="str">
        <f>'R3_Econ.'!B21&amp;": "&amp;'R3_Econ.'!C21</f>
        <v>Zigzag sighting: Aerial sighting</v>
      </c>
      <c r="T90" s="731">
        <v>5</v>
      </c>
    </row>
    <row r="91" spans="19:20" x14ac:dyDescent="0.15">
      <c r="S91" s="726" t="str">
        <f>'R3_Econ.'!B22&amp;": "&amp;'R3_Econ.'!C22</f>
        <v>Blast furnace: Blast furnace periphery</v>
      </c>
      <c r="T91" s="731">
        <v>5</v>
      </c>
    </row>
    <row r="92" spans="19:20" x14ac:dyDescent="0.15">
      <c r="S92" s="726" t="str">
        <f>'R3_Econ.'!B23&amp;": "&amp;'R3_Econ.'!C23</f>
        <v>Exhaust gas cleaning: Gas scrubber</v>
      </c>
      <c r="T92" s="731">
        <v>5</v>
      </c>
    </row>
    <row r="93" spans="19:20" x14ac:dyDescent="0.15">
      <c r="S93" s="726" t="str">
        <f>'R3_Econ.'!B24&amp;": "&amp;'R3_Econ.'!C24</f>
        <v>Mill (alloy): Mill (Alloy)</v>
      </c>
      <c r="T93" s="731">
        <v>5</v>
      </c>
    </row>
    <row r="94" spans="19:20" x14ac:dyDescent="0.15">
      <c r="S94" s="726" t="str">
        <f>'R3_Econ.'!B25&amp;": "&amp;'R3_Econ.'!C25</f>
        <v>Mill (slag): Mill (Slag)</v>
      </c>
      <c r="T94" s="731">
        <v>5</v>
      </c>
    </row>
    <row r="95" spans="19:20" x14ac:dyDescent="0.15">
      <c r="S95" s="726" t="str">
        <f>'R3_Econ.'!B26&amp;": "&amp;'R3_Econ.'!C26</f>
        <v>Digestion: Rotary kiln</v>
      </c>
      <c r="T95" s="731">
        <v>5</v>
      </c>
    </row>
    <row r="96" spans="19:20" x14ac:dyDescent="0.15">
      <c r="S96" s="726" t="str">
        <f>'R3_Econ.'!B27&amp;": "&amp;'R3_Econ.'!C27</f>
        <v>Leaching: Reactor</v>
      </c>
      <c r="T96" s="731">
        <v>5</v>
      </c>
    </row>
    <row r="97" spans="19:20" x14ac:dyDescent="0.15">
      <c r="S97" s="726" t="str">
        <f>'R3_Econ.'!B28&amp;": "&amp;'R3_Econ.'!C28</f>
        <v xml:space="preserve">Cementation Cu: Reactor </v>
      </c>
      <c r="T97" s="731">
        <v>5</v>
      </c>
    </row>
    <row r="98" spans="19:20" x14ac:dyDescent="0.15">
      <c r="S98" s="726" t="str">
        <f>'R3_Econ.'!B29&amp;": "&amp;'R3_Econ.'!C29</f>
        <v>Filtration Cu: Band filter &lt;50um</v>
      </c>
      <c r="T98" s="731">
        <v>5</v>
      </c>
    </row>
    <row r="99" spans="19:20" x14ac:dyDescent="0.15">
      <c r="S99" s="726" t="str">
        <f>'R3_Econ.'!B30&amp;": "&amp;'R3_Econ.'!C30</f>
        <v>Oxidation Fe: Reactor</v>
      </c>
      <c r="T99" s="731">
        <v>5</v>
      </c>
    </row>
    <row r="100" spans="19:20" x14ac:dyDescent="0.15">
      <c r="S100" s="726" t="str">
        <f>'R3_Econ.'!B31&amp;": "&amp;'R3_Econ.'!C31</f>
        <v>Precipitation Fe: Reactor</v>
      </c>
      <c r="T100" s="731">
        <v>5</v>
      </c>
    </row>
    <row r="101" spans="19:20" x14ac:dyDescent="0.15">
      <c r="S101" s="726" t="str">
        <f>'R3_Econ.'!B32&amp;": "&amp;'R3_Econ.'!C32</f>
        <v>Filtration Fe: Band filter  &lt;15um</v>
      </c>
      <c r="T101" s="731">
        <v>5</v>
      </c>
    </row>
    <row r="102" spans="19:20" x14ac:dyDescent="0.15">
      <c r="S102" s="726" t="str">
        <f>'R3_Econ.'!B33&amp;": "&amp;'R3_Econ.'!C33</f>
        <v xml:space="preserve">Extraction Co: Reactor </v>
      </c>
      <c r="T102" s="731">
        <v>5</v>
      </c>
    </row>
    <row r="103" spans="19:20" x14ac:dyDescent="0.15">
      <c r="S103" s="726" t="str">
        <f>'R3_Econ.'!B34&amp;": "&amp;'R3_Econ.'!C34</f>
        <v>Scrubbing Co: Reactor</v>
      </c>
      <c r="T103" s="731">
        <v>5</v>
      </c>
    </row>
    <row r="104" spans="19:20" x14ac:dyDescent="0.15">
      <c r="S104" s="726" t="str">
        <f>'R3_Econ.'!B35&amp;": "&amp;'R3_Econ.'!C35</f>
        <v>Stripping Co: Reactor</v>
      </c>
      <c r="T104" s="731">
        <v>5</v>
      </c>
    </row>
    <row r="105" spans="19:20" x14ac:dyDescent="0.15">
      <c r="S105" s="726" t="str">
        <f>'R3_Econ.'!B36&amp;": "&amp;'R3_Econ.'!C36</f>
        <v>Cristallisation Ni: Evaporation crystallizer</v>
      </c>
      <c r="T105" s="731">
        <v>5</v>
      </c>
    </row>
    <row r="106" spans="19:20" x14ac:dyDescent="0.15">
      <c r="S106" s="726" t="str">
        <f>'R3_Econ.'!B37&amp;": "&amp;'R3_Econ.'!C37</f>
        <v>Cristallisation Co: Evaporation crystallizer</v>
      </c>
      <c r="T106" s="731">
        <v>5</v>
      </c>
    </row>
    <row r="107" spans="19:20" x14ac:dyDescent="0.15">
      <c r="S107" s="726" t="str">
        <f>'R3_Econ.'!B38&amp;": "&amp;'R3_Econ.'!C38</f>
        <v>Digestion (slag): Rotary kiln</v>
      </c>
      <c r="T107" s="731">
        <v>5</v>
      </c>
    </row>
    <row r="108" spans="19:20" x14ac:dyDescent="0.15">
      <c r="S108" s="726" t="str">
        <f>'R3_Econ.'!B39&amp;": "&amp;'R3_Econ.'!C39</f>
        <v xml:space="preserve">Leaching (slag): Reactor </v>
      </c>
      <c r="T108" s="731">
        <v>5</v>
      </c>
    </row>
    <row r="109" spans="19:20" x14ac:dyDescent="0.15">
      <c r="S109" s="726" t="str">
        <f>'R3_Econ.'!B40&amp;": "&amp;'R3_Econ.'!C40</f>
        <v>Filter SiO2, CaSO4 (slag): Chamber filter press</v>
      </c>
      <c r="T109" s="731">
        <v>5</v>
      </c>
    </row>
    <row r="110" spans="19:20" x14ac:dyDescent="0.15">
      <c r="S110" s="726" t="str">
        <f>'R3_Econ.'!B44&amp;": "&amp;'R3_Econ.'!C44</f>
        <v xml:space="preserve">Extraction Mn (slag): Reactor </v>
      </c>
      <c r="T110" s="731">
        <v>5</v>
      </c>
    </row>
    <row r="111" spans="19:20" x14ac:dyDescent="0.15">
      <c r="S111" s="726" t="str">
        <f>'R3_Econ.'!B45&amp;": "&amp;'R3_Econ.'!C45</f>
        <v xml:space="preserve">Scrubbing Mn (slag): Reactor </v>
      </c>
      <c r="T111" s="731">
        <v>5</v>
      </c>
    </row>
    <row r="112" spans="19:20" x14ac:dyDescent="0.15">
      <c r="S112" s="726" t="str">
        <f>'R3_Econ.'!B46&amp;": "&amp;'R3_Econ.'!C46</f>
        <v xml:space="preserve">Stripping Mn (slag): Reactor </v>
      </c>
      <c r="T112" s="731">
        <v>5</v>
      </c>
    </row>
    <row r="113" spans="19:20" x14ac:dyDescent="0.15">
      <c r="S113" s="726" t="str">
        <f>'R3_Econ.'!B47&amp;": "&amp;'R3_Econ.'!C47</f>
        <v>Cristallisation Mn (slag): Evaporation crystallizer</v>
      </c>
      <c r="T113" s="731">
        <v>5</v>
      </c>
    </row>
    <row r="114" spans="19:20" x14ac:dyDescent="0.15">
      <c r="S114" s="726" t="str">
        <f>'R3_Econ.'!B48&amp;": "&amp;'R3_Econ.'!C48</f>
        <v xml:space="preserve">Precipitation Li (slag): Reactor </v>
      </c>
      <c r="T114" s="731">
        <v>5</v>
      </c>
    </row>
    <row r="115" spans="19:20" x14ac:dyDescent="0.15">
      <c r="S115" s="726" t="str">
        <f>'R3_Econ.'!B49&amp;": "&amp;'R3_Econ.'!C49</f>
        <v>Filtration Li (slag): Band filter</v>
      </c>
      <c r="T115" s="731">
        <v>5</v>
      </c>
    </row>
    <row r="116" spans="19:20" x14ac:dyDescent="0.15">
      <c r="S116" s="727" t="str">
        <f>'R3_Econ.'!B50&amp;": "&amp;'R3_Econ.'!C50</f>
        <v>Wastewater: Evaporator</v>
      </c>
      <c r="T116" s="732">
        <v>5</v>
      </c>
    </row>
  </sheetData>
  <sheetProtection selectLockedCells="1" selectUnlockedCells="1"/>
  <protectedRanges>
    <protectedRange sqref="M29:M37 L29:L36 A27:K41 A2:O5 H8:I12 B11:E11 D8:E8 B6:I7 G20:I20 B8:B9 C9:E9 B13:E13 B15:D15 C20:E20 F9:F15 F19:F20 I13:I15 I19 B16:B20 E16:E19 O6:O39 N6:N20 A23:N23 A25:N26 A6:A20 A1:O1" name="Bereich1"/>
    <protectedRange sqref="F8" name="Bereich1_1"/>
  </protectedRanges>
  <mergeCells count="9">
    <mergeCell ref="S80:T80"/>
    <mergeCell ref="P6:Q6"/>
    <mergeCell ref="F6:I6"/>
    <mergeCell ref="B6:E6"/>
    <mergeCell ref="C1:I1"/>
    <mergeCell ref="J6:N6"/>
    <mergeCell ref="S6:T6"/>
    <mergeCell ref="B27:N27"/>
    <mergeCell ref="S41:T41"/>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8" r:id="rId4" name="Check Box 14">
              <controlPr defaultSize="0" autoFill="0" autoLine="0" autoPict="0" altText="">
                <anchor moveWithCells="1">
                  <from>
                    <xdr:col>3</xdr:col>
                    <xdr:colOff>1206500</xdr:colOff>
                    <xdr:row>8</xdr:row>
                    <xdr:rowOff>177800</xdr:rowOff>
                  </from>
                  <to>
                    <xdr:col>3</xdr:col>
                    <xdr:colOff>1435100</xdr:colOff>
                    <xdr:row>10</xdr:row>
                    <xdr:rowOff>0</xdr:rowOff>
                  </to>
                </anchor>
              </controlPr>
            </control>
          </mc:Choice>
        </mc:AlternateContent>
        <mc:AlternateContent xmlns:mc="http://schemas.openxmlformats.org/markup-compatibility/2006">
          <mc:Choice Requires="x14">
            <control shapeId="1039" r:id="rId5" name="Check Box 15">
              <controlPr defaultSize="0" autoFill="0" autoLine="0" autoPict="0" altText="">
                <anchor moveWithCells="1">
                  <from>
                    <xdr:col>3</xdr:col>
                    <xdr:colOff>1206500</xdr:colOff>
                    <xdr:row>10</xdr:row>
                    <xdr:rowOff>177800</xdr:rowOff>
                  </from>
                  <to>
                    <xdr:col>3</xdr:col>
                    <xdr:colOff>1435100</xdr:colOff>
                    <xdr:row>12</xdr:row>
                    <xdr:rowOff>0</xdr:rowOff>
                  </to>
                </anchor>
              </controlPr>
            </control>
          </mc:Choice>
        </mc:AlternateContent>
        <mc:AlternateContent xmlns:mc="http://schemas.openxmlformats.org/markup-compatibility/2006">
          <mc:Choice Requires="x14">
            <control shapeId="1040" r:id="rId6" name="Check Box 16">
              <controlPr defaultSize="0" autoFill="0" autoLine="0" autoPict="0" altText="">
                <anchor moveWithCells="1">
                  <from>
                    <xdr:col>3</xdr:col>
                    <xdr:colOff>1206500</xdr:colOff>
                    <xdr:row>12</xdr:row>
                    <xdr:rowOff>177800</xdr:rowOff>
                  </from>
                  <to>
                    <xdr:col>3</xdr:col>
                    <xdr:colOff>1435100</xdr:colOff>
                    <xdr:row>14</xdr:row>
                    <xdr:rowOff>0</xdr:rowOff>
                  </to>
                </anchor>
              </controlPr>
            </control>
          </mc:Choice>
        </mc:AlternateContent>
        <mc:AlternateContent xmlns:mc="http://schemas.openxmlformats.org/markup-compatibility/2006">
          <mc:Choice Requires="x14">
            <control shapeId="1052" r:id="rId7" name="Drop Down 28">
              <controlPr defaultSize="0" autoLine="0" autoPict="0">
                <anchor moveWithCells="1">
                  <from>
                    <xdr:col>3</xdr:col>
                    <xdr:colOff>12700</xdr:colOff>
                    <xdr:row>7</xdr:row>
                    <xdr:rowOff>0</xdr:rowOff>
                  </from>
                  <to>
                    <xdr:col>4</xdr:col>
                    <xdr:colOff>0</xdr:colOff>
                    <xdr:row>8</xdr:row>
                    <xdr:rowOff>0</xdr:rowOff>
                  </to>
                </anchor>
              </controlPr>
            </control>
          </mc:Choice>
        </mc:AlternateContent>
        <mc:AlternateContent xmlns:mc="http://schemas.openxmlformats.org/markup-compatibility/2006">
          <mc:Choice Requires="x14">
            <control shapeId="1055" r:id="rId8" name="Drop Down 31">
              <controlPr defaultSize="0" autoLine="0" autoPict="0">
                <anchor moveWithCells="1">
                  <from>
                    <xdr:col>7</xdr:col>
                    <xdr:colOff>12700</xdr:colOff>
                    <xdr:row>7</xdr:row>
                    <xdr:rowOff>0</xdr:rowOff>
                  </from>
                  <to>
                    <xdr:col>8</xdr:col>
                    <xdr:colOff>0</xdr:colOff>
                    <xdr:row>8</xdr:row>
                    <xdr:rowOff>0</xdr:rowOff>
                  </to>
                </anchor>
              </controlPr>
            </control>
          </mc:Choice>
        </mc:AlternateContent>
        <mc:AlternateContent xmlns:mc="http://schemas.openxmlformats.org/markup-compatibility/2006">
          <mc:Choice Requires="x14">
            <control shapeId="1068" r:id="rId9" name="Drop Down 44">
              <controlPr defaultSize="0" autoLine="0" autoPict="0">
                <anchor moveWithCells="1">
                  <from>
                    <xdr:col>3</xdr:col>
                    <xdr:colOff>0</xdr:colOff>
                    <xdr:row>18</xdr:row>
                    <xdr:rowOff>165100</xdr:rowOff>
                  </from>
                  <to>
                    <xdr:col>3</xdr:col>
                    <xdr:colOff>1435100</xdr:colOff>
                    <xdr:row>19</xdr:row>
                    <xdr:rowOff>165100</xdr:rowOff>
                  </to>
                </anchor>
              </controlPr>
            </control>
          </mc:Choice>
        </mc:AlternateContent>
        <mc:AlternateContent xmlns:mc="http://schemas.openxmlformats.org/markup-compatibility/2006">
          <mc:Choice Requires="x14">
            <control shapeId="1072" r:id="rId10" name="Drop Down 48">
              <controlPr defaultSize="0" autoLine="0" autoPict="0">
                <anchor moveWithCells="1">
                  <from>
                    <xdr:col>3</xdr:col>
                    <xdr:colOff>12700</xdr:colOff>
                    <xdr:row>17</xdr:row>
                    <xdr:rowOff>12700</xdr:rowOff>
                  </from>
                  <to>
                    <xdr:col>4</xdr:col>
                    <xdr:colOff>0</xdr:colOff>
                    <xdr:row>18</xdr:row>
                    <xdr:rowOff>12700</xdr:rowOff>
                  </to>
                </anchor>
              </controlPr>
            </control>
          </mc:Choice>
        </mc:AlternateContent>
        <mc:AlternateContent xmlns:mc="http://schemas.openxmlformats.org/markup-compatibility/2006">
          <mc:Choice Requires="x14">
            <control shapeId="1073" r:id="rId11" name="Drop Down 49">
              <controlPr defaultSize="0" autoLine="0" autoPict="0">
                <anchor moveWithCells="1">
                  <from>
                    <xdr:col>6</xdr:col>
                    <xdr:colOff>1435100</xdr:colOff>
                    <xdr:row>13</xdr:row>
                    <xdr:rowOff>0</xdr:rowOff>
                  </from>
                  <to>
                    <xdr:col>7</xdr:col>
                    <xdr:colOff>1435100</xdr:colOff>
                    <xdr:row>14</xdr:row>
                    <xdr:rowOff>0</xdr:rowOff>
                  </to>
                </anchor>
              </controlPr>
            </control>
          </mc:Choice>
        </mc:AlternateContent>
        <mc:AlternateContent xmlns:mc="http://schemas.openxmlformats.org/markup-compatibility/2006">
          <mc:Choice Requires="x14">
            <control shapeId="1074" r:id="rId12" name="Check Box 50">
              <controlPr defaultSize="0" autoFill="0" autoLine="0" autoPict="0" altText="">
                <anchor moveWithCells="1">
                  <from>
                    <xdr:col>3</xdr:col>
                    <xdr:colOff>1244600</xdr:colOff>
                    <xdr:row>20</xdr:row>
                    <xdr:rowOff>152400</xdr:rowOff>
                  </from>
                  <to>
                    <xdr:col>4</xdr:col>
                    <xdr:colOff>12700</xdr:colOff>
                    <xdr:row>21</xdr:row>
                    <xdr:rowOff>165100</xdr:rowOff>
                  </to>
                </anchor>
              </controlPr>
            </control>
          </mc:Choice>
        </mc:AlternateContent>
      </controls>
    </mc:Choice>
  </mc:AlternateConten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Tabelle21">
    <tabColor theme="0" tint="-0.499984740745262"/>
  </sheetPr>
  <dimension ref="A1:O44"/>
  <sheetViews>
    <sheetView topLeftCell="A4" workbookViewId="0">
      <selection activeCell="F31" sqref="F31"/>
    </sheetView>
  </sheetViews>
  <sheetFormatPr baseColWidth="10" defaultColWidth="11.5" defaultRowHeight="15" x14ac:dyDescent="0.2"/>
  <cols>
    <col min="1" max="1" width="8.5" customWidth="1"/>
    <col min="2" max="2" width="40.33203125" customWidth="1"/>
    <col min="3" max="3" width="31.5" customWidth="1"/>
    <col min="4" max="4" width="6.33203125" style="252" hidden="1" customWidth="1"/>
    <col min="5" max="5" width="46.83203125" style="122" customWidth="1"/>
    <col min="6" max="6" width="17.83203125" customWidth="1"/>
    <col min="7" max="7" width="19.83203125" customWidth="1"/>
    <col min="8" max="8" width="70.6640625" customWidth="1"/>
    <col min="10" max="10" width="17.6640625" customWidth="1"/>
  </cols>
  <sheetData>
    <row r="1" spans="1:11" ht="21" x14ac:dyDescent="0.25">
      <c r="A1" s="189" t="s">
        <v>860</v>
      </c>
    </row>
    <row r="2" spans="1:11" ht="14.5" customHeight="1" x14ac:dyDescent="0.2">
      <c r="A2" t="s">
        <v>861</v>
      </c>
      <c r="F2" s="588"/>
      <c r="G2" s="588"/>
      <c r="H2" s="588"/>
      <c r="I2" s="122"/>
    </row>
    <row r="3" spans="1:11" x14ac:dyDescent="0.2">
      <c r="F3" s="588"/>
      <c r="G3" s="588"/>
      <c r="H3" s="588"/>
      <c r="I3" s="122"/>
    </row>
    <row r="5" spans="1:11" ht="64" x14ac:dyDescent="0.2">
      <c r="B5" s="125" t="s">
        <v>862</v>
      </c>
      <c r="C5" s="125" t="s">
        <v>863</v>
      </c>
      <c r="D5" s="253" t="s">
        <v>864</v>
      </c>
      <c r="E5" s="152" t="s">
        <v>865</v>
      </c>
      <c r="F5" s="152" t="s">
        <v>866</v>
      </c>
      <c r="G5" s="152" t="s">
        <v>867</v>
      </c>
      <c r="H5" s="152" t="s">
        <v>868</v>
      </c>
    </row>
    <row r="6" spans="1:11" ht="16" x14ac:dyDescent="0.2">
      <c r="B6" s="124" t="s">
        <v>869</v>
      </c>
      <c r="C6" s="700" t="s">
        <v>217</v>
      </c>
      <c r="D6" s="254"/>
      <c r="E6" s="774" t="s">
        <v>870</v>
      </c>
      <c r="F6" s="866">
        <v>3.3E-4</v>
      </c>
      <c r="G6" s="255">
        <v>3.3E-4</v>
      </c>
      <c r="H6" s="124"/>
    </row>
    <row r="7" spans="1:11" ht="14.5" customHeight="1" x14ac:dyDescent="0.2">
      <c r="B7" s="700" t="s">
        <v>74</v>
      </c>
      <c r="C7" s="700" t="s">
        <v>871</v>
      </c>
      <c r="D7" s="254"/>
      <c r="E7" s="774" t="s">
        <v>872</v>
      </c>
      <c r="F7" s="867">
        <v>7.8389E-2</v>
      </c>
      <c r="G7" s="256">
        <v>7.8389E-2</v>
      </c>
      <c r="H7" s="124"/>
    </row>
    <row r="8" spans="1:11" ht="32" x14ac:dyDescent="0.2">
      <c r="B8" s="700" t="s">
        <v>70</v>
      </c>
      <c r="C8" s="700" t="s">
        <v>873</v>
      </c>
      <c r="D8" s="254"/>
      <c r="E8" s="774" t="s">
        <v>874</v>
      </c>
      <c r="F8" s="868">
        <v>1.27644</v>
      </c>
      <c r="G8" s="139">
        <v>1.27644</v>
      </c>
      <c r="H8" s="124"/>
    </row>
    <row r="9" spans="1:11" ht="32" x14ac:dyDescent="0.2">
      <c r="B9" s="700" t="s">
        <v>78</v>
      </c>
      <c r="C9" s="124" t="s">
        <v>220</v>
      </c>
      <c r="D9" s="254"/>
      <c r="E9" s="774" t="s">
        <v>875</v>
      </c>
      <c r="F9" s="868">
        <v>1.1319999999999999</v>
      </c>
      <c r="G9" s="139">
        <v>1.1319999999999999</v>
      </c>
      <c r="H9" s="124"/>
      <c r="J9" s="122"/>
      <c r="K9" s="122"/>
    </row>
    <row r="10" spans="1:11" ht="16" x14ac:dyDescent="0.2">
      <c r="B10" s="773" t="s">
        <v>63</v>
      </c>
      <c r="C10" s="712" t="s">
        <v>876</v>
      </c>
      <c r="D10" s="713"/>
      <c r="E10" s="920" t="s">
        <v>877</v>
      </c>
      <c r="F10" s="869">
        <v>0.51590068894990782</v>
      </c>
      <c r="G10" s="714">
        <v>0.51590068894990782</v>
      </c>
      <c r="H10" s="124" t="s">
        <v>381</v>
      </c>
      <c r="J10" s="122"/>
      <c r="K10" s="122"/>
    </row>
    <row r="11" spans="1:11" ht="16" x14ac:dyDescent="0.2">
      <c r="B11" s="124" t="s">
        <v>878</v>
      </c>
      <c r="C11" s="700" t="s">
        <v>199</v>
      </c>
      <c r="D11" s="254"/>
      <c r="E11" s="751" t="s">
        <v>879</v>
      </c>
      <c r="F11" s="868">
        <v>0.220829</v>
      </c>
      <c r="G11" s="139">
        <v>0.220829</v>
      </c>
      <c r="H11" s="124" t="s">
        <v>96</v>
      </c>
      <c r="J11" s="122"/>
      <c r="K11" s="122"/>
    </row>
    <row r="12" spans="1:11" ht="16" x14ac:dyDescent="0.2">
      <c r="B12" s="124" t="s">
        <v>880</v>
      </c>
      <c r="C12" s="124" t="s">
        <v>876</v>
      </c>
      <c r="D12" s="254"/>
      <c r="E12" s="774" t="s">
        <v>881</v>
      </c>
      <c r="F12" s="868">
        <v>2.4922849999999999</v>
      </c>
      <c r="G12" s="139">
        <v>2.4922849999999999</v>
      </c>
      <c r="H12" s="124"/>
    </row>
    <row r="13" spans="1:11" ht="16" x14ac:dyDescent="0.2">
      <c r="B13" s="124" t="s">
        <v>882</v>
      </c>
      <c r="C13" s="124" t="s">
        <v>883</v>
      </c>
      <c r="D13" s="254"/>
      <c r="E13" s="774" t="s">
        <v>884</v>
      </c>
      <c r="F13" s="868">
        <v>1.0099499999999999</v>
      </c>
      <c r="G13" s="139">
        <v>1.0099499999999999</v>
      </c>
      <c r="H13" s="124" t="s">
        <v>885</v>
      </c>
    </row>
    <row r="14" spans="1:11" ht="16" x14ac:dyDescent="0.2">
      <c r="B14" s="124" t="s">
        <v>105</v>
      </c>
      <c r="C14" s="700" t="s">
        <v>886</v>
      </c>
      <c r="D14" s="254"/>
      <c r="E14" s="774" t="s">
        <v>887</v>
      </c>
      <c r="F14" s="868">
        <v>5.864973</v>
      </c>
      <c r="G14" s="139">
        <v>5.864973</v>
      </c>
      <c r="H14" s="124"/>
    </row>
    <row r="15" spans="1:11" ht="16" x14ac:dyDescent="0.2">
      <c r="B15" s="124" t="s">
        <v>59</v>
      </c>
      <c r="C15" s="700" t="s">
        <v>888</v>
      </c>
      <c r="D15" s="254"/>
      <c r="E15" s="774" t="s">
        <v>889</v>
      </c>
      <c r="F15" s="868">
        <v>6.1312810000000004</v>
      </c>
      <c r="G15" s="139">
        <v>6.1312810000000004</v>
      </c>
      <c r="H15" s="124"/>
    </row>
    <row r="16" spans="1:11" ht="16" x14ac:dyDescent="0.2">
      <c r="B16" s="700" t="s">
        <v>810</v>
      </c>
      <c r="C16" s="124" t="s">
        <v>890</v>
      </c>
      <c r="D16" s="254"/>
      <c r="E16" s="774" t="s">
        <v>891</v>
      </c>
      <c r="F16" s="868">
        <v>0.81002799999999997</v>
      </c>
      <c r="G16" s="139">
        <v>0.81002799999999997</v>
      </c>
      <c r="H16" s="124"/>
    </row>
    <row r="17" spans="2:15" ht="16" x14ac:dyDescent="0.2">
      <c r="B17" s="700" t="s">
        <v>809</v>
      </c>
      <c r="C17" s="700" t="s">
        <v>892</v>
      </c>
      <c r="D17" s="254"/>
      <c r="E17" s="774" t="s">
        <v>893</v>
      </c>
      <c r="F17" s="868">
        <v>4.7425870000000003</v>
      </c>
      <c r="G17" s="139">
        <v>4.7425870000000003</v>
      </c>
      <c r="H17" s="124"/>
    </row>
    <row r="18" spans="2:15" ht="16" x14ac:dyDescent="0.2">
      <c r="B18" s="712" t="s">
        <v>894</v>
      </c>
      <c r="C18" s="773" t="s">
        <v>895</v>
      </c>
      <c r="D18" s="713"/>
      <c r="E18" s="920" t="s">
        <v>896</v>
      </c>
      <c r="F18" s="869">
        <v>10.716082377564009</v>
      </c>
      <c r="G18" s="714">
        <v>10.716082377564009</v>
      </c>
      <c r="H18" s="124" t="s">
        <v>897</v>
      </c>
    </row>
    <row r="19" spans="2:15" ht="16" x14ac:dyDescent="0.2">
      <c r="B19" s="700" t="s">
        <v>807</v>
      </c>
      <c r="C19" s="700" t="s">
        <v>898</v>
      </c>
      <c r="D19" s="254"/>
      <c r="E19" s="774" t="s">
        <v>899</v>
      </c>
      <c r="F19" s="868">
        <v>24.29918</v>
      </c>
      <c r="G19" s="139">
        <v>24.29918</v>
      </c>
      <c r="H19" s="124"/>
      <c r="J19" s="715"/>
    </row>
    <row r="20" spans="2:15" ht="16" x14ac:dyDescent="0.2">
      <c r="B20" s="700" t="s">
        <v>900</v>
      </c>
      <c r="C20" s="124" t="s">
        <v>901</v>
      </c>
      <c r="D20" s="254"/>
      <c r="E20" s="774" t="s">
        <v>902</v>
      </c>
      <c r="F20" s="868">
        <v>7.6352039999999999</v>
      </c>
      <c r="G20" s="139">
        <v>7.6352039999999999</v>
      </c>
      <c r="H20" s="124"/>
      <c r="J20" s="715"/>
    </row>
    <row r="21" spans="2:15" ht="32" x14ac:dyDescent="0.2">
      <c r="B21" s="124" t="s">
        <v>903</v>
      </c>
      <c r="C21" s="124" t="s">
        <v>904</v>
      </c>
      <c r="D21" s="254"/>
      <c r="E21" s="774" t="s">
        <v>905</v>
      </c>
      <c r="F21" s="868">
        <v>2.5218099999999999</v>
      </c>
      <c r="G21" s="139">
        <v>2.5218099999999999</v>
      </c>
      <c r="H21" s="700" t="s">
        <v>906</v>
      </c>
    </row>
    <row r="22" spans="2:15" ht="32" x14ac:dyDescent="0.2">
      <c r="B22" s="712" t="s">
        <v>907</v>
      </c>
      <c r="C22" s="712" t="s">
        <v>908</v>
      </c>
      <c r="D22" s="713"/>
      <c r="E22" s="921" t="s">
        <v>909</v>
      </c>
      <c r="F22" s="870">
        <v>6.3200000000000001E-3</v>
      </c>
      <c r="G22" s="720">
        <v>6.3200000000000001E-3</v>
      </c>
      <c r="H22" s="712" t="s">
        <v>910</v>
      </c>
    </row>
    <row r="23" spans="2:15" ht="16" x14ac:dyDescent="0.2">
      <c r="B23" s="700" t="s">
        <v>911</v>
      </c>
      <c r="C23" s="700" t="s">
        <v>912</v>
      </c>
      <c r="D23" s="254"/>
      <c r="E23" s="774" t="s">
        <v>913</v>
      </c>
      <c r="F23" s="868">
        <v>2.2891629999999998</v>
      </c>
      <c r="G23" s="139">
        <v>2.2891629999999998</v>
      </c>
      <c r="H23" s="124"/>
      <c r="O23" s="247"/>
    </row>
    <row r="24" spans="2:15" ht="16" x14ac:dyDescent="0.2">
      <c r="B24" s="124" t="s">
        <v>49</v>
      </c>
      <c r="C24" s="700" t="s">
        <v>914</v>
      </c>
      <c r="D24" s="254"/>
      <c r="E24" s="751" t="s">
        <v>915</v>
      </c>
      <c r="F24" s="868">
        <v>1.740783</v>
      </c>
      <c r="G24" s="139">
        <v>1.740783</v>
      </c>
      <c r="H24" s="124" t="s">
        <v>916</v>
      </c>
    </row>
    <row r="25" spans="2:15" ht="32" x14ac:dyDescent="0.2">
      <c r="B25" s="124" t="s">
        <v>917</v>
      </c>
      <c r="C25" s="700" t="s">
        <v>918</v>
      </c>
      <c r="D25" s="254"/>
      <c r="E25" s="774" t="s">
        <v>919</v>
      </c>
      <c r="F25" s="868">
        <v>9.9219679999999997</v>
      </c>
      <c r="G25" s="139">
        <v>9.9219679999999997</v>
      </c>
      <c r="H25" s="124"/>
    </row>
    <row r="26" spans="2:15" ht="32" x14ac:dyDescent="0.2">
      <c r="B26" s="124" t="s">
        <v>920</v>
      </c>
      <c r="C26" s="700" t="s">
        <v>921</v>
      </c>
      <c r="D26" s="254"/>
      <c r="E26" s="751" t="s">
        <v>922</v>
      </c>
      <c r="F26" s="868">
        <v>1.3732869999999999</v>
      </c>
      <c r="G26" s="139">
        <v>1.3732869999999999</v>
      </c>
      <c r="H26" s="124"/>
    </row>
    <row r="27" spans="2:15" ht="16" x14ac:dyDescent="0.2">
      <c r="B27" s="712" t="s">
        <v>923</v>
      </c>
      <c r="C27" s="773" t="s">
        <v>920</v>
      </c>
      <c r="D27" s="713"/>
      <c r="E27" s="920" t="s">
        <v>924</v>
      </c>
      <c r="F27" s="869">
        <v>0.90672557410900489</v>
      </c>
      <c r="G27" s="714">
        <v>0.90672557410900489</v>
      </c>
      <c r="H27" s="700" t="s">
        <v>925</v>
      </c>
    </row>
    <row r="28" spans="2:15" ht="16" x14ac:dyDescent="0.2">
      <c r="B28" s="700" t="s">
        <v>926</v>
      </c>
      <c r="C28" s="700" t="s">
        <v>927</v>
      </c>
      <c r="D28" s="254"/>
      <c r="E28" s="751" t="s">
        <v>928</v>
      </c>
      <c r="F28" s="868">
        <v>1.051919</v>
      </c>
      <c r="G28" s="139">
        <v>1.051919</v>
      </c>
      <c r="H28" s="700" t="s">
        <v>929</v>
      </c>
    </row>
    <row r="29" spans="2:15" ht="16" x14ac:dyDescent="0.2">
      <c r="B29" s="124" t="s">
        <v>930</v>
      </c>
      <c r="C29" s="124" t="s">
        <v>927</v>
      </c>
      <c r="D29" s="254"/>
      <c r="E29" s="774" t="s">
        <v>931</v>
      </c>
      <c r="F29" s="868">
        <v>1.051919</v>
      </c>
      <c r="G29" s="139">
        <v>1.051919</v>
      </c>
      <c r="H29" s="700" t="s">
        <v>929</v>
      </c>
    </row>
    <row r="30" spans="2:15" ht="32" x14ac:dyDescent="0.2">
      <c r="B30" s="124" t="s">
        <v>932</v>
      </c>
      <c r="C30" s="700" t="s">
        <v>933</v>
      </c>
      <c r="D30" s="254"/>
      <c r="E30" s="774" t="s">
        <v>934</v>
      </c>
      <c r="F30" s="868">
        <v>2.416588</v>
      </c>
      <c r="G30" s="139">
        <v>2.416588</v>
      </c>
      <c r="H30" s="124"/>
    </row>
    <row r="31" spans="2:15" ht="32" x14ac:dyDescent="0.2">
      <c r="B31" s="700" t="s">
        <v>935</v>
      </c>
      <c r="C31" s="124" t="s">
        <v>936</v>
      </c>
      <c r="D31" s="254"/>
      <c r="E31" s="922" t="s">
        <v>937</v>
      </c>
      <c r="F31" s="868">
        <v>0.51714199999999999</v>
      </c>
      <c r="G31" s="139">
        <v>0.51714199999999999</v>
      </c>
      <c r="H31" s="700" t="s">
        <v>938</v>
      </c>
    </row>
    <row r="32" spans="2:15" ht="16" x14ac:dyDescent="0.2">
      <c r="B32" s="124" t="s">
        <v>286</v>
      </c>
      <c r="C32" s="124" t="s">
        <v>939</v>
      </c>
      <c r="D32" s="254"/>
      <c r="E32" s="774" t="s">
        <v>940</v>
      </c>
      <c r="F32" s="867">
        <v>2.215E-3</v>
      </c>
      <c r="G32" s="256">
        <v>2.215E-3</v>
      </c>
      <c r="H32" s="124"/>
    </row>
    <row r="33" spans="2:8" ht="16" x14ac:dyDescent="0.2">
      <c r="B33" s="700" t="s">
        <v>941</v>
      </c>
      <c r="C33" s="124" t="s">
        <v>942</v>
      </c>
      <c r="D33" s="254"/>
      <c r="E33" s="774" t="s">
        <v>943</v>
      </c>
      <c r="F33" s="868">
        <v>2.6200000000000001E-2</v>
      </c>
      <c r="G33" s="139">
        <v>2.6200000000000001E-2</v>
      </c>
      <c r="H33" s="124"/>
    </row>
    <row r="34" spans="2:8" ht="16" x14ac:dyDescent="0.2">
      <c r="B34" s="124" t="s">
        <v>944</v>
      </c>
      <c r="C34" s="124" t="s">
        <v>945</v>
      </c>
      <c r="D34" s="254"/>
      <c r="E34" s="774" t="s">
        <v>946</v>
      </c>
      <c r="F34" s="868">
        <v>0.30635200000000001</v>
      </c>
      <c r="G34" s="139">
        <v>0.30635200000000001</v>
      </c>
      <c r="H34" s="700" t="s">
        <v>947</v>
      </c>
    </row>
    <row r="35" spans="2:8" ht="32" x14ac:dyDescent="0.2">
      <c r="B35" s="700" t="s">
        <v>139</v>
      </c>
      <c r="C35" s="124" t="s">
        <v>948</v>
      </c>
      <c r="D35" s="254"/>
      <c r="E35" s="774" t="s">
        <v>949</v>
      </c>
      <c r="F35" s="868">
        <v>0.29128300000000001</v>
      </c>
      <c r="G35" s="139">
        <v>0.29128300000000001</v>
      </c>
      <c r="H35" s="124"/>
    </row>
    <row r="36" spans="2:8" ht="16" x14ac:dyDescent="0.2">
      <c r="B36" s="124" t="s">
        <v>54</v>
      </c>
      <c r="C36" s="124" t="s">
        <v>950</v>
      </c>
      <c r="D36" s="254"/>
      <c r="E36" s="774" t="s">
        <v>951</v>
      </c>
      <c r="F36" s="868">
        <v>4.7306889999999999</v>
      </c>
      <c r="G36" s="139">
        <v>4.7306889999999999</v>
      </c>
      <c r="H36" s="124"/>
    </row>
    <row r="37" spans="2:8" ht="16" x14ac:dyDescent="0.2">
      <c r="B37" s="700" t="s">
        <v>952</v>
      </c>
      <c r="C37" s="124" t="s">
        <v>953</v>
      </c>
      <c r="D37" s="254"/>
      <c r="E37" s="774" t="s">
        <v>954</v>
      </c>
      <c r="F37" s="868">
        <v>0.55028999999999995</v>
      </c>
      <c r="G37" s="139">
        <v>0.55028999999999995</v>
      </c>
      <c r="H37" s="124"/>
    </row>
    <row r="38" spans="2:8" ht="16" x14ac:dyDescent="0.2">
      <c r="B38" s="164" t="s">
        <v>955</v>
      </c>
      <c r="C38" s="163" t="s">
        <v>956</v>
      </c>
      <c r="E38" s="401" t="s">
        <v>957</v>
      </c>
      <c r="F38" s="871">
        <v>5.2880000000000002E-3</v>
      </c>
      <c r="G38" s="241">
        <v>5.2880000000000002E-3</v>
      </c>
      <c r="H38" s="124"/>
    </row>
    <row r="39" spans="2:8" ht="32" x14ac:dyDescent="0.2">
      <c r="B39" s="124" t="s">
        <v>958</v>
      </c>
      <c r="C39" s="124" t="s">
        <v>959</v>
      </c>
      <c r="D39" s="254"/>
      <c r="E39" s="774" t="s">
        <v>960</v>
      </c>
      <c r="F39" s="872" t="str">
        <f>C44</f>
        <v>366</v>
      </c>
      <c r="G39" s="451">
        <f>366</f>
        <v>366</v>
      </c>
      <c r="H39" s="124" t="s">
        <v>961</v>
      </c>
    </row>
    <row r="42" spans="2:8" ht="16" x14ac:dyDescent="0.2">
      <c r="B42" s="2" t="s">
        <v>962</v>
      </c>
      <c r="E42" s="122" t="s">
        <v>963</v>
      </c>
    </row>
    <row r="43" spans="2:8" ht="32" x14ac:dyDescent="0.2">
      <c r="B43" s="445" t="s">
        <v>964</v>
      </c>
      <c r="C43" s="451">
        <v>366</v>
      </c>
      <c r="D43" s="254" t="s">
        <v>961</v>
      </c>
      <c r="E43" s="774" t="s">
        <v>960</v>
      </c>
    </row>
    <row r="44" spans="2:8" x14ac:dyDescent="0.2">
      <c r="B44" s="446" t="s">
        <v>965</v>
      </c>
      <c r="C44" s="458" t="str">
        <f>Macro!H12</f>
        <v>366</v>
      </c>
      <c r="D44" s="447" t="s">
        <v>961</v>
      </c>
      <c r="E44" s="171"/>
    </row>
  </sheetData>
  <pageMargins left="0.7" right="0.7" top="0.78740157499999996" bottom="0.78740157499999996" header="0.3" footer="0.3"/>
  <pageSetup paperSize="9"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Tabelle18">
    <tabColor theme="0" tint="-0.499984740745262"/>
  </sheetPr>
  <dimension ref="B1:X116"/>
  <sheetViews>
    <sheetView workbookViewId="0">
      <selection activeCell="J20" sqref="J20"/>
    </sheetView>
  </sheetViews>
  <sheetFormatPr baseColWidth="10" defaultColWidth="8.83203125" defaultRowHeight="15" x14ac:dyDescent="0.2"/>
  <cols>
    <col min="2" max="2" width="30.6640625" bestFit="1" customWidth="1"/>
    <col min="3" max="3" width="12.6640625" customWidth="1"/>
    <col min="6" max="6" width="39.6640625" customWidth="1"/>
    <col min="7" max="7" width="39.1640625" customWidth="1"/>
    <col min="8" max="8" width="8.1640625" customWidth="1"/>
    <col min="9" max="9" width="15.33203125" customWidth="1"/>
    <col min="10" max="10" width="25.6640625" customWidth="1"/>
    <col min="11" max="11" width="19.83203125" customWidth="1"/>
    <col min="12" max="12" width="18.33203125" customWidth="1"/>
    <col min="13" max="13" width="26.1640625" customWidth="1"/>
    <col min="14" max="14" width="30" customWidth="1"/>
    <col min="15" max="15" width="18.6640625" customWidth="1"/>
    <col min="16" max="16" width="18.33203125" customWidth="1"/>
    <col min="17" max="17" width="24.33203125" customWidth="1"/>
    <col min="18" max="18" width="25.6640625" customWidth="1"/>
    <col min="19" max="19" width="23" customWidth="1"/>
    <col min="20" max="20" width="9.5" customWidth="1"/>
  </cols>
  <sheetData>
    <row r="1" spans="2:10" ht="25" x14ac:dyDescent="0.3">
      <c r="B1" s="760" t="s">
        <v>966</v>
      </c>
    </row>
    <row r="2" spans="2:10" ht="19" x14ac:dyDescent="0.25">
      <c r="B2" s="292"/>
    </row>
    <row r="3" spans="2:10" ht="29.5" customHeight="1" x14ac:dyDescent="0.25">
      <c r="B3" s="293" t="s">
        <v>108</v>
      </c>
      <c r="C3" s="1050" t="s">
        <v>966</v>
      </c>
      <c r="D3" s="1051"/>
      <c r="E3" s="1052"/>
      <c r="F3" s="294" t="s">
        <v>621</v>
      </c>
      <c r="G3" s="294" t="s">
        <v>296</v>
      </c>
      <c r="I3" s="1049" t="s">
        <v>967</v>
      </c>
      <c r="J3" s="1049"/>
    </row>
    <row r="4" spans="2:10" x14ac:dyDescent="0.2">
      <c r="B4" s="295"/>
      <c r="C4" s="295" t="s">
        <v>968</v>
      </c>
      <c r="D4" s="295" t="s">
        <v>85</v>
      </c>
      <c r="E4" s="295" t="s">
        <v>969</v>
      </c>
      <c r="F4" s="295"/>
      <c r="G4" s="295"/>
      <c r="I4" s="1049"/>
      <c r="J4" s="1049"/>
    </row>
    <row r="5" spans="2:10" ht="14.5" customHeight="1" x14ac:dyDescent="0.2">
      <c r="B5" s="163"/>
      <c r="C5" s="174"/>
      <c r="D5" s="174"/>
      <c r="E5" s="174"/>
      <c r="F5" s="174"/>
      <c r="G5" s="174"/>
      <c r="I5" s="1049"/>
      <c r="J5" s="1049"/>
    </row>
    <row r="6" spans="2:10" x14ac:dyDescent="0.2">
      <c r="B6" s="296" t="s">
        <v>970</v>
      </c>
      <c r="C6" s="296"/>
      <c r="D6" s="883">
        <v>0.99</v>
      </c>
      <c r="E6" s="296">
        <v>0.99</v>
      </c>
      <c r="F6" s="297" t="s">
        <v>142</v>
      </c>
      <c r="G6" s="296"/>
      <c r="H6" s="258"/>
      <c r="I6" s="71"/>
      <c r="J6" s="71"/>
    </row>
    <row r="7" spans="2:10" x14ac:dyDescent="0.2">
      <c r="B7" s="296"/>
      <c r="C7" s="296"/>
      <c r="D7" s="296"/>
      <c r="E7" s="296"/>
      <c r="F7" s="297"/>
      <c r="G7" s="296"/>
      <c r="H7" s="258"/>
    </row>
    <row r="8" spans="2:10" ht="16" x14ac:dyDescent="0.2">
      <c r="B8" s="884" t="s">
        <v>971</v>
      </c>
      <c r="C8" s="296"/>
      <c r="D8" s="296"/>
      <c r="E8" s="296"/>
      <c r="F8" s="297"/>
      <c r="G8" s="296"/>
      <c r="H8" s="258"/>
    </row>
    <row r="9" spans="2:10" ht="14.5" customHeight="1" x14ac:dyDescent="0.2">
      <c r="B9" s="296" t="s">
        <v>100</v>
      </c>
      <c r="C9" s="297"/>
      <c r="D9" s="888">
        <v>0.96</v>
      </c>
      <c r="E9" s="298">
        <f>D9</f>
        <v>0.96</v>
      </c>
      <c r="F9" s="297" t="s">
        <v>972</v>
      </c>
      <c r="G9" s="296" t="s">
        <v>973</v>
      </c>
    </row>
    <row r="10" spans="2:10" ht="14.5" customHeight="1" x14ac:dyDescent="0.2">
      <c r="B10" s="296" t="s">
        <v>101</v>
      </c>
      <c r="C10" s="297"/>
      <c r="D10" s="888">
        <v>0.98</v>
      </c>
      <c r="E10" s="298">
        <f t="shared" ref="E10:E12" si="0">D10</f>
        <v>0.98</v>
      </c>
      <c r="F10" s="297" t="s">
        <v>972</v>
      </c>
      <c r="G10" s="296" t="s">
        <v>973</v>
      </c>
      <c r="I10" s="122"/>
      <c r="J10" s="122"/>
    </row>
    <row r="11" spans="2:10" x14ac:dyDescent="0.2">
      <c r="B11" s="296" t="s">
        <v>105</v>
      </c>
      <c r="C11" s="297"/>
      <c r="D11" s="888">
        <v>0.95</v>
      </c>
      <c r="E11" s="298">
        <f t="shared" si="0"/>
        <v>0.95</v>
      </c>
      <c r="F11" s="297" t="s">
        <v>972</v>
      </c>
      <c r="G11" s="296" t="s">
        <v>973</v>
      </c>
      <c r="I11" s="122"/>
      <c r="J11" s="122"/>
    </row>
    <row r="12" spans="2:10" ht="16" x14ac:dyDescent="0.2">
      <c r="B12" s="762" t="s">
        <v>974</v>
      </c>
      <c r="C12" s="299"/>
      <c r="D12" s="891">
        <v>0.99</v>
      </c>
      <c r="E12" s="298">
        <f t="shared" si="0"/>
        <v>0.99</v>
      </c>
      <c r="F12" s="297" t="s">
        <v>972</v>
      </c>
      <c r="G12" s="302" t="s">
        <v>975</v>
      </c>
      <c r="H12" s="299"/>
      <c r="I12" s="122"/>
      <c r="J12" s="122"/>
    </row>
    <row r="13" spans="2:10" x14ac:dyDescent="0.2">
      <c r="B13" s="302"/>
      <c r="C13" s="299"/>
      <c r="D13" s="303"/>
      <c r="E13" s="303"/>
      <c r="F13" s="299"/>
      <c r="G13" s="302"/>
      <c r="H13" s="299"/>
      <c r="I13" s="122"/>
      <c r="J13" s="122"/>
    </row>
    <row r="14" spans="2:10" ht="16" x14ac:dyDescent="0.2">
      <c r="B14" s="885" t="s">
        <v>976</v>
      </c>
      <c r="C14" s="299"/>
      <c r="D14" s="299"/>
      <c r="E14" s="299"/>
      <c r="F14" s="299"/>
      <c r="G14" s="299"/>
      <c r="H14" s="301"/>
      <c r="I14" s="122"/>
      <c r="J14" s="122"/>
    </row>
    <row r="15" spans="2:10" ht="16" x14ac:dyDescent="0.2">
      <c r="B15" s="761" t="s">
        <v>103</v>
      </c>
      <c r="C15" s="296"/>
      <c r="D15" s="888">
        <v>0.95</v>
      </c>
      <c r="E15" s="298">
        <f>D15</f>
        <v>0.95</v>
      </c>
      <c r="F15" s="297" t="s">
        <v>142</v>
      </c>
      <c r="G15" s="761" t="s">
        <v>973</v>
      </c>
      <c r="H15" s="258"/>
    </row>
    <row r="16" spans="2:10" ht="16" x14ac:dyDescent="0.2">
      <c r="B16" s="296" t="s">
        <v>102</v>
      </c>
      <c r="C16" s="296"/>
      <c r="D16" s="888">
        <f>'R1_Hydro_MEFA'!T124</f>
        <v>0.86</v>
      </c>
      <c r="E16" s="298">
        <f t="shared" ref="E16:E20" si="1">D16</f>
        <v>0.86</v>
      </c>
      <c r="F16" s="297" t="s">
        <v>972</v>
      </c>
      <c r="G16" s="761" t="s">
        <v>977</v>
      </c>
      <c r="H16" s="258"/>
    </row>
    <row r="17" spans="2:24" x14ac:dyDescent="0.2">
      <c r="B17" s="296" t="s">
        <v>104</v>
      </c>
      <c r="C17" s="296"/>
      <c r="D17" s="888">
        <v>0.97</v>
      </c>
      <c r="E17" s="298">
        <f t="shared" si="1"/>
        <v>0.97</v>
      </c>
      <c r="F17" s="297" t="s">
        <v>972</v>
      </c>
      <c r="G17" s="296" t="s">
        <v>973</v>
      </c>
    </row>
    <row r="18" spans="2:24" x14ac:dyDescent="0.2">
      <c r="B18" s="296" t="s">
        <v>978</v>
      </c>
      <c r="C18" s="296"/>
      <c r="D18" s="888">
        <v>0.99</v>
      </c>
      <c r="E18" s="298">
        <f t="shared" si="1"/>
        <v>0.99</v>
      </c>
      <c r="F18" s="297" t="s">
        <v>972</v>
      </c>
      <c r="G18" s="297" t="s">
        <v>975</v>
      </c>
    </row>
    <row r="19" spans="2:24" ht="16" x14ac:dyDescent="0.2">
      <c r="B19" s="164" t="s">
        <v>979</v>
      </c>
      <c r="C19" s="163"/>
      <c r="D19" s="888">
        <v>0.98</v>
      </c>
      <c r="E19" s="298">
        <f t="shared" si="1"/>
        <v>0.98</v>
      </c>
      <c r="F19" s="297" t="s">
        <v>972</v>
      </c>
      <c r="G19" s="164" t="s">
        <v>980</v>
      </c>
      <c r="H19" s="299"/>
    </row>
    <row r="20" spans="2:24" ht="16" x14ac:dyDescent="0.2">
      <c r="B20" s="164" t="s">
        <v>981</v>
      </c>
      <c r="C20" s="163"/>
      <c r="D20" s="888">
        <v>0.99</v>
      </c>
      <c r="E20" s="298">
        <f t="shared" si="1"/>
        <v>0.99</v>
      </c>
      <c r="F20" s="297" t="s">
        <v>972</v>
      </c>
      <c r="G20" s="164" t="s">
        <v>980</v>
      </c>
    </row>
    <row r="21" spans="2:24" x14ac:dyDescent="0.2">
      <c r="B21" s="163"/>
      <c r="C21" s="163"/>
      <c r="D21" s="163"/>
      <c r="E21" s="163"/>
      <c r="F21" s="163"/>
      <c r="G21" s="163"/>
    </row>
    <row r="22" spans="2:24" x14ac:dyDescent="0.2">
      <c r="B22" s="157" t="s">
        <v>982</v>
      </c>
      <c r="C22" s="163"/>
      <c r="D22" s="163"/>
      <c r="E22" s="163"/>
      <c r="F22" s="163"/>
      <c r="G22" s="163"/>
    </row>
    <row r="23" spans="2:24" ht="16" x14ac:dyDescent="0.2">
      <c r="B23" s="761" t="s">
        <v>983</v>
      </c>
      <c r="C23" s="305">
        <f>E11</f>
        <v>0.95</v>
      </c>
      <c r="D23" s="883">
        <v>0.95</v>
      </c>
      <c r="E23" s="304">
        <f t="shared" ref="E23:E28" si="2">C23*D23</f>
        <v>0.90249999999999997</v>
      </c>
      <c r="F23" s="297" t="s">
        <v>142</v>
      </c>
      <c r="G23" s="296" t="s">
        <v>984</v>
      </c>
    </row>
    <row r="24" spans="2:24" ht="16" x14ac:dyDescent="0.2">
      <c r="B24" s="761" t="s">
        <v>985</v>
      </c>
      <c r="C24" s="305">
        <f>E12</f>
        <v>0.99</v>
      </c>
      <c r="D24" s="883">
        <v>0.9</v>
      </c>
      <c r="E24" s="304">
        <f t="shared" si="2"/>
        <v>0.89100000000000001</v>
      </c>
      <c r="F24" s="297" t="s">
        <v>142</v>
      </c>
      <c r="G24" s="296" t="s">
        <v>986</v>
      </c>
    </row>
    <row r="25" spans="2:24" ht="16" x14ac:dyDescent="0.2">
      <c r="B25" s="761" t="s">
        <v>987</v>
      </c>
      <c r="C25" s="305">
        <f>E9</f>
        <v>0.96</v>
      </c>
      <c r="D25" s="888">
        <v>0.99</v>
      </c>
      <c r="E25" s="306">
        <f t="shared" si="2"/>
        <v>0.95039999999999991</v>
      </c>
      <c r="F25" s="302" t="s">
        <v>988</v>
      </c>
      <c r="G25" s="296"/>
    </row>
    <row r="26" spans="2:24" ht="16" x14ac:dyDescent="0.2">
      <c r="B26" s="761" t="s">
        <v>363</v>
      </c>
      <c r="C26" s="305">
        <f>E25</f>
        <v>0.95039999999999991</v>
      </c>
      <c r="D26" s="889">
        <v>0.99</v>
      </c>
      <c r="E26" s="300">
        <f t="shared" si="2"/>
        <v>0.94089599999999995</v>
      </c>
      <c r="F26" s="302" t="s">
        <v>988</v>
      </c>
      <c r="G26" s="301"/>
      <c r="H26" s="299"/>
    </row>
    <row r="27" spans="2:24" x14ac:dyDescent="0.2">
      <c r="B27" s="301" t="s">
        <v>207</v>
      </c>
      <c r="C27" s="305">
        <f>E26</f>
        <v>0.94089599999999995</v>
      </c>
      <c r="D27" s="890">
        <v>0.99</v>
      </c>
      <c r="E27" s="303">
        <f t="shared" si="2"/>
        <v>0.93148703999999993</v>
      </c>
      <c r="F27" s="302" t="s">
        <v>988</v>
      </c>
      <c r="G27" s="301" t="s">
        <v>989</v>
      </c>
      <c r="H27" s="299"/>
    </row>
    <row r="28" spans="2:24" ht="16" x14ac:dyDescent="0.2">
      <c r="B28" s="763" t="s">
        <v>990</v>
      </c>
      <c r="C28" s="305">
        <f>E25</f>
        <v>0.95039999999999991</v>
      </c>
      <c r="D28" s="890">
        <v>0.99</v>
      </c>
      <c r="E28" s="303">
        <f t="shared" si="2"/>
        <v>0.94089599999999995</v>
      </c>
      <c r="F28" s="302" t="s">
        <v>988</v>
      </c>
      <c r="G28" s="301" t="s">
        <v>991</v>
      </c>
      <c r="H28" s="299"/>
    </row>
    <row r="29" spans="2:24" x14ac:dyDescent="0.2">
      <c r="B29" s="299"/>
      <c r="C29" s="448"/>
      <c r="D29" s="299"/>
      <c r="E29" s="299"/>
      <c r="F29" s="299"/>
      <c r="G29" s="299"/>
      <c r="H29" s="299"/>
    </row>
    <row r="30" spans="2:24" x14ac:dyDescent="0.2">
      <c r="B30" s="886" t="s">
        <v>992</v>
      </c>
      <c r="C30" s="448"/>
      <c r="D30" s="299"/>
      <c r="E30" s="299"/>
      <c r="F30" s="299"/>
      <c r="G30" s="299"/>
      <c r="H30" s="299"/>
    </row>
    <row r="31" spans="2:24" x14ac:dyDescent="0.2">
      <c r="B31" s="302" t="s">
        <v>438</v>
      </c>
      <c r="C31" s="305">
        <f>E19</f>
        <v>0.98</v>
      </c>
      <c r="D31" s="890">
        <v>0.9</v>
      </c>
      <c r="E31" s="301">
        <f t="shared" ref="E31:E37" si="3">C31*D31</f>
        <v>0.88200000000000001</v>
      </c>
      <c r="F31" s="297" t="s">
        <v>142</v>
      </c>
      <c r="G31" s="299" t="s">
        <v>993</v>
      </c>
      <c r="H31" s="299"/>
      <c r="U31" s="259"/>
      <c r="V31" s="259"/>
      <c r="W31" s="259"/>
      <c r="X31" s="259"/>
    </row>
    <row r="32" spans="2:24" x14ac:dyDescent="0.2">
      <c r="B32" s="302" t="s">
        <v>438</v>
      </c>
      <c r="C32" s="305">
        <f>E20</f>
        <v>0.99</v>
      </c>
      <c r="D32" s="890">
        <v>0.98</v>
      </c>
      <c r="E32" s="301">
        <f t="shared" si="3"/>
        <v>0.97019999999999995</v>
      </c>
      <c r="F32" s="297" t="s">
        <v>142</v>
      </c>
      <c r="G32" s="299" t="s">
        <v>994</v>
      </c>
      <c r="H32" s="299"/>
      <c r="U32" s="259"/>
      <c r="V32" s="259"/>
      <c r="W32" s="259"/>
      <c r="X32" s="259"/>
    </row>
    <row r="33" spans="2:24" ht="16" x14ac:dyDescent="0.2">
      <c r="B33" s="763" t="s">
        <v>985</v>
      </c>
      <c r="C33" s="305">
        <f>E18</f>
        <v>0.99</v>
      </c>
      <c r="D33" s="890">
        <v>0.9</v>
      </c>
      <c r="E33" s="303">
        <f t="shared" si="3"/>
        <v>0.89100000000000001</v>
      </c>
      <c r="F33" s="297" t="s">
        <v>142</v>
      </c>
      <c r="G33" s="301" t="s">
        <v>986</v>
      </c>
      <c r="H33" s="299"/>
      <c r="U33" s="259"/>
      <c r="V33" s="259"/>
      <c r="W33" s="259"/>
      <c r="X33" s="259"/>
    </row>
    <row r="34" spans="2:24" x14ac:dyDescent="0.2">
      <c r="B34" s="301" t="s">
        <v>995</v>
      </c>
      <c r="C34" s="298">
        <f>E17</f>
        <v>0.97</v>
      </c>
      <c r="D34" s="890">
        <v>0.9</v>
      </c>
      <c r="E34" s="303">
        <f t="shared" si="3"/>
        <v>0.873</v>
      </c>
      <c r="F34" s="297" t="s">
        <v>142</v>
      </c>
      <c r="G34" s="301" t="s">
        <v>996</v>
      </c>
      <c r="H34" s="299"/>
      <c r="U34" s="259"/>
      <c r="V34" s="259"/>
      <c r="W34" s="259"/>
      <c r="X34" s="259"/>
    </row>
    <row r="35" spans="2:24" ht="16" x14ac:dyDescent="0.2">
      <c r="B35" s="761" t="s">
        <v>405</v>
      </c>
      <c r="C35" s="298">
        <f>E15</f>
        <v>0.95</v>
      </c>
      <c r="D35" s="888">
        <v>0.99</v>
      </c>
      <c r="E35" s="300">
        <f t="shared" si="3"/>
        <v>0.9405</v>
      </c>
      <c r="F35" s="302" t="s">
        <v>988</v>
      </c>
      <c r="G35" s="301"/>
      <c r="H35" s="299"/>
      <c r="U35" s="259"/>
      <c r="V35" s="259"/>
      <c r="W35" s="259"/>
      <c r="X35" s="259"/>
    </row>
    <row r="36" spans="2:24" ht="16" x14ac:dyDescent="0.2">
      <c r="B36" s="761" t="s">
        <v>212</v>
      </c>
      <c r="C36" s="298">
        <f>E35</f>
        <v>0.9405</v>
      </c>
      <c r="D36" s="883">
        <v>0.99</v>
      </c>
      <c r="E36" s="304">
        <f>C36*D36</f>
        <v>0.93109500000000001</v>
      </c>
      <c r="F36" s="302" t="s">
        <v>988</v>
      </c>
      <c r="G36" s="301" t="s">
        <v>997</v>
      </c>
      <c r="H36" s="299"/>
      <c r="U36" s="259"/>
      <c r="V36" s="259"/>
      <c r="W36" s="259"/>
      <c r="X36" s="259"/>
    </row>
    <row r="37" spans="2:24" ht="16" x14ac:dyDescent="0.2">
      <c r="B37" s="307" t="s">
        <v>998</v>
      </c>
      <c r="C37" s="449">
        <f>E16</f>
        <v>0.86</v>
      </c>
      <c r="D37" s="892">
        <v>0.85</v>
      </c>
      <c r="E37" s="308">
        <f t="shared" si="3"/>
        <v>0.73099999999999998</v>
      </c>
      <c r="F37" s="766" t="s">
        <v>999</v>
      </c>
      <c r="G37" s="307" t="s">
        <v>435</v>
      </c>
      <c r="U37" s="259"/>
      <c r="V37" s="259"/>
      <c r="W37" s="259"/>
      <c r="X37" s="259"/>
    </row>
    <row r="38" spans="2:24" x14ac:dyDescent="0.2">
      <c r="B38" s="259"/>
      <c r="C38" s="259"/>
      <c r="D38" s="259"/>
      <c r="E38" s="309"/>
      <c r="F38" s="259"/>
      <c r="G38" s="259"/>
      <c r="U38" s="259"/>
      <c r="V38" s="259"/>
      <c r="W38" s="259"/>
      <c r="X38" s="259"/>
    </row>
    <row r="39" spans="2:24" x14ac:dyDescent="0.2">
      <c r="B39" s="259"/>
      <c r="C39" s="259"/>
      <c r="D39" s="259"/>
      <c r="E39" s="309"/>
      <c r="F39" s="259"/>
      <c r="G39" s="259"/>
      <c r="U39" s="259"/>
      <c r="V39" s="259"/>
      <c r="W39" s="259"/>
      <c r="X39" s="259"/>
    </row>
    <row r="40" spans="2:24" x14ac:dyDescent="0.2">
      <c r="U40" s="259"/>
      <c r="V40" s="259"/>
      <c r="W40" s="259"/>
      <c r="X40" s="259"/>
    </row>
    <row r="41" spans="2:24" ht="19" x14ac:dyDescent="0.25">
      <c r="B41" s="310" t="s">
        <v>109</v>
      </c>
      <c r="C41" s="1046" t="s">
        <v>966</v>
      </c>
      <c r="D41" s="1047"/>
      <c r="E41" s="1048"/>
      <c r="F41" s="294" t="s">
        <v>621</v>
      </c>
      <c r="G41" s="294" t="s">
        <v>296</v>
      </c>
      <c r="U41" s="259"/>
      <c r="V41" s="259"/>
      <c r="W41" s="259"/>
      <c r="X41" s="259"/>
    </row>
    <row r="42" spans="2:24" ht="16" x14ac:dyDescent="0.2">
      <c r="B42" s="311"/>
      <c r="C42" s="764" t="s">
        <v>968</v>
      </c>
      <c r="D42" s="295" t="s">
        <v>85</v>
      </c>
      <c r="E42" s="295" t="s">
        <v>106</v>
      </c>
      <c r="F42" s="295"/>
      <c r="G42" s="295"/>
      <c r="U42" s="259"/>
      <c r="V42" s="259"/>
      <c r="W42" s="259"/>
      <c r="X42" s="259"/>
    </row>
    <row r="43" spans="2:24" x14ac:dyDescent="0.2">
      <c r="B43" s="296"/>
      <c r="C43" s="312"/>
      <c r="D43" s="312"/>
      <c r="E43" s="312"/>
      <c r="F43" s="312"/>
      <c r="G43" s="312"/>
      <c r="H43" s="259"/>
      <c r="U43" s="259"/>
      <c r="V43" s="259"/>
      <c r="W43" s="259"/>
      <c r="X43" s="259"/>
    </row>
    <row r="44" spans="2:24" x14ac:dyDescent="0.2">
      <c r="B44" s="296" t="s">
        <v>970</v>
      </c>
      <c r="C44" s="296"/>
      <c r="D44" s="883">
        <v>0.99</v>
      </c>
      <c r="E44" s="296">
        <v>0.99</v>
      </c>
      <c r="F44" s="297" t="s">
        <v>142</v>
      </c>
      <c r="G44" s="296"/>
      <c r="H44" s="259"/>
      <c r="U44" s="259"/>
      <c r="V44" s="259"/>
      <c r="W44" s="259"/>
      <c r="X44" s="259"/>
    </row>
    <row r="45" spans="2:24" x14ac:dyDescent="0.2">
      <c r="B45" s="296"/>
      <c r="C45" s="296"/>
      <c r="D45" s="296"/>
      <c r="E45" s="296"/>
      <c r="F45" s="297"/>
      <c r="G45" s="296"/>
      <c r="H45" s="259"/>
      <c r="U45" s="259"/>
      <c r="V45" s="259"/>
      <c r="W45" s="259"/>
      <c r="X45" s="259"/>
    </row>
    <row r="46" spans="2:24" ht="16" x14ac:dyDescent="0.2">
      <c r="B46" s="761" t="s">
        <v>193</v>
      </c>
      <c r="C46" s="298">
        <v>0.99</v>
      </c>
      <c r="D46" s="883">
        <v>0.8</v>
      </c>
      <c r="E46" s="296">
        <f>C46*D46</f>
        <v>0.79200000000000004</v>
      </c>
      <c r="F46" s="302" t="s">
        <v>1000</v>
      </c>
      <c r="G46" s="296" t="s">
        <v>1001</v>
      </c>
      <c r="H46" s="259"/>
      <c r="U46" s="259"/>
      <c r="V46" s="259"/>
      <c r="W46" s="259"/>
      <c r="X46" s="259"/>
    </row>
    <row r="47" spans="2:24" x14ac:dyDescent="0.2">
      <c r="B47" s="296" t="s">
        <v>190</v>
      </c>
      <c r="C47" s="450"/>
      <c r="D47" s="887">
        <v>0.98</v>
      </c>
      <c r="E47" s="313">
        <f>D47</f>
        <v>0.98</v>
      </c>
      <c r="F47" s="297" t="s">
        <v>142</v>
      </c>
      <c r="G47" s="296"/>
      <c r="H47" s="259"/>
      <c r="T47" s="259"/>
      <c r="U47" s="259"/>
      <c r="V47" s="259"/>
      <c r="W47" s="259"/>
      <c r="X47" s="259"/>
    </row>
    <row r="48" spans="2:24" ht="16" x14ac:dyDescent="0.2">
      <c r="B48" s="761" t="s">
        <v>1002</v>
      </c>
      <c r="C48" s="450"/>
      <c r="D48" s="887">
        <v>0.95</v>
      </c>
      <c r="E48" s="313">
        <f t="shared" ref="E48:E53" si="4">D48</f>
        <v>0.95</v>
      </c>
      <c r="F48" s="302" t="s">
        <v>988</v>
      </c>
      <c r="G48" s="296"/>
      <c r="H48" s="259"/>
      <c r="T48" s="259"/>
      <c r="U48" s="259"/>
      <c r="V48" s="259"/>
      <c r="W48" s="259"/>
      <c r="X48" s="259"/>
    </row>
    <row r="49" spans="2:24" x14ac:dyDescent="0.2">
      <c r="B49" s="296" t="s">
        <v>1003</v>
      </c>
      <c r="C49" s="298"/>
      <c r="D49" s="887">
        <v>0.9</v>
      </c>
      <c r="E49" s="313">
        <f t="shared" si="4"/>
        <v>0.9</v>
      </c>
      <c r="F49" s="302" t="s">
        <v>988</v>
      </c>
      <c r="G49" s="296" t="s">
        <v>1004</v>
      </c>
      <c r="H49" s="259"/>
      <c r="T49" s="259"/>
      <c r="U49" s="259"/>
      <c r="V49" s="259"/>
      <c r="W49" s="259"/>
      <c r="X49" s="259"/>
    </row>
    <row r="50" spans="2:24" x14ac:dyDescent="0.2">
      <c r="B50" s="296" t="s">
        <v>438</v>
      </c>
      <c r="C50" s="298"/>
      <c r="D50" s="887">
        <v>0.85</v>
      </c>
      <c r="E50" s="313">
        <f t="shared" si="4"/>
        <v>0.85</v>
      </c>
      <c r="F50" s="302" t="s">
        <v>988</v>
      </c>
      <c r="G50" s="296" t="s">
        <v>1005</v>
      </c>
      <c r="H50" s="259"/>
      <c r="I50" s="259"/>
      <c r="J50" s="259"/>
      <c r="K50" s="259"/>
      <c r="L50" s="259"/>
      <c r="M50" s="259"/>
      <c r="P50" s="259"/>
      <c r="Q50" s="259"/>
      <c r="R50" s="259"/>
      <c r="S50" s="259"/>
      <c r="T50" s="259"/>
      <c r="U50" s="259"/>
      <c r="V50" s="259"/>
      <c r="W50" s="259"/>
      <c r="X50" s="259"/>
    </row>
    <row r="51" spans="2:24" x14ac:dyDescent="0.2">
      <c r="B51" s="296" t="s">
        <v>1006</v>
      </c>
      <c r="C51" s="298"/>
      <c r="D51" s="887">
        <v>0.98</v>
      </c>
      <c r="E51" s="313">
        <f t="shared" si="4"/>
        <v>0.98</v>
      </c>
      <c r="F51" s="302" t="s">
        <v>988</v>
      </c>
      <c r="G51" s="296"/>
      <c r="H51" s="259"/>
      <c r="I51" s="259"/>
      <c r="J51" s="259"/>
      <c r="K51" s="259"/>
      <c r="L51" s="259"/>
      <c r="M51" s="259"/>
      <c r="P51" s="259"/>
      <c r="Q51" s="259"/>
      <c r="R51" s="259"/>
      <c r="S51" s="259"/>
      <c r="T51" s="259"/>
      <c r="U51" s="259"/>
      <c r="V51" s="259"/>
      <c r="W51" s="259"/>
      <c r="X51" s="259"/>
    </row>
    <row r="52" spans="2:24" x14ac:dyDescent="0.2">
      <c r="B52" s="296" t="s">
        <v>1007</v>
      </c>
      <c r="C52" s="298"/>
      <c r="D52" s="887">
        <v>0.97</v>
      </c>
      <c r="E52" s="313">
        <f t="shared" si="4"/>
        <v>0.97</v>
      </c>
      <c r="F52" s="302" t="s">
        <v>988</v>
      </c>
      <c r="G52" s="296"/>
      <c r="H52" s="259"/>
      <c r="I52" s="259"/>
      <c r="J52" s="259"/>
      <c r="K52" s="259"/>
      <c r="L52" s="259"/>
      <c r="M52" s="259"/>
      <c r="P52" s="259"/>
      <c r="Q52" s="259"/>
      <c r="R52" s="259"/>
      <c r="S52" s="259"/>
      <c r="T52" s="259"/>
      <c r="U52" s="259"/>
      <c r="V52" s="259"/>
      <c r="W52" s="259"/>
      <c r="X52" s="259"/>
    </row>
    <row r="53" spans="2:24" ht="16" x14ac:dyDescent="0.2">
      <c r="B53" s="761" t="s">
        <v>1008</v>
      </c>
      <c r="C53" s="298"/>
      <c r="D53" s="887">
        <v>0.95</v>
      </c>
      <c r="E53" s="313">
        <f t="shared" si="4"/>
        <v>0.95</v>
      </c>
      <c r="F53" s="302" t="s">
        <v>988</v>
      </c>
      <c r="G53" s="296"/>
      <c r="H53" s="259"/>
      <c r="I53" s="259"/>
      <c r="J53" s="259"/>
      <c r="K53" s="259"/>
      <c r="L53" s="259"/>
      <c r="M53" s="259"/>
      <c r="P53" s="259"/>
      <c r="Q53" s="259"/>
      <c r="R53" s="259"/>
      <c r="S53" s="259"/>
      <c r="T53" s="259"/>
      <c r="U53" s="259"/>
      <c r="V53" s="259"/>
      <c r="W53" s="259"/>
      <c r="X53" s="259"/>
    </row>
    <row r="54" spans="2:24" x14ac:dyDescent="0.2">
      <c r="B54" s="163"/>
      <c r="C54" s="298"/>
      <c r="D54" s="296"/>
      <c r="E54" s="296"/>
      <c r="F54" s="297"/>
      <c r="G54" s="296"/>
      <c r="H54" s="259"/>
      <c r="I54" s="259"/>
      <c r="J54" s="259"/>
      <c r="K54" s="259"/>
      <c r="L54" s="259"/>
      <c r="M54" s="259"/>
      <c r="P54" s="259"/>
      <c r="Q54" s="259"/>
      <c r="R54" s="259"/>
      <c r="S54" s="259"/>
      <c r="T54" s="259"/>
      <c r="U54" s="259"/>
      <c r="V54" s="259"/>
      <c r="W54" s="259"/>
      <c r="X54" s="259"/>
    </row>
    <row r="55" spans="2:24" ht="16" x14ac:dyDescent="0.2">
      <c r="B55" s="761" t="s">
        <v>1009</v>
      </c>
      <c r="C55" s="298"/>
      <c r="D55" s="883">
        <v>0.98</v>
      </c>
      <c r="E55" s="304">
        <f>D55</f>
        <v>0.98</v>
      </c>
      <c r="F55" s="302" t="s">
        <v>988</v>
      </c>
      <c r="G55" s="296" t="s">
        <v>59</v>
      </c>
      <c r="H55" s="259"/>
      <c r="I55" s="259"/>
      <c r="J55" s="259"/>
      <c r="K55" s="259"/>
      <c r="L55" s="259"/>
      <c r="M55" s="259"/>
      <c r="P55" s="259"/>
      <c r="Q55" s="259"/>
      <c r="R55" s="259"/>
      <c r="S55" s="259"/>
      <c r="T55" s="259"/>
      <c r="U55" s="259"/>
      <c r="V55" s="259"/>
      <c r="W55" s="259"/>
      <c r="X55" s="259"/>
    </row>
    <row r="56" spans="2:24" x14ac:dyDescent="0.2">
      <c r="B56" s="296" t="s">
        <v>983</v>
      </c>
      <c r="C56" s="298"/>
      <c r="D56" s="883">
        <v>0.97</v>
      </c>
      <c r="E56" s="304">
        <f>D56</f>
        <v>0.97</v>
      </c>
      <c r="F56" s="297" t="s">
        <v>1010</v>
      </c>
      <c r="G56" s="296" t="s">
        <v>984</v>
      </c>
      <c r="H56" s="259"/>
      <c r="I56" s="259"/>
      <c r="J56" s="259"/>
      <c r="K56" s="259"/>
      <c r="L56" s="259"/>
      <c r="M56" s="259"/>
      <c r="P56" s="259"/>
      <c r="Q56" s="259"/>
      <c r="R56" s="259"/>
      <c r="S56" s="259"/>
      <c r="T56" s="259"/>
      <c r="U56" s="259"/>
      <c r="V56" s="259"/>
      <c r="W56" s="259"/>
      <c r="X56" s="259"/>
    </row>
    <row r="57" spans="2:24" x14ac:dyDescent="0.2">
      <c r="B57" s="296" t="s">
        <v>985</v>
      </c>
      <c r="C57" s="298"/>
      <c r="D57" s="883">
        <v>0.92</v>
      </c>
      <c r="E57" s="304">
        <f>D57</f>
        <v>0.92</v>
      </c>
      <c r="F57" s="297" t="s">
        <v>1010</v>
      </c>
      <c r="G57" s="296" t="s">
        <v>986</v>
      </c>
      <c r="H57" s="259"/>
      <c r="I57" s="259"/>
      <c r="J57" s="259"/>
      <c r="K57" s="259"/>
      <c r="L57" s="259"/>
      <c r="M57" s="259"/>
      <c r="P57" s="259"/>
      <c r="Q57" s="259"/>
      <c r="R57" s="259"/>
      <c r="S57" s="259"/>
      <c r="T57" s="259"/>
      <c r="U57" s="259"/>
      <c r="V57" s="259"/>
      <c r="W57" s="259"/>
      <c r="X57" s="259"/>
    </row>
    <row r="58" spans="2:24" x14ac:dyDescent="0.2">
      <c r="B58" s="296" t="s">
        <v>995</v>
      </c>
      <c r="C58" s="298"/>
      <c r="D58" s="883">
        <v>0.92</v>
      </c>
      <c r="E58" s="304">
        <f>D58</f>
        <v>0.92</v>
      </c>
      <c r="F58" s="297" t="s">
        <v>1010</v>
      </c>
      <c r="G58" s="296" t="s">
        <v>996</v>
      </c>
      <c r="H58" s="259"/>
      <c r="I58" s="259"/>
      <c r="J58" s="259"/>
      <c r="K58" s="259"/>
      <c r="L58" s="259"/>
      <c r="M58" s="259"/>
      <c r="P58" s="259"/>
      <c r="Q58" s="259"/>
      <c r="R58" s="259"/>
      <c r="S58" s="259"/>
      <c r="T58" s="259"/>
      <c r="U58" s="259"/>
      <c r="V58" s="259"/>
      <c r="W58" s="259"/>
      <c r="X58" s="259"/>
    </row>
    <row r="59" spans="2:24" ht="16" x14ac:dyDescent="0.2">
      <c r="B59" s="761" t="s">
        <v>987</v>
      </c>
      <c r="C59" s="298"/>
      <c r="D59" s="888">
        <v>0.99</v>
      </c>
      <c r="E59" s="306">
        <f>D59</f>
        <v>0.99</v>
      </c>
      <c r="F59" s="302" t="s">
        <v>988</v>
      </c>
      <c r="G59" s="296"/>
      <c r="H59" s="259"/>
      <c r="I59" s="259"/>
      <c r="J59" s="259"/>
      <c r="K59" s="259"/>
      <c r="L59" s="259"/>
      <c r="M59" s="259"/>
      <c r="P59" s="259"/>
      <c r="Q59" s="259"/>
      <c r="R59" s="259"/>
      <c r="S59" s="259"/>
      <c r="T59" s="259"/>
      <c r="U59" s="259"/>
      <c r="V59" s="259"/>
      <c r="W59" s="259"/>
      <c r="X59" s="259"/>
    </row>
    <row r="60" spans="2:24" x14ac:dyDescent="0.2">
      <c r="B60" s="296" t="s">
        <v>484</v>
      </c>
      <c r="C60" s="298">
        <f>E59</f>
        <v>0.99</v>
      </c>
      <c r="D60" s="888">
        <v>0.99</v>
      </c>
      <c r="E60" s="306">
        <f t="shared" ref="E60:E64" si="5">C60*D60</f>
        <v>0.98009999999999997</v>
      </c>
      <c r="F60" s="302" t="s">
        <v>988</v>
      </c>
      <c r="G60" s="296"/>
      <c r="H60" s="259"/>
      <c r="I60" s="259"/>
      <c r="J60" s="259"/>
      <c r="K60" s="259"/>
      <c r="L60" s="259"/>
      <c r="M60" s="259"/>
      <c r="P60" s="259"/>
      <c r="Q60" s="259"/>
      <c r="R60" s="259"/>
      <c r="S60" s="259"/>
      <c r="T60" s="259"/>
      <c r="U60" s="259"/>
      <c r="V60" s="259"/>
      <c r="W60" s="259"/>
      <c r="X60" s="259"/>
    </row>
    <row r="61" spans="2:24" ht="16" x14ac:dyDescent="0.2">
      <c r="B61" s="761" t="s">
        <v>207</v>
      </c>
      <c r="C61" s="298">
        <f>E60</f>
        <v>0.98009999999999997</v>
      </c>
      <c r="D61" s="883">
        <v>0.99</v>
      </c>
      <c r="E61" s="304">
        <f t="shared" si="5"/>
        <v>0.97029899999999991</v>
      </c>
      <c r="F61" s="302" t="s">
        <v>988</v>
      </c>
      <c r="G61" s="296" t="s">
        <v>989</v>
      </c>
      <c r="H61" s="259"/>
      <c r="I61" s="259"/>
      <c r="J61" s="259"/>
      <c r="K61" s="259"/>
      <c r="L61" s="259"/>
      <c r="M61" s="259"/>
      <c r="P61" s="259"/>
      <c r="Q61" s="259"/>
      <c r="R61" s="259"/>
      <c r="S61" s="259"/>
      <c r="T61" s="259"/>
      <c r="U61" s="259"/>
      <c r="V61" s="259"/>
      <c r="W61" s="259"/>
      <c r="X61" s="259"/>
    </row>
    <row r="62" spans="2:24" ht="16" x14ac:dyDescent="0.2">
      <c r="B62" s="761" t="s">
        <v>990</v>
      </c>
      <c r="C62" s="298">
        <f>E59</f>
        <v>0.99</v>
      </c>
      <c r="D62" s="883">
        <v>0.99</v>
      </c>
      <c r="E62" s="304">
        <f>C62*D62</f>
        <v>0.98009999999999997</v>
      </c>
      <c r="F62" s="302" t="s">
        <v>988</v>
      </c>
      <c r="G62" s="296" t="s">
        <v>991</v>
      </c>
      <c r="H62" s="259"/>
      <c r="I62" s="259"/>
      <c r="J62" s="259"/>
      <c r="K62" s="259"/>
      <c r="L62" s="259"/>
      <c r="M62" s="259"/>
      <c r="P62" s="259"/>
      <c r="Q62" s="259"/>
      <c r="R62" s="259"/>
      <c r="S62" s="259"/>
      <c r="T62" s="259"/>
      <c r="U62" s="259"/>
      <c r="V62" s="259"/>
      <c r="W62" s="259"/>
      <c r="X62" s="259"/>
    </row>
    <row r="63" spans="2:24" ht="16" x14ac:dyDescent="0.2">
      <c r="B63" s="761" t="s">
        <v>405</v>
      </c>
      <c r="C63" s="298"/>
      <c r="D63" s="888">
        <v>0.99</v>
      </c>
      <c r="E63" s="306">
        <f>D63</f>
        <v>0.99</v>
      </c>
      <c r="F63" s="302" t="s">
        <v>988</v>
      </c>
      <c r="G63" s="296"/>
      <c r="H63" s="259"/>
      <c r="I63" s="259"/>
      <c r="J63" s="259"/>
      <c r="K63" s="259"/>
      <c r="L63" s="259"/>
      <c r="M63" s="259"/>
      <c r="P63" s="259"/>
      <c r="Q63" s="259"/>
      <c r="R63" s="259"/>
      <c r="S63" s="259"/>
      <c r="T63" s="259"/>
      <c r="U63" s="259"/>
      <c r="V63" s="259"/>
      <c r="W63" s="259"/>
      <c r="X63" s="259"/>
    </row>
    <row r="64" spans="2:24" ht="16" x14ac:dyDescent="0.2">
      <c r="B64" s="761" t="s">
        <v>212</v>
      </c>
      <c r="C64" s="298">
        <f>E63</f>
        <v>0.99</v>
      </c>
      <c r="D64" s="883">
        <v>0.99</v>
      </c>
      <c r="E64" s="304">
        <f t="shared" si="5"/>
        <v>0.98009999999999997</v>
      </c>
      <c r="F64" s="302" t="s">
        <v>988</v>
      </c>
      <c r="G64" s="296" t="s">
        <v>997</v>
      </c>
      <c r="H64" s="259"/>
      <c r="I64" s="259"/>
      <c r="J64" s="259"/>
      <c r="K64" s="259"/>
      <c r="L64" s="259"/>
      <c r="M64" s="259"/>
      <c r="P64" s="259"/>
      <c r="Q64" s="259"/>
      <c r="R64" s="259"/>
      <c r="S64" s="259"/>
      <c r="T64" s="259"/>
      <c r="U64" s="259"/>
      <c r="V64" s="259"/>
      <c r="W64" s="259"/>
      <c r="X64" s="259"/>
    </row>
    <row r="65" spans="2:24" ht="16" x14ac:dyDescent="0.2">
      <c r="B65" s="765" t="s">
        <v>1011</v>
      </c>
      <c r="C65" s="449"/>
      <c r="D65" s="892">
        <v>0.85</v>
      </c>
      <c r="E65" s="308">
        <f>D65</f>
        <v>0.85</v>
      </c>
      <c r="F65" s="766" t="s">
        <v>999</v>
      </c>
      <c r="G65" s="307" t="s">
        <v>435</v>
      </c>
      <c r="H65" s="259"/>
      <c r="I65" s="259"/>
      <c r="J65" s="259"/>
      <c r="K65" s="259"/>
      <c r="L65" s="259"/>
      <c r="M65" s="259"/>
      <c r="P65" s="259"/>
      <c r="Q65" s="259"/>
      <c r="R65" s="259"/>
      <c r="S65" s="259"/>
      <c r="T65" s="259"/>
      <c r="U65" s="259"/>
      <c r="V65" s="259"/>
      <c r="W65" s="259"/>
      <c r="X65" s="259"/>
    </row>
    <row r="66" spans="2:24" x14ac:dyDescent="0.2">
      <c r="H66" s="259"/>
      <c r="I66" s="259"/>
      <c r="J66" s="259"/>
      <c r="K66" s="259"/>
      <c r="L66" s="259"/>
      <c r="M66" s="259"/>
      <c r="P66" s="259"/>
      <c r="Q66" s="259"/>
    </row>
    <row r="67" spans="2:24" x14ac:dyDescent="0.2">
      <c r="H67" s="259"/>
      <c r="I67" s="259"/>
      <c r="J67" s="259"/>
      <c r="K67" s="259"/>
      <c r="L67" s="259"/>
      <c r="M67" s="259"/>
      <c r="P67" s="259"/>
    </row>
    <row r="69" spans="2:24" ht="19" x14ac:dyDescent="0.25">
      <c r="B69" s="310" t="s">
        <v>110</v>
      </c>
      <c r="C69" s="1046" t="s">
        <v>966</v>
      </c>
      <c r="D69" s="1047"/>
      <c r="E69" s="1048"/>
      <c r="F69" s="294" t="s">
        <v>621</v>
      </c>
      <c r="G69" s="294" t="s">
        <v>296</v>
      </c>
    </row>
    <row r="70" spans="2:24" ht="16" x14ac:dyDescent="0.2">
      <c r="B70" s="311"/>
      <c r="C70" s="764" t="s">
        <v>968</v>
      </c>
      <c r="D70" s="295" t="s">
        <v>85</v>
      </c>
      <c r="E70" s="295" t="s">
        <v>106</v>
      </c>
      <c r="F70" s="295"/>
      <c r="G70" s="295"/>
    </row>
    <row r="71" spans="2:24" x14ac:dyDescent="0.2">
      <c r="B71" s="296"/>
      <c r="C71" s="312"/>
      <c r="D71" s="312"/>
      <c r="E71" s="312"/>
      <c r="F71" s="312"/>
      <c r="G71" s="312"/>
    </row>
    <row r="72" spans="2:24" ht="16" x14ac:dyDescent="0.2">
      <c r="B72" s="761" t="s">
        <v>1012</v>
      </c>
      <c r="C72" s="296"/>
      <c r="D72" s="883">
        <v>0.99</v>
      </c>
      <c r="E72" s="296">
        <f>D72</f>
        <v>0.99</v>
      </c>
      <c r="F72" s="297" t="s">
        <v>142</v>
      </c>
      <c r="G72" s="296"/>
    </row>
    <row r="73" spans="2:24" x14ac:dyDescent="0.2">
      <c r="B73" s="296"/>
      <c r="C73" s="296"/>
      <c r="D73" s="296"/>
      <c r="E73" s="296"/>
      <c r="F73" s="297"/>
      <c r="G73" s="296"/>
    </row>
    <row r="74" spans="2:24" ht="16" x14ac:dyDescent="0.2">
      <c r="B74" s="761" t="s">
        <v>190</v>
      </c>
      <c r="C74" s="450"/>
      <c r="D74" s="887">
        <v>0.98</v>
      </c>
      <c r="E74" s="313">
        <f>D74</f>
        <v>0.98</v>
      </c>
      <c r="F74" s="297" t="s">
        <v>142</v>
      </c>
      <c r="G74" s="296"/>
      <c r="H74" s="259"/>
      <c r="T74" s="259"/>
      <c r="U74" s="259"/>
      <c r="V74" s="259"/>
      <c r="W74" s="259"/>
      <c r="X74" s="259"/>
    </row>
    <row r="75" spans="2:24" x14ac:dyDescent="0.2">
      <c r="B75" s="296" t="s">
        <v>1013</v>
      </c>
      <c r="C75" s="298"/>
      <c r="D75" s="887">
        <v>0.85</v>
      </c>
      <c r="E75" s="313">
        <f t="shared" ref="E75:E85" si="6">D75</f>
        <v>0.85</v>
      </c>
      <c r="F75" s="302" t="s">
        <v>988</v>
      </c>
      <c r="G75" s="296" t="s">
        <v>1005</v>
      </c>
      <c r="H75" s="259"/>
      <c r="I75" s="259"/>
      <c r="J75" s="259"/>
      <c r="K75" s="259"/>
      <c r="L75" s="259"/>
      <c r="M75" s="259"/>
      <c r="P75" s="259"/>
      <c r="Q75" s="259"/>
      <c r="R75" s="259"/>
      <c r="S75" s="259"/>
      <c r="T75" s="259"/>
      <c r="U75" s="259"/>
      <c r="V75" s="259"/>
      <c r="W75" s="259"/>
      <c r="X75" s="259"/>
    </row>
    <row r="76" spans="2:24" x14ac:dyDescent="0.2">
      <c r="B76" s="296" t="s">
        <v>1014</v>
      </c>
      <c r="C76" s="298"/>
      <c r="D76" s="887">
        <v>0.96</v>
      </c>
      <c r="E76" s="313">
        <f t="shared" si="6"/>
        <v>0.96</v>
      </c>
      <c r="F76" s="297" t="s">
        <v>1015</v>
      </c>
      <c r="G76" s="296"/>
      <c r="H76" s="259"/>
      <c r="I76" s="259"/>
      <c r="J76" s="259"/>
      <c r="K76" s="259"/>
      <c r="L76" s="259"/>
      <c r="M76" s="259"/>
      <c r="P76" s="259"/>
      <c r="Q76" s="259"/>
      <c r="R76" s="259"/>
      <c r="S76" s="259"/>
      <c r="T76" s="259"/>
      <c r="U76" s="259"/>
      <c r="V76" s="259"/>
      <c r="W76" s="259"/>
      <c r="X76" s="259"/>
    </row>
    <row r="77" spans="2:24" x14ac:dyDescent="0.2">
      <c r="B77" s="296" t="s">
        <v>1016</v>
      </c>
      <c r="C77" s="298"/>
      <c r="D77" s="887">
        <v>0.97</v>
      </c>
      <c r="E77" s="313">
        <f t="shared" si="6"/>
        <v>0.97</v>
      </c>
      <c r="F77" s="297" t="s">
        <v>1015</v>
      </c>
      <c r="G77" s="296"/>
      <c r="H77" s="259"/>
      <c r="I77" s="259"/>
      <c r="J77" s="259"/>
      <c r="K77" s="259"/>
      <c r="L77" s="259"/>
      <c r="M77" s="259"/>
      <c r="P77" s="259"/>
      <c r="Q77" s="259"/>
      <c r="R77" s="259"/>
      <c r="S77" s="259"/>
      <c r="T77" s="259"/>
      <c r="U77" s="259"/>
      <c r="V77" s="259"/>
      <c r="W77" s="259"/>
      <c r="X77" s="259"/>
    </row>
    <row r="78" spans="2:24" x14ac:dyDescent="0.2">
      <c r="B78" s="296" t="s">
        <v>1017</v>
      </c>
      <c r="C78" s="298"/>
      <c r="D78" s="887">
        <v>0.79</v>
      </c>
      <c r="E78" s="313">
        <f t="shared" si="6"/>
        <v>0.79</v>
      </c>
      <c r="F78" s="297" t="s">
        <v>1015</v>
      </c>
      <c r="G78" s="296"/>
      <c r="H78" s="259"/>
      <c r="I78" s="259"/>
      <c r="J78" s="259"/>
      <c r="K78" s="259"/>
      <c r="L78" s="259"/>
      <c r="M78" s="259"/>
      <c r="P78" s="259"/>
      <c r="Q78" s="259"/>
      <c r="R78" s="259"/>
      <c r="S78" s="259"/>
      <c r="T78" s="259"/>
      <c r="U78" s="259"/>
      <c r="V78" s="259"/>
      <c r="W78" s="259"/>
      <c r="X78" s="259"/>
    </row>
    <row r="79" spans="2:24" x14ac:dyDescent="0.2">
      <c r="B79" s="296"/>
      <c r="C79" s="298"/>
      <c r="D79" s="313"/>
      <c r="E79" s="313"/>
      <c r="F79" s="297"/>
      <c r="G79" s="296"/>
      <c r="H79" s="259"/>
      <c r="I79" s="259"/>
      <c r="J79" s="259"/>
      <c r="K79" s="259"/>
      <c r="L79" s="259"/>
      <c r="M79" s="259"/>
      <c r="P79" s="259"/>
      <c r="Q79" s="259"/>
      <c r="R79" s="259"/>
      <c r="S79" s="259"/>
      <c r="T79" s="259"/>
      <c r="U79" s="259"/>
      <c r="V79" s="259"/>
      <c r="W79" s="259"/>
      <c r="X79" s="259"/>
    </row>
    <row r="80" spans="2:24" x14ac:dyDescent="0.2">
      <c r="B80" s="296"/>
      <c r="C80" s="298"/>
      <c r="D80" s="313"/>
      <c r="E80" s="313"/>
      <c r="F80" s="297"/>
      <c r="G80" s="296"/>
      <c r="H80" s="259"/>
      <c r="I80" s="259"/>
      <c r="J80" s="259"/>
      <c r="K80" s="259"/>
      <c r="L80" s="259"/>
      <c r="M80" s="259"/>
      <c r="P80" s="259"/>
      <c r="Q80" s="259"/>
      <c r="R80" s="259"/>
      <c r="S80" s="259"/>
      <c r="T80" s="259"/>
      <c r="U80" s="259"/>
      <c r="V80" s="259"/>
      <c r="W80" s="259"/>
      <c r="X80" s="259"/>
    </row>
    <row r="81" spans="2:24" x14ac:dyDescent="0.2">
      <c r="B81" s="296"/>
      <c r="C81" s="298"/>
      <c r="D81" s="313"/>
      <c r="E81" s="313"/>
      <c r="F81" s="297"/>
      <c r="G81" s="296"/>
      <c r="H81" s="259"/>
      <c r="I81" s="259"/>
      <c r="J81" s="259"/>
      <c r="K81" s="259"/>
      <c r="L81" s="259"/>
      <c r="M81" s="259"/>
      <c r="P81" s="259"/>
      <c r="Q81" s="259"/>
      <c r="R81" s="259"/>
      <c r="S81" s="259"/>
      <c r="T81" s="259"/>
      <c r="U81" s="259"/>
      <c r="V81" s="259"/>
      <c r="W81" s="259"/>
      <c r="X81" s="259"/>
    </row>
    <row r="82" spans="2:24" x14ac:dyDescent="0.2">
      <c r="B82" s="296"/>
      <c r="C82" s="298"/>
      <c r="D82" s="313"/>
      <c r="E82" s="313"/>
      <c r="F82" s="297"/>
      <c r="G82" s="296"/>
      <c r="H82" s="259"/>
      <c r="I82" s="259"/>
      <c r="J82" s="259"/>
      <c r="K82" s="259"/>
      <c r="L82" s="259"/>
      <c r="M82" s="259"/>
      <c r="P82" s="259"/>
      <c r="Q82" s="259"/>
      <c r="R82" s="259"/>
      <c r="S82" s="259"/>
      <c r="T82" s="259"/>
      <c r="U82" s="259"/>
      <c r="V82" s="259"/>
      <c r="W82" s="259"/>
      <c r="X82" s="259"/>
    </row>
    <row r="83" spans="2:24" ht="16" x14ac:dyDescent="0.2">
      <c r="B83" s="761" t="s">
        <v>1018</v>
      </c>
      <c r="C83" s="298"/>
      <c r="D83" s="887">
        <v>0.98</v>
      </c>
      <c r="E83" s="313">
        <f t="shared" si="6"/>
        <v>0.98</v>
      </c>
      <c r="F83" s="302" t="s">
        <v>988</v>
      </c>
      <c r="G83" s="296"/>
      <c r="H83" s="259"/>
      <c r="I83" s="259"/>
      <c r="J83" s="259"/>
      <c r="K83" s="259"/>
      <c r="L83" s="259"/>
      <c r="M83" s="259"/>
      <c r="P83" s="259"/>
      <c r="Q83" s="259"/>
      <c r="R83" s="259"/>
      <c r="S83" s="259"/>
      <c r="T83" s="259"/>
      <c r="U83" s="259"/>
      <c r="V83" s="259"/>
      <c r="W83" s="259"/>
      <c r="X83" s="259"/>
    </row>
    <row r="84" spans="2:24" ht="16" x14ac:dyDescent="0.2">
      <c r="B84" s="761" t="s">
        <v>1019</v>
      </c>
      <c r="C84" s="298"/>
      <c r="D84" s="887">
        <v>0.97</v>
      </c>
      <c r="E84" s="313">
        <f t="shared" si="6"/>
        <v>0.97</v>
      </c>
      <c r="F84" s="302" t="s">
        <v>988</v>
      </c>
      <c r="G84" s="296"/>
      <c r="H84" s="259"/>
      <c r="I84" s="259"/>
      <c r="J84" s="259"/>
      <c r="K84" s="259"/>
      <c r="L84" s="259"/>
      <c r="M84" s="259"/>
      <c r="P84" s="259"/>
      <c r="Q84" s="259"/>
      <c r="R84" s="259"/>
      <c r="S84" s="259"/>
      <c r="T84" s="259"/>
      <c r="U84" s="259"/>
      <c r="V84" s="259"/>
      <c r="W84" s="259"/>
      <c r="X84" s="259"/>
    </row>
    <row r="85" spans="2:24" x14ac:dyDescent="0.2">
      <c r="B85" s="296" t="s">
        <v>1020</v>
      </c>
      <c r="C85" s="298"/>
      <c r="D85" s="887">
        <v>0.95</v>
      </c>
      <c r="E85" s="313">
        <f t="shared" si="6"/>
        <v>0.95</v>
      </c>
      <c r="F85" s="302" t="s">
        <v>988</v>
      </c>
      <c r="G85" s="296"/>
      <c r="H85" s="259"/>
      <c r="I85" s="259"/>
      <c r="J85" s="259"/>
      <c r="K85" s="259"/>
      <c r="L85" s="259"/>
      <c r="M85" s="259"/>
      <c r="P85" s="259"/>
      <c r="Q85" s="259"/>
      <c r="R85" s="259"/>
      <c r="S85" s="259"/>
      <c r="T85" s="259"/>
      <c r="U85" s="259"/>
      <c r="V85" s="259"/>
      <c r="W85" s="259"/>
      <c r="X85" s="259"/>
    </row>
    <row r="86" spans="2:24" x14ac:dyDescent="0.2">
      <c r="B86" s="296"/>
      <c r="C86" s="298"/>
      <c r="D86" s="313"/>
      <c r="E86" s="313"/>
      <c r="F86" s="297"/>
      <c r="G86" s="296"/>
    </row>
    <row r="87" spans="2:24" ht="16" x14ac:dyDescent="0.2">
      <c r="B87" s="884" t="s">
        <v>971</v>
      </c>
      <c r="C87" s="296"/>
      <c r="D87" s="296"/>
      <c r="E87" s="296"/>
      <c r="F87" s="297"/>
      <c r="G87" s="296"/>
    </row>
    <row r="88" spans="2:24" x14ac:dyDescent="0.2">
      <c r="B88" s="296" t="s">
        <v>100</v>
      </c>
      <c r="C88" s="298">
        <v>0.96</v>
      </c>
      <c r="D88" s="888">
        <v>0.96</v>
      </c>
      <c r="E88" s="298">
        <f>C88*D88</f>
        <v>0.92159999999999997</v>
      </c>
      <c r="F88" s="297" t="s">
        <v>1021</v>
      </c>
      <c r="G88" s="296" t="s">
        <v>973</v>
      </c>
    </row>
    <row r="89" spans="2:24" x14ac:dyDescent="0.2">
      <c r="B89" s="296" t="s">
        <v>101</v>
      </c>
      <c r="C89" s="298">
        <v>0.97</v>
      </c>
      <c r="D89" s="888">
        <v>0.98</v>
      </c>
      <c r="E89" s="298">
        <f t="shared" ref="E89:E91" si="7">C89*D89</f>
        <v>0.9506</v>
      </c>
      <c r="F89" s="297" t="s">
        <v>1021</v>
      </c>
      <c r="G89" s="296" t="s">
        <v>973</v>
      </c>
    </row>
    <row r="90" spans="2:24" x14ac:dyDescent="0.2">
      <c r="B90" s="296" t="s">
        <v>105</v>
      </c>
      <c r="C90" s="298">
        <v>0.94</v>
      </c>
      <c r="D90" s="888">
        <v>0.95</v>
      </c>
      <c r="E90" s="298">
        <f t="shared" si="7"/>
        <v>0.8929999999999999</v>
      </c>
      <c r="F90" s="297" t="s">
        <v>1021</v>
      </c>
      <c r="G90" s="296" t="s">
        <v>973</v>
      </c>
    </row>
    <row r="91" spans="2:24" ht="16" x14ac:dyDescent="0.2">
      <c r="B91" s="762" t="s">
        <v>978</v>
      </c>
      <c r="C91" s="300">
        <v>0.86</v>
      </c>
      <c r="D91" s="891">
        <v>0.99</v>
      </c>
      <c r="E91" s="298">
        <f t="shared" si="7"/>
        <v>0.85139999999999993</v>
      </c>
      <c r="F91" s="297" t="s">
        <v>1021</v>
      </c>
      <c r="G91" s="762" t="s">
        <v>975</v>
      </c>
    </row>
    <row r="92" spans="2:24" x14ac:dyDescent="0.2">
      <c r="B92" s="302"/>
      <c r="C92" s="299"/>
      <c r="D92" s="303"/>
      <c r="E92" s="303"/>
      <c r="F92" s="299"/>
      <c r="G92" s="297"/>
    </row>
    <row r="93" spans="2:24" ht="16" x14ac:dyDescent="0.2">
      <c r="B93" s="885" t="s">
        <v>976</v>
      </c>
      <c r="C93" s="299"/>
      <c r="D93" s="299"/>
      <c r="E93" s="299"/>
      <c r="F93" s="299"/>
      <c r="G93" s="163"/>
    </row>
    <row r="94" spans="2:24" ht="16" x14ac:dyDescent="0.2">
      <c r="B94" s="761" t="s">
        <v>103</v>
      </c>
      <c r="C94" s="298">
        <f>E75</f>
        <v>0.85</v>
      </c>
      <c r="D94" s="888">
        <v>0.95</v>
      </c>
      <c r="E94" s="298">
        <f>C94*D94</f>
        <v>0.8075</v>
      </c>
      <c r="F94" s="297" t="s">
        <v>142</v>
      </c>
      <c r="G94" s="296" t="s">
        <v>973</v>
      </c>
    </row>
    <row r="95" spans="2:24" ht="16" x14ac:dyDescent="0.2">
      <c r="B95" s="296" t="s">
        <v>102</v>
      </c>
      <c r="C95" s="298">
        <f>E75</f>
        <v>0.85</v>
      </c>
      <c r="D95" s="888">
        <f>'R3_Hydro_MEFA'!T124</f>
        <v>0.86</v>
      </c>
      <c r="E95" s="298">
        <f t="shared" ref="E95:E97" si="8">C95*D95</f>
        <v>0.73099999999999998</v>
      </c>
      <c r="F95" s="297" t="s">
        <v>972</v>
      </c>
      <c r="G95" s="761" t="s">
        <v>977</v>
      </c>
    </row>
    <row r="96" spans="2:24" ht="16" x14ac:dyDescent="0.2">
      <c r="B96" s="296" t="s">
        <v>104</v>
      </c>
      <c r="C96" s="298">
        <f>E75</f>
        <v>0.85</v>
      </c>
      <c r="D96" s="888">
        <v>0.97</v>
      </c>
      <c r="E96" s="298">
        <f t="shared" si="8"/>
        <v>0.82450000000000001</v>
      </c>
      <c r="F96" s="297" t="s">
        <v>972</v>
      </c>
      <c r="G96" s="761" t="s">
        <v>973</v>
      </c>
    </row>
    <row r="97" spans="2:7" ht="16" x14ac:dyDescent="0.2">
      <c r="B97" s="761" t="s">
        <v>978</v>
      </c>
      <c r="C97" s="300">
        <v>0.86</v>
      </c>
      <c r="D97" s="888">
        <v>0.99</v>
      </c>
      <c r="E97" s="298">
        <f t="shared" si="8"/>
        <v>0.85139999999999993</v>
      </c>
      <c r="F97" s="297" t="s">
        <v>1021</v>
      </c>
      <c r="G97" s="762" t="s">
        <v>975</v>
      </c>
    </row>
    <row r="98" spans="2:7" ht="16" x14ac:dyDescent="0.2">
      <c r="B98" s="164" t="s">
        <v>979</v>
      </c>
      <c r="C98" s="304"/>
      <c r="D98" s="888">
        <v>0.98</v>
      </c>
      <c r="E98" s="298">
        <f t="shared" ref="E98:E99" si="9">D98</f>
        <v>0.98</v>
      </c>
      <c r="F98" s="297" t="s">
        <v>972</v>
      </c>
      <c r="G98" s="163" t="s">
        <v>980</v>
      </c>
    </row>
    <row r="99" spans="2:7" ht="16" x14ac:dyDescent="0.2">
      <c r="B99" s="164" t="s">
        <v>1022</v>
      </c>
      <c r="C99" s="163"/>
      <c r="D99" s="888">
        <v>0.99</v>
      </c>
      <c r="E99" s="298">
        <f t="shared" si="9"/>
        <v>0.99</v>
      </c>
      <c r="F99" s="297" t="s">
        <v>972</v>
      </c>
      <c r="G99" s="163" t="s">
        <v>980</v>
      </c>
    </row>
    <row r="100" spans="2:7" x14ac:dyDescent="0.2">
      <c r="B100" s="163"/>
      <c r="C100" s="163"/>
      <c r="D100" s="163"/>
      <c r="E100" s="163"/>
      <c r="F100" s="163"/>
      <c r="G100" s="163"/>
    </row>
    <row r="101" spans="2:7" x14ac:dyDescent="0.2">
      <c r="B101" s="157" t="s">
        <v>982</v>
      </c>
      <c r="C101" s="163"/>
      <c r="D101" s="163"/>
      <c r="E101" s="163"/>
      <c r="F101" s="163"/>
      <c r="G101" s="163"/>
    </row>
    <row r="102" spans="2:7" x14ac:dyDescent="0.2">
      <c r="B102" s="296" t="s">
        <v>983</v>
      </c>
      <c r="C102" s="305">
        <f>E90</f>
        <v>0.8929999999999999</v>
      </c>
      <c r="D102" s="883">
        <v>0.95</v>
      </c>
      <c r="E102" s="304">
        <f t="shared" ref="E102:E107" si="10">C102*D102</f>
        <v>0.84834999999999983</v>
      </c>
      <c r="F102" s="297" t="s">
        <v>142</v>
      </c>
      <c r="G102" s="296" t="s">
        <v>984</v>
      </c>
    </row>
    <row r="103" spans="2:7" x14ac:dyDescent="0.2">
      <c r="B103" s="296" t="s">
        <v>985</v>
      </c>
      <c r="C103" s="305">
        <f>E91</f>
        <v>0.85139999999999993</v>
      </c>
      <c r="D103" s="883">
        <v>0.9</v>
      </c>
      <c r="E103" s="304">
        <f t="shared" si="10"/>
        <v>0.76625999999999994</v>
      </c>
      <c r="F103" s="297" t="s">
        <v>142</v>
      </c>
      <c r="G103" s="296" t="s">
        <v>986</v>
      </c>
    </row>
    <row r="104" spans="2:7" ht="16" x14ac:dyDescent="0.2">
      <c r="B104" s="761" t="s">
        <v>987</v>
      </c>
      <c r="C104" s="305">
        <f>E88</f>
        <v>0.92159999999999997</v>
      </c>
      <c r="D104" s="888">
        <v>0.99</v>
      </c>
      <c r="E104" s="306">
        <f t="shared" si="10"/>
        <v>0.91238399999999997</v>
      </c>
      <c r="F104" s="302" t="s">
        <v>988</v>
      </c>
      <c r="G104" s="296"/>
    </row>
    <row r="105" spans="2:7" ht="16" x14ac:dyDescent="0.2">
      <c r="B105" s="761" t="s">
        <v>363</v>
      </c>
      <c r="C105" s="305">
        <f>E104</f>
        <v>0.91238399999999997</v>
      </c>
      <c r="D105" s="889">
        <v>0.99</v>
      </c>
      <c r="E105" s="300">
        <f t="shared" si="10"/>
        <v>0.90326015999999998</v>
      </c>
      <c r="F105" s="302" t="s">
        <v>988</v>
      </c>
      <c r="G105" s="296"/>
    </row>
    <row r="106" spans="2:7" ht="16" x14ac:dyDescent="0.2">
      <c r="B106" s="763" t="s">
        <v>207</v>
      </c>
      <c r="C106" s="305">
        <f>E105</f>
        <v>0.90326015999999998</v>
      </c>
      <c r="D106" s="890">
        <v>0.99</v>
      </c>
      <c r="E106" s="303">
        <f>C106*D106</f>
        <v>0.89422755840000001</v>
      </c>
      <c r="F106" s="302" t="s">
        <v>988</v>
      </c>
      <c r="G106" s="296" t="s">
        <v>989</v>
      </c>
    </row>
    <row r="107" spans="2:7" ht="16" x14ac:dyDescent="0.2">
      <c r="B107" s="763" t="s">
        <v>990</v>
      </c>
      <c r="C107" s="305">
        <f>E104</f>
        <v>0.91238399999999997</v>
      </c>
      <c r="D107" s="890">
        <v>0.99</v>
      </c>
      <c r="E107" s="303">
        <f t="shared" si="10"/>
        <v>0.90326015999999998</v>
      </c>
      <c r="F107" s="302" t="s">
        <v>988</v>
      </c>
      <c r="G107" s="296" t="s">
        <v>991</v>
      </c>
    </row>
    <row r="108" spans="2:7" x14ac:dyDescent="0.2">
      <c r="B108" s="299"/>
      <c r="C108" s="448"/>
      <c r="D108" s="299"/>
      <c r="E108" s="299"/>
      <c r="F108" s="299"/>
      <c r="G108" s="163"/>
    </row>
    <row r="109" spans="2:7" x14ac:dyDescent="0.2">
      <c r="B109" s="886" t="s">
        <v>992</v>
      </c>
      <c r="C109" s="448"/>
      <c r="D109" s="299"/>
      <c r="E109" s="299"/>
      <c r="F109" s="299"/>
      <c r="G109" s="163"/>
    </row>
    <row r="110" spans="2:7" x14ac:dyDescent="0.2">
      <c r="B110" s="302" t="s">
        <v>438</v>
      </c>
      <c r="C110" s="305">
        <f>E98</f>
        <v>0.98</v>
      </c>
      <c r="D110" s="890">
        <v>0.9</v>
      </c>
      <c r="E110" s="301">
        <f t="shared" ref="E110:E114" si="11">C110*D110</f>
        <v>0.88200000000000001</v>
      </c>
      <c r="F110" s="297" t="s">
        <v>142</v>
      </c>
      <c r="G110" s="163" t="s">
        <v>993</v>
      </c>
    </row>
    <row r="111" spans="2:7" x14ac:dyDescent="0.2">
      <c r="B111" s="302" t="s">
        <v>438</v>
      </c>
      <c r="C111" s="305">
        <f>E99</f>
        <v>0.99</v>
      </c>
      <c r="D111" s="890">
        <v>0.98</v>
      </c>
      <c r="E111" s="301">
        <f t="shared" si="11"/>
        <v>0.97019999999999995</v>
      </c>
      <c r="F111" s="297" t="s">
        <v>142</v>
      </c>
      <c r="G111" s="163" t="s">
        <v>994</v>
      </c>
    </row>
    <row r="112" spans="2:7" ht="16" x14ac:dyDescent="0.2">
      <c r="B112" s="763" t="s">
        <v>985</v>
      </c>
      <c r="C112" s="305">
        <f>E97</f>
        <v>0.85139999999999993</v>
      </c>
      <c r="D112" s="890">
        <v>0.9</v>
      </c>
      <c r="E112" s="303">
        <f t="shared" si="11"/>
        <v>0.76625999999999994</v>
      </c>
      <c r="F112" s="297" t="s">
        <v>142</v>
      </c>
      <c r="G112" s="296" t="s">
        <v>986</v>
      </c>
    </row>
    <row r="113" spans="2:7" x14ac:dyDescent="0.2">
      <c r="B113" s="301" t="s">
        <v>995</v>
      </c>
      <c r="C113" s="298">
        <f>E96</f>
        <v>0.82450000000000001</v>
      </c>
      <c r="D113" s="890">
        <v>0.9</v>
      </c>
      <c r="E113" s="303">
        <f t="shared" si="11"/>
        <v>0.74204999999999999</v>
      </c>
      <c r="F113" s="297" t="s">
        <v>142</v>
      </c>
      <c r="G113" s="296" t="s">
        <v>996</v>
      </c>
    </row>
    <row r="114" spans="2:7" ht="16" x14ac:dyDescent="0.2">
      <c r="B114" s="761" t="s">
        <v>405</v>
      </c>
      <c r="C114" s="298">
        <f>E94</f>
        <v>0.8075</v>
      </c>
      <c r="D114" s="888">
        <v>0.99</v>
      </c>
      <c r="E114" s="300">
        <f t="shared" si="11"/>
        <v>0.79942499999999994</v>
      </c>
      <c r="F114" s="302" t="s">
        <v>988</v>
      </c>
      <c r="G114" s="296"/>
    </row>
    <row r="115" spans="2:7" ht="16" x14ac:dyDescent="0.2">
      <c r="B115" s="761" t="s">
        <v>212</v>
      </c>
      <c r="C115" s="298">
        <f>E114</f>
        <v>0.79942499999999994</v>
      </c>
      <c r="D115" s="883">
        <v>0.99</v>
      </c>
      <c r="E115" s="304">
        <f>C115*D115</f>
        <v>0.79143074999999996</v>
      </c>
      <c r="F115" s="302" t="s">
        <v>988</v>
      </c>
      <c r="G115" s="296" t="s">
        <v>997</v>
      </c>
    </row>
    <row r="116" spans="2:7" ht="16" x14ac:dyDescent="0.2">
      <c r="B116" s="765" t="s">
        <v>998</v>
      </c>
      <c r="C116" s="449">
        <f>E95</f>
        <v>0.73099999999999998</v>
      </c>
      <c r="D116" s="892">
        <v>0.85</v>
      </c>
      <c r="E116" s="308">
        <f t="shared" ref="E116" si="12">C116*D116</f>
        <v>0.62134999999999996</v>
      </c>
      <c r="F116" s="766" t="s">
        <v>999</v>
      </c>
      <c r="G116" s="307" t="s">
        <v>435</v>
      </c>
    </row>
  </sheetData>
  <mergeCells count="4">
    <mergeCell ref="C69:E69"/>
    <mergeCell ref="I3:J5"/>
    <mergeCell ref="C3:E3"/>
    <mergeCell ref="C41:E41"/>
  </mergeCells>
  <pageMargins left="0.7" right="0.7" top="0.78740157499999996" bottom="0.78740157499999996" header="0.3" footer="0.3"/>
  <pageSetup paperSize="9" orientation="portrait" horizontalDpi="360" verticalDpi="36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Tabelle19">
    <tabColor theme="0" tint="-0.499984740745262"/>
  </sheetPr>
  <dimension ref="B2:H78"/>
  <sheetViews>
    <sheetView workbookViewId="0"/>
  </sheetViews>
  <sheetFormatPr baseColWidth="10" defaultColWidth="11.5" defaultRowHeight="15" x14ac:dyDescent="0.2"/>
  <cols>
    <col min="1" max="1" width="8.5" customWidth="1"/>
    <col min="2" max="2" width="14.6640625" customWidth="1"/>
    <col min="3" max="3" width="27.33203125" customWidth="1"/>
    <col min="4" max="4" width="21.5" customWidth="1"/>
    <col min="5" max="5" width="18.5" customWidth="1"/>
    <col min="6" max="6" width="21.83203125" customWidth="1"/>
    <col min="7" max="7" width="14.5" customWidth="1"/>
    <col min="8" max="8" width="28.33203125" customWidth="1"/>
  </cols>
  <sheetData>
    <row r="2" spans="2:8" ht="21" customHeight="1" x14ac:dyDescent="0.25">
      <c r="B2" s="189" t="s">
        <v>1023</v>
      </c>
      <c r="D2" s="292"/>
      <c r="F2" s="292"/>
    </row>
    <row r="3" spans="2:8" ht="18" customHeight="1" x14ac:dyDescent="0.25">
      <c r="B3" s="292"/>
      <c r="D3" s="292"/>
      <c r="F3" s="292"/>
    </row>
    <row r="4" spans="2:8" ht="19" x14ac:dyDescent="0.25">
      <c r="B4" s="292" t="s">
        <v>108</v>
      </c>
    </row>
    <row r="5" spans="2:8" ht="32" x14ac:dyDescent="0.2">
      <c r="B5" s="294" t="s">
        <v>85</v>
      </c>
      <c r="C5" s="314" t="s">
        <v>1024</v>
      </c>
      <c r="D5" s="314" t="s">
        <v>1025</v>
      </c>
      <c r="E5" s="314" t="s">
        <v>1026</v>
      </c>
      <c r="F5" s="294" t="s">
        <v>621</v>
      </c>
      <c r="G5" s="1053" t="s">
        <v>1027</v>
      </c>
      <c r="H5" s="1054"/>
    </row>
    <row r="6" spans="2:8" x14ac:dyDescent="0.2">
      <c r="B6" s="124"/>
      <c r="C6" s="124"/>
      <c r="D6" s="254"/>
      <c r="E6" s="254"/>
      <c r="F6" s="124"/>
      <c r="G6" s="1053"/>
      <c r="H6" s="1054"/>
    </row>
    <row r="7" spans="2:8" x14ac:dyDescent="0.2">
      <c r="B7" s="1067" t="s">
        <v>259</v>
      </c>
      <c r="C7" s="125" t="s">
        <v>1028</v>
      </c>
      <c r="D7" s="254" t="s">
        <v>1029</v>
      </c>
      <c r="E7" s="411">
        <v>1</v>
      </c>
      <c r="F7" s="124"/>
      <c r="G7" s="1053"/>
      <c r="H7" s="1054"/>
    </row>
    <row r="8" spans="2:8" ht="15" customHeight="1" x14ac:dyDescent="0.2">
      <c r="B8" s="1067"/>
      <c r="C8" s="125" t="s">
        <v>75</v>
      </c>
      <c r="D8" s="254" t="s">
        <v>75</v>
      </c>
      <c r="E8" s="411">
        <v>1</v>
      </c>
      <c r="F8" s="124"/>
      <c r="G8" s="1053"/>
      <c r="H8" s="1054"/>
    </row>
    <row r="9" spans="2:8" x14ac:dyDescent="0.2">
      <c r="B9" s="1067"/>
      <c r="C9" s="125" t="s">
        <v>105</v>
      </c>
      <c r="D9" s="254" t="s">
        <v>105</v>
      </c>
      <c r="E9" s="411">
        <v>1</v>
      </c>
      <c r="F9" s="124"/>
      <c r="G9" s="1053"/>
      <c r="H9" s="1054"/>
    </row>
    <row r="10" spans="2:8" x14ac:dyDescent="0.2">
      <c r="B10" s="1067"/>
      <c r="C10" s="125" t="s">
        <v>60</v>
      </c>
      <c r="D10" s="254" t="s">
        <v>1030</v>
      </c>
      <c r="E10" s="411">
        <v>0.38500000000000001</v>
      </c>
      <c r="F10" s="124" t="s">
        <v>1031</v>
      </c>
      <c r="G10" s="1053"/>
      <c r="H10" s="1054"/>
    </row>
    <row r="11" spans="2:8" x14ac:dyDescent="0.2">
      <c r="B11" s="1067"/>
      <c r="C11" s="125" t="s">
        <v>1032</v>
      </c>
      <c r="D11" s="254" t="s">
        <v>1032</v>
      </c>
      <c r="E11" s="411">
        <v>1</v>
      </c>
      <c r="F11" s="124"/>
      <c r="G11" s="1053"/>
      <c r="H11" s="1054"/>
    </row>
    <row r="12" spans="2:8" x14ac:dyDescent="0.2">
      <c r="B12" s="1067"/>
      <c r="C12" s="125" t="s">
        <v>178</v>
      </c>
      <c r="D12" s="1023">
        <v>1</v>
      </c>
      <c r="E12" s="1024"/>
      <c r="F12" s="1024"/>
      <c r="G12" s="1053"/>
      <c r="H12" s="1054"/>
    </row>
    <row r="13" spans="2:8" x14ac:dyDescent="0.2">
      <c r="B13" s="1067"/>
      <c r="C13" s="125" t="s">
        <v>248</v>
      </c>
      <c r="D13" s="1023">
        <v>1</v>
      </c>
      <c r="E13" s="1024"/>
      <c r="F13" s="1024"/>
      <c r="G13" s="1053"/>
      <c r="H13" s="1054"/>
    </row>
    <row r="14" spans="2:8" ht="16.25" customHeight="1" x14ac:dyDescent="0.2">
      <c r="B14" s="1056" t="s">
        <v>1033</v>
      </c>
      <c r="C14" s="152" t="s">
        <v>1034</v>
      </c>
      <c r="D14" s="254" t="s">
        <v>105</v>
      </c>
      <c r="E14" s="418">
        <v>1</v>
      </c>
      <c r="F14" s="124"/>
      <c r="G14" s="1053"/>
      <c r="H14" s="1054"/>
    </row>
    <row r="15" spans="2:8" ht="16" x14ac:dyDescent="0.2">
      <c r="B15" s="1057"/>
      <c r="C15" s="152" t="s">
        <v>1035</v>
      </c>
      <c r="D15" s="254" t="s">
        <v>1035</v>
      </c>
      <c r="E15" s="411">
        <v>1</v>
      </c>
      <c r="F15" s="125"/>
      <c r="G15" s="1053"/>
      <c r="H15" s="1054"/>
    </row>
    <row r="16" spans="2:8" ht="18" x14ac:dyDescent="0.2">
      <c r="B16" s="1057"/>
      <c r="C16" s="98" t="s">
        <v>1036</v>
      </c>
      <c r="D16" s="315" t="s">
        <v>809</v>
      </c>
      <c r="E16" s="412">
        <v>1</v>
      </c>
      <c r="F16" s="316"/>
      <c r="G16" s="1053"/>
      <c r="H16" s="1054"/>
    </row>
    <row r="17" spans="2:8" ht="18" x14ac:dyDescent="0.2">
      <c r="B17" s="1058"/>
      <c r="C17" s="98" t="s">
        <v>1037</v>
      </c>
      <c r="D17" s="317" t="s">
        <v>807</v>
      </c>
      <c r="E17" s="412">
        <v>1</v>
      </c>
      <c r="F17" s="134"/>
      <c r="G17" s="1053"/>
      <c r="H17" s="1054"/>
    </row>
    <row r="18" spans="2:8" ht="16.25" customHeight="1" x14ac:dyDescent="0.2">
      <c r="B18" s="1056" t="s">
        <v>1038</v>
      </c>
      <c r="C18" s="152" t="s">
        <v>1039</v>
      </c>
      <c r="D18" s="254" t="s">
        <v>33</v>
      </c>
      <c r="E18" s="411">
        <v>1</v>
      </c>
      <c r="F18" s="124"/>
      <c r="G18" s="1053"/>
      <c r="H18" s="1054"/>
    </row>
    <row r="19" spans="2:8" ht="16" x14ac:dyDescent="0.2">
      <c r="B19" s="1057"/>
      <c r="C19" s="152" t="s">
        <v>1040</v>
      </c>
      <c r="D19" s="254" t="s">
        <v>1041</v>
      </c>
      <c r="E19" s="411">
        <v>1</v>
      </c>
      <c r="F19" s="124"/>
      <c r="G19" s="1053"/>
      <c r="H19" s="1054"/>
    </row>
    <row r="20" spans="2:8" ht="16" x14ac:dyDescent="0.2">
      <c r="B20" s="1057"/>
      <c r="C20" s="125" t="s">
        <v>1042</v>
      </c>
      <c r="D20" s="757" t="s">
        <v>1035</v>
      </c>
      <c r="E20" s="411">
        <v>1</v>
      </c>
      <c r="F20" s="125"/>
      <c r="G20" s="1053"/>
      <c r="H20" s="1054"/>
    </row>
    <row r="21" spans="2:8" ht="14.5" customHeight="1" x14ac:dyDescent="0.2">
      <c r="B21" s="1057"/>
      <c r="C21" s="125" t="s">
        <v>1043</v>
      </c>
      <c r="D21" s="254" t="s">
        <v>882</v>
      </c>
      <c r="E21" s="411">
        <v>1</v>
      </c>
      <c r="F21" s="124"/>
      <c r="G21" s="1053"/>
      <c r="H21" s="1054"/>
    </row>
    <row r="22" spans="2:8" ht="18" x14ac:dyDescent="0.2">
      <c r="B22" s="1057"/>
      <c r="C22" s="98" t="s">
        <v>1044</v>
      </c>
      <c r="D22" s="758" t="s">
        <v>810</v>
      </c>
      <c r="E22" s="412">
        <v>1</v>
      </c>
      <c r="F22" s="134"/>
      <c r="G22" s="1053"/>
      <c r="H22" s="1054"/>
    </row>
    <row r="23" spans="2:8" ht="18" x14ac:dyDescent="0.2">
      <c r="B23" s="1058"/>
      <c r="C23" s="98" t="s">
        <v>1045</v>
      </c>
      <c r="D23" s="758" t="s">
        <v>900</v>
      </c>
      <c r="E23" s="412">
        <v>1</v>
      </c>
      <c r="F23" s="134"/>
      <c r="G23" s="1053"/>
      <c r="H23" s="1054"/>
    </row>
    <row r="25" spans="2:8" x14ac:dyDescent="0.2">
      <c r="B25" s="318"/>
      <c r="C25" s="105"/>
      <c r="D25" s="319"/>
      <c r="E25" s="319"/>
      <c r="F25" s="258"/>
    </row>
    <row r="26" spans="2:8" ht="19" x14ac:dyDescent="0.25">
      <c r="B26" s="292" t="s">
        <v>109</v>
      </c>
    </row>
    <row r="27" spans="2:8" ht="30" customHeight="1" x14ac:dyDescent="0.2">
      <c r="B27" s="294" t="s">
        <v>85</v>
      </c>
      <c r="C27" s="314" t="s">
        <v>1024</v>
      </c>
      <c r="D27" s="314" t="s">
        <v>1025</v>
      </c>
      <c r="E27" s="314" t="s">
        <v>1026</v>
      </c>
      <c r="F27" s="294" t="s">
        <v>621</v>
      </c>
      <c r="G27" s="1053" t="s">
        <v>1027</v>
      </c>
      <c r="H27" s="1054"/>
    </row>
    <row r="28" spans="2:8" x14ac:dyDescent="0.2">
      <c r="B28" s="124"/>
      <c r="C28" s="124"/>
      <c r="D28" s="254"/>
      <c r="E28" s="254"/>
      <c r="F28" s="124"/>
      <c r="G28" s="1053"/>
      <c r="H28" s="1054"/>
    </row>
    <row r="29" spans="2:8" x14ac:dyDescent="0.2">
      <c r="B29" s="1067" t="s">
        <v>259</v>
      </c>
      <c r="C29" s="125" t="s">
        <v>1028</v>
      </c>
      <c r="D29" s="254" t="s">
        <v>1029</v>
      </c>
      <c r="E29" s="411">
        <v>1</v>
      </c>
      <c r="F29" s="124"/>
      <c r="G29" s="1053"/>
      <c r="H29" s="1054"/>
    </row>
    <row r="30" spans="2:8" x14ac:dyDescent="0.2">
      <c r="B30" s="1067"/>
      <c r="C30" s="125" t="s">
        <v>75</v>
      </c>
      <c r="D30" s="254" t="s">
        <v>75</v>
      </c>
      <c r="E30" s="411">
        <v>1</v>
      </c>
      <c r="F30" s="124"/>
      <c r="G30" s="1053"/>
      <c r="H30" s="1054"/>
    </row>
    <row r="31" spans="2:8" x14ac:dyDescent="0.2">
      <c r="B31" s="1067"/>
      <c r="C31" s="125" t="s">
        <v>105</v>
      </c>
      <c r="D31" s="254" t="s">
        <v>105</v>
      </c>
      <c r="E31" s="411">
        <v>1</v>
      </c>
      <c r="F31" s="124"/>
      <c r="G31" s="1053"/>
      <c r="H31" s="1054"/>
    </row>
    <row r="32" spans="2:8" x14ac:dyDescent="0.2">
      <c r="B32" s="1067"/>
      <c r="C32" s="125" t="s">
        <v>60</v>
      </c>
      <c r="D32" s="254" t="s">
        <v>105</v>
      </c>
      <c r="E32" s="411">
        <v>0.38500000000000001</v>
      </c>
      <c r="F32" s="124" t="s">
        <v>1031</v>
      </c>
      <c r="G32" s="1053"/>
      <c r="H32" s="1054"/>
    </row>
    <row r="33" spans="2:8" ht="16" x14ac:dyDescent="0.2">
      <c r="B33" s="1067"/>
      <c r="C33" s="152" t="s">
        <v>1032</v>
      </c>
      <c r="D33" s="254" t="s">
        <v>1032</v>
      </c>
      <c r="E33" s="411">
        <v>1</v>
      </c>
      <c r="F33" s="456"/>
      <c r="G33" s="1053"/>
      <c r="H33" s="1054"/>
    </row>
    <row r="34" spans="2:8" ht="16" x14ac:dyDescent="0.2">
      <c r="B34" s="1067"/>
      <c r="C34" s="152" t="s">
        <v>178</v>
      </c>
      <c r="D34" s="1023">
        <v>1</v>
      </c>
      <c r="E34" s="1025"/>
      <c r="F34" s="456"/>
      <c r="G34" s="1053"/>
      <c r="H34" s="1054"/>
    </row>
    <row r="35" spans="2:8" x14ac:dyDescent="0.2">
      <c r="B35" s="1067"/>
      <c r="C35" s="125" t="s">
        <v>248</v>
      </c>
      <c r="D35" s="1023">
        <v>1</v>
      </c>
      <c r="E35" s="1025"/>
      <c r="F35" s="456"/>
      <c r="G35" s="1053"/>
      <c r="H35" s="1054"/>
    </row>
    <row r="36" spans="2:8" x14ac:dyDescent="0.2">
      <c r="B36" s="1056" t="s">
        <v>640</v>
      </c>
      <c r="C36" s="125" t="s">
        <v>75</v>
      </c>
      <c r="D36" s="254" t="s">
        <v>75</v>
      </c>
      <c r="E36" s="411">
        <v>1</v>
      </c>
      <c r="F36" s="456"/>
      <c r="G36" s="1053"/>
      <c r="H36" s="1054"/>
    </row>
    <row r="37" spans="2:8" x14ac:dyDescent="0.2">
      <c r="B37" s="1057"/>
      <c r="C37" s="125" t="s">
        <v>1028</v>
      </c>
      <c r="D37" s="254" t="s">
        <v>104</v>
      </c>
      <c r="E37" s="411">
        <v>1</v>
      </c>
      <c r="F37" s="456"/>
      <c r="G37" s="1053"/>
      <c r="H37" s="1054"/>
    </row>
    <row r="38" spans="2:8" x14ac:dyDescent="0.2">
      <c r="B38" s="1057"/>
      <c r="C38" s="125" t="s">
        <v>1032</v>
      </c>
      <c r="D38" s="254" t="s">
        <v>1032</v>
      </c>
      <c r="E38" s="411">
        <v>1</v>
      </c>
      <c r="F38" s="456"/>
      <c r="G38" s="1053"/>
      <c r="H38" s="1054"/>
    </row>
    <row r="39" spans="2:8" x14ac:dyDescent="0.2">
      <c r="B39" s="1057"/>
      <c r="C39" s="125" t="s">
        <v>178</v>
      </c>
      <c r="D39" s="1068">
        <v>1</v>
      </c>
      <c r="E39" s="1069"/>
      <c r="F39" s="456"/>
      <c r="G39" s="1053"/>
      <c r="H39" s="1054"/>
    </row>
    <row r="40" spans="2:8" ht="16" x14ac:dyDescent="0.2">
      <c r="B40" s="1057"/>
      <c r="C40" s="125" t="s">
        <v>551</v>
      </c>
      <c r="D40" s="757" t="s">
        <v>1046</v>
      </c>
      <c r="E40" s="411">
        <v>1</v>
      </c>
      <c r="F40" s="456"/>
      <c r="G40" s="1053"/>
      <c r="H40" s="1054"/>
    </row>
    <row r="41" spans="2:8" ht="16" x14ac:dyDescent="0.2">
      <c r="B41" s="1057"/>
      <c r="C41" s="152" t="s">
        <v>245</v>
      </c>
      <c r="D41" s="254" t="s">
        <v>1047</v>
      </c>
      <c r="E41" s="411">
        <v>1</v>
      </c>
      <c r="F41" s="456"/>
      <c r="G41" s="1053"/>
      <c r="H41" s="1054"/>
    </row>
    <row r="42" spans="2:8" ht="16" x14ac:dyDescent="0.2">
      <c r="B42" s="1058"/>
      <c r="C42" s="152" t="s">
        <v>1048</v>
      </c>
      <c r="D42" s="1023">
        <v>1</v>
      </c>
      <c r="E42" s="1025"/>
      <c r="F42" s="456"/>
      <c r="G42" s="1053"/>
      <c r="H42" s="1054"/>
    </row>
    <row r="43" spans="2:8" x14ac:dyDescent="0.2">
      <c r="B43" s="1055" t="s">
        <v>883</v>
      </c>
      <c r="C43" s="125" t="s">
        <v>59</v>
      </c>
      <c r="D43" s="254" t="s">
        <v>59</v>
      </c>
      <c r="E43" s="411">
        <v>1</v>
      </c>
      <c r="F43" s="124"/>
      <c r="G43" s="1053"/>
      <c r="H43" s="1054"/>
    </row>
    <row r="44" spans="2:8" ht="16" x14ac:dyDescent="0.2">
      <c r="B44" s="1055"/>
      <c r="C44" s="152" t="s">
        <v>574</v>
      </c>
      <c r="D44" s="254" t="s">
        <v>105</v>
      </c>
      <c r="E44" s="418">
        <v>1</v>
      </c>
      <c r="F44" s="124"/>
      <c r="G44" s="1053"/>
      <c r="H44" s="1054"/>
    </row>
    <row r="45" spans="2:8" ht="16" x14ac:dyDescent="0.2">
      <c r="B45" s="1055"/>
      <c r="C45" s="152" t="s">
        <v>1042</v>
      </c>
      <c r="D45" s="254" t="s">
        <v>1035</v>
      </c>
      <c r="E45" s="411">
        <v>1</v>
      </c>
      <c r="F45" s="125"/>
      <c r="G45" s="1053"/>
      <c r="H45" s="1054"/>
    </row>
    <row r="46" spans="2:8" x14ac:dyDescent="0.2">
      <c r="B46" s="1055"/>
      <c r="C46" s="125" t="s">
        <v>1043</v>
      </c>
      <c r="D46" s="254" t="s">
        <v>882</v>
      </c>
      <c r="E46" s="411">
        <v>1</v>
      </c>
      <c r="F46" s="124"/>
      <c r="G46" s="1053"/>
      <c r="H46" s="1054"/>
    </row>
    <row r="47" spans="2:8" ht="18" x14ac:dyDescent="0.2">
      <c r="B47" s="1055"/>
      <c r="C47" s="98" t="s">
        <v>1036</v>
      </c>
      <c r="D47" s="759" t="s">
        <v>809</v>
      </c>
      <c r="E47" s="412">
        <v>1</v>
      </c>
      <c r="F47" s="316"/>
      <c r="G47" s="1053"/>
      <c r="H47" s="1054"/>
    </row>
    <row r="48" spans="2:8" ht="18" x14ac:dyDescent="0.2">
      <c r="B48" s="1055"/>
      <c r="C48" s="98" t="s">
        <v>1037</v>
      </c>
      <c r="D48" s="317" t="s">
        <v>807</v>
      </c>
      <c r="E48" s="412">
        <v>1</v>
      </c>
      <c r="F48" s="134"/>
      <c r="G48" s="1053"/>
      <c r="H48" s="1054"/>
    </row>
    <row r="49" spans="2:8" ht="18" x14ac:dyDescent="0.2">
      <c r="B49" s="1055"/>
      <c r="C49" s="98" t="s">
        <v>1044</v>
      </c>
      <c r="D49" s="317" t="s">
        <v>810</v>
      </c>
      <c r="E49" s="412">
        <v>1</v>
      </c>
      <c r="F49" s="134"/>
      <c r="G49" s="1053"/>
      <c r="H49" s="1054"/>
    </row>
    <row r="50" spans="2:8" ht="16" x14ac:dyDescent="0.2">
      <c r="B50" s="1055"/>
      <c r="C50" s="98" t="s">
        <v>67</v>
      </c>
      <c r="D50" s="317" t="s">
        <v>900</v>
      </c>
      <c r="E50" s="454">
        <v>1</v>
      </c>
      <c r="F50" s="134"/>
      <c r="G50" s="1053"/>
      <c r="H50" s="1054"/>
    </row>
    <row r="51" spans="2:8" x14ac:dyDescent="0.2">
      <c r="E51" s="455"/>
    </row>
    <row r="53" spans="2:8" ht="19" x14ac:dyDescent="0.25">
      <c r="B53" s="292" t="s">
        <v>110</v>
      </c>
    </row>
    <row r="54" spans="2:8" ht="30" customHeight="1" x14ac:dyDescent="0.2">
      <c r="B54" s="294" t="s">
        <v>85</v>
      </c>
      <c r="C54" s="314" t="s">
        <v>1024</v>
      </c>
      <c r="D54" s="314" t="s">
        <v>1025</v>
      </c>
      <c r="E54" s="314" t="s">
        <v>1026</v>
      </c>
      <c r="F54" s="294" t="s">
        <v>621</v>
      </c>
      <c r="G54" s="1053" t="s">
        <v>1027</v>
      </c>
      <c r="H54" s="1054"/>
    </row>
    <row r="55" spans="2:8" x14ac:dyDescent="0.2">
      <c r="B55" s="124"/>
      <c r="C55" s="124"/>
      <c r="D55" s="254"/>
      <c r="E55" s="254"/>
      <c r="F55" s="124"/>
      <c r="G55" s="1053"/>
      <c r="H55" s="1054"/>
    </row>
    <row r="56" spans="2:8" ht="14.5" customHeight="1" x14ac:dyDescent="0.2">
      <c r="B56" s="1065" t="s">
        <v>259</v>
      </c>
      <c r="C56" s="125" t="s">
        <v>1028</v>
      </c>
      <c r="D56" s="254" t="s">
        <v>1029</v>
      </c>
      <c r="E56" s="411">
        <v>1</v>
      </c>
      <c r="F56" s="124"/>
      <c r="G56" s="1053"/>
      <c r="H56" s="1054"/>
    </row>
    <row r="57" spans="2:8" x14ac:dyDescent="0.2">
      <c r="B57" s="1066"/>
      <c r="C57" s="125" t="s">
        <v>75</v>
      </c>
      <c r="D57" s="254" t="s">
        <v>75</v>
      </c>
      <c r="E57" s="411">
        <v>1</v>
      </c>
      <c r="F57" s="124"/>
      <c r="G57" s="1053"/>
      <c r="H57" s="1054"/>
    </row>
    <row r="58" spans="2:8" x14ac:dyDescent="0.2">
      <c r="B58" s="1066"/>
      <c r="C58" s="125" t="s">
        <v>105</v>
      </c>
      <c r="D58" s="254" t="s">
        <v>105</v>
      </c>
      <c r="E58" s="411">
        <v>1</v>
      </c>
      <c r="F58" s="124"/>
      <c r="G58" s="1053"/>
      <c r="H58" s="1054"/>
    </row>
    <row r="59" spans="2:8" x14ac:dyDescent="0.2">
      <c r="B59" s="1066"/>
      <c r="C59" s="125" t="s">
        <v>60</v>
      </c>
      <c r="D59" s="254" t="s">
        <v>105</v>
      </c>
      <c r="E59" s="411">
        <v>0.38500000000000001</v>
      </c>
      <c r="F59" s="124" t="s">
        <v>1031</v>
      </c>
      <c r="G59" s="1053"/>
      <c r="H59" s="1054"/>
    </row>
    <row r="60" spans="2:8" x14ac:dyDescent="0.2">
      <c r="B60" s="1066"/>
      <c r="C60" s="125" t="s">
        <v>1032</v>
      </c>
      <c r="D60" s="254" t="s">
        <v>1032</v>
      </c>
      <c r="E60" s="411">
        <v>1</v>
      </c>
      <c r="F60" s="124"/>
      <c r="G60" s="1053"/>
      <c r="H60" s="1054"/>
    </row>
    <row r="61" spans="2:8" x14ac:dyDescent="0.2">
      <c r="B61" s="1066"/>
      <c r="C61" s="125" t="s">
        <v>178</v>
      </c>
      <c r="D61" s="1023">
        <v>1</v>
      </c>
      <c r="E61" s="1025"/>
      <c r="F61" s="456"/>
      <c r="G61" s="1053"/>
      <c r="H61" s="1054"/>
    </row>
    <row r="62" spans="2:8" ht="16" thickBot="1" x14ac:dyDescent="0.25">
      <c r="B62" s="1066"/>
      <c r="C62" s="125" t="s">
        <v>248</v>
      </c>
      <c r="D62" s="1063">
        <v>1</v>
      </c>
      <c r="E62" s="1064"/>
      <c r="F62" s="457"/>
      <c r="G62" s="1053"/>
      <c r="H62" s="1054"/>
    </row>
    <row r="63" spans="2:8" ht="14.5" customHeight="1" x14ac:dyDescent="0.2">
      <c r="B63" s="1056" t="s">
        <v>1049</v>
      </c>
      <c r="C63" s="125" t="s">
        <v>75</v>
      </c>
      <c r="D63" s="461" t="s">
        <v>75</v>
      </c>
      <c r="E63" s="418">
        <v>1</v>
      </c>
      <c r="F63" s="124"/>
      <c r="G63" s="1053"/>
      <c r="H63" s="1054"/>
    </row>
    <row r="64" spans="2:8" x14ac:dyDescent="0.2">
      <c r="B64" s="1057"/>
      <c r="C64" s="125" t="s">
        <v>1028</v>
      </c>
      <c r="D64" s="461" t="s">
        <v>104</v>
      </c>
      <c r="E64" s="418">
        <v>1</v>
      </c>
      <c r="F64" s="124"/>
      <c r="G64" s="1053"/>
      <c r="H64" s="1054"/>
    </row>
    <row r="65" spans="2:8" x14ac:dyDescent="0.2">
      <c r="B65" s="1057"/>
      <c r="C65" s="125" t="s">
        <v>54</v>
      </c>
      <c r="D65" s="1061">
        <v>1</v>
      </c>
      <c r="E65" s="1062"/>
      <c r="F65" s="456"/>
      <c r="G65" s="1053"/>
      <c r="H65" s="1054"/>
    </row>
    <row r="66" spans="2:8" x14ac:dyDescent="0.2">
      <c r="B66" s="1057"/>
      <c r="C66" s="125" t="s">
        <v>1050</v>
      </c>
      <c r="D66" s="461"/>
      <c r="E66" s="418">
        <v>1</v>
      </c>
      <c r="F66" s="124"/>
      <c r="G66" s="1053"/>
      <c r="H66" s="1054"/>
    </row>
    <row r="67" spans="2:8" x14ac:dyDescent="0.2">
      <c r="B67" s="1057"/>
      <c r="C67" s="125" t="s">
        <v>244</v>
      </c>
      <c r="D67" s="461"/>
      <c r="E67" s="418">
        <v>1</v>
      </c>
      <c r="F67" s="124"/>
      <c r="G67" s="1053"/>
      <c r="H67" s="1054"/>
    </row>
    <row r="68" spans="2:8" ht="16" x14ac:dyDescent="0.2">
      <c r="B68" s="1057"/>
      <c r="C68" s="152" t="s">
        <v>551</v>
      </c>
      <c r="D68" s="461"/>
      <c r="E68" s="462">
        <v>1</v>
      </c>
      <c r="F68" s="320"/>
      <c r="G68" s="1053"/>
      <c r="H68" s="1054"/>
    </row>
    <row r="69" spans="2:8" x14ac:dyDescent="0.2">
      <c r="B69" s="1057"/>
      <c r="C69" s="125" t="s">
        <v>245</v>
      </c>
      <c r="D69" s="461"/>
      <c r="E69" s="462">
        <v>1</v>
      </c>
      <c r="F69" s="320"/>
      <c r="G69" s="1053"/>
      <c r="H69" s="1054"/>
    </row>
    <row r="70" spans="2:8" x14ac:dyDescent="0.2">
      <c r="B70" s="1058"/>
      <c r="C70" s="125" t="s">
        <v>1051</v>
      </c>
      <c r="D70" s="1059">
        <v>1</v>
      </c>
      <c r="E70" s="1060"/>
      <c r="F70" s="320"/>
      <c r="G70" s="1053"/>
      <c r="H70" s="1054"/>
    </row>
    <row r="71" spans="2:8" x14ac:dyDescent="0.2">
      <c r="B71" s="1055" t="s">
        <v>883</v>
      </c>
      <c r="C71" s="125" t="s">
        <v>59</v>
      </c>
      <c r="D71" s="254" t="s">
        <v>59</v>
      </c>
      <c r="E71" s="418">
        <v>1</v>
      </c>
      <c r="F71" s="124"/>
      <c r="G71" s="1053"/>
      <c r="H71" s="1054"/>
    </row>
    <row r="72" spans="2:8" ht="16" x14ac:dyDescent="0.2">
      <c r="B72" s="1055"/>
      <c r="C72" s="152" t="s">
        <v>574</v>
      </c>
      <c r="D72" s="254" t="s">
        <v>105</v>
      </c>
      <c r="E72" s="418">
        <v>1</v>
      </c>
      <c r="F72" s="124"/>
      <c r="G72" s="1053"/>
      <c r="H72" s="1054"/>
    </row>
    <row r="73" spans="2:8" ht="16" x14ac:dyDescent="0.2">
      <c r="B73" s="1055"/>
      <c r="C73" s="152" t="s">
        <v>1042</v>
      </c>
      <c r="D73" s="757" t="s">
        <v>1035</v>
      </c>
      <c r="E73" s="418">
        <v>1</v>
      </c>
      <c r="F73" s="125"/>
      <c r="G73" s="1053"/>
      <c r="H73" s="1054"/>
    </row>
    <row r="74" spans="2:8" ht="16" x14ac:dyDescent="0.2">
      <c r="B74" s="1055"/>
      <c r="C74" s="152" t="s">
        <v>1043</v>
      </c>
      <c r="D74" s="757" t="s">
        <v>882</v>
      </c>
      <c r="E74" s="418">
        <v>1</v>
      </c>
      <c r="F74" s="124"/>
      <c r="G74" s="1053"/>
      <c r="H74" s="1054"/>
    </row>
    <row r="75" spans="2:8" ht="18" x14ac:dyDescent="0.2">
      <c r="B75" s="1055"/>
      <c r="C75" s="98" t="s">
        <v>1036</v>
      </c>
      <c r="D75" s="759" t="s">
        <v>809</v>
      </c>
      <c r="E75" s="460">
        <v>1</v>
      </c>
      <c r="F75" s="316"/>
      <c r="G75" s="1053"/>
      <c r="H75" s="1054"/>
    </row>
    <row r="76" spans="2:8" ht="18" x14ac:dyDescent="0.2">
      <c r="B76" s="1055"/>
      <c r="C76" s="98" t="s">
        <v>1037</v>
      </c>
      <c r="D76" s="758" t="s">
        <v>807</v>
      </c>
      <c r="E76" s="460">
        <v>1</v>
      </c>
      <c r="F76" s="134"/>
      <c r="G76" s="1053"/>
      <c r="H76" s="1054"/>
    </row>
    <row r="77" spans="2:8" ht="18" x14ac:dyDescent="0.2">
      <c r="B77" s="1055"/>
      <c r="C77" s="98" t="s">
        <v>1044</v>
      </c>
      <c r="D77" s="758" t="s">
        <v>810</v>
      </c>
      <c r="E77" s="460">
        <v>1</v>
      </c>
      <c r="F77" s="134"/>
      <c r="G77" s="1053"/>
      <c r="H77" s="1054"/>
    </row>
    <row r="78" spans="2:8" ht="16" x14ac:dyDescent="0.2">
      <c r="B78" s="1055"/>
      <c r="C78" s="98" t="s">
        <v>67</v>
      </c>
      <c r="D78" s="758" t="s">
        <v>900</v>
      </c>
      <c r="E78" s="460">
        <v>1</v>
      </c>
      <c r="F78" s="134"/>
      <c r="G78" s="1053"/>
      <c r="H78" s="1054"/>
    </row>
  </sheetData>
  <mergeCells count="22">
    <mergeCell ref="G5:H23"/>
    <mergeCell ref="G27:H50"/>
    <mergeCell ref="B29:B35"/>
    <mergeCell ref="D39:E39"/>
    <mergeCell ref="D34:E34"/>
    <mergeCell ref="D35:E35"/>
    <mergeCell ref="B7:B13"/>
    <mergeCell ref="D12:F12"/>
    <mergeCell ref="D13:F13"/>
    <mergeCell ref="B14:B17"/>
    <mergeCell ref="B18:B23"/>
    <mergeCell ref="G54:H78"/>
    <mergeCell ref="B71:B78"/>
    <mergeCell ref="B63:B70"/>
    <mergeCell ref="D70:E70"/>
    <mergeCell ref="B36:B42"/>
    <mergeCell ref="B43:B50"/>
    <mergeCell ref="D42:E42"/>
    <mergeCell ref="D65:E65"/>
    <mergeCell ref="D61:E61"/>
    <mergeCell ref="D62:E62"/>
    <mergeCell ref="B56:B62"/>
  </mergeCells>
  <pageMargins left="0.7" right="0.7" top="0.78740157499999996" bottom="0.78740157499999996"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Tabelle51">
    <tabColor theme="0" tint="-0.499984740745262"/>
  </sheetPr>
  <dimension ref="A1:E5"/>
  <sheetViews>
    <sheetView workbookViewId="0"/>
  </sheetViews>
  <sheetFormatPr baseColWidth="10" defaultColWidth="11.5" defaultRowHeight="14" x14ac:dyDescent="0.15"/>
  <cols>
    <col min="1" max="1" width="17.83203125" style="1" bestFit="1" customWidth="1"/>
    <col min="2" max="2" width="13.1640625" style="1" bestFit="1" customWidth="1"/>
    <col min="3" max="3" width="16.5" style="1" bestFit="1" customWidth="1"/>
    <col min="4" max="4" width="23.83203125" style="1" bestFit="1" customWidth="1"/>
    <col min="5" max="16384" width="11.5" style="1"/>
  </cols>
  <sheetData>
    <row r="1" spans="1:5" ht="17" x14ac:dyDescent="0.2">
      <c r="A1" s="755" t="s">
        <v>1052</v>
      </c>
      <c r="B1" s="756" t="s">
        <v>1053</v>
      </c>
      <c r="C1" s="756" t="s">
        <v>1054</v>
      </c>
      <c r="D1" s="756" t="s">
        <v>1055</v>
      </c>
      <c r="E1" s="756" t="s">
        <v>1056</v>
      </c>
    </row>
    <row r="2" spans="1:5" x14ac:dyDescent="0.15">
      <c r="A2" s="1" t="s">
        <v>133</v>
      </c>
      <c r="B2" s="1">
        <v>2500</v>
      </c>
      <c r="C2" s="1">
        <v>1</v>
      </c>
      <c r="D2" s="1">
        <v>1</v>
      </c>
      <c r="E2" s="1" t="s">
        <v>1057</v>
      </c>
    </row>
    <row r="3" spans="1:5" x14ac:dyDescent="0.15">
      <c r="A3" s="1" t="s">
        <v>1058</v>
      </c>
      <c r="B3" s="1">
        <v>25000</v>
      </c>
      <c r="C3" s="1">
        <v>2</v>
      </c>
      <c r="D3" s="1">
        <v>2</v>
      </c>
      <c r="E3" s="1" t="s">
        <v>1059</v>
      </c>
    </row>
    <row r="4" spans="1:5" x14ac:dyDescent="0.15">
      <c r="A4" s="1" t="s">
        <v>135</v>
      </c>
      <c r="B4" s="1">
        <v>75000</v>
      </c>
      <c r="C4" s="1">
        <v>3</v>
      </c>
      <c r="D4" s="1">
        <v>3</v>
      </c>
    </row>
    <row r="5" spans="1:5" x14ac:dyDescent="0.15">
      <c r="A5" s="1" t="s">
        <v>1059</v>
      </c>
    </row>
  </sheetData>
  <dataConsolidate function="min"/>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8">
    <tabColor rgb="FF99B2BC"/>
  </sheetPr>
  <dimension ref="A1:N68"/>
  <sheetViews>
    <sheetView topLeftCell="A19" zoomScale="125" zoomScaleNormal="70" workbookViewId="0"/>
  </sheetViews>
  <sheetFormatPr baseColWidth="10" defaultColWidth="9.1640625" defaultRowHeight="14" x14ac:dyDescent="0.15"/>
  <cols>
    <col min="1" max="1" width="3.1640625" style="4" customWidth="1"/>
    <col min="2" max="14" width="21.6640625" style="4" customWidth="1"/>
    <col min="15" max="16384" width="9.1640625" style="4"/>
  </cols>
  <sheetData>
    <row r="1" spans="1:14" ht="45" customHeight="1" x14ac:dyDescent="0.15">
      <c r="A1" s="3"/>
      <c r="B1" s="3"/>
      <c r="C1" s="966" t="s">
        <v>12</v>
      </c>
      <c r="D1" s="966"/>
      <c r="E1" s="966"/>
      <c r="F1" s="966"/>
      <c r="G1" s="966"/>
      <c r="H1" s="966"/>
      <c r="I1" s="966"/>
      <c r="J1" s="3"/>
      <c r="K1" s="3"/>
      <c r="L1" s="3"/>
      <c r="M1" s="3"/>
      <c r="N1" s="3"/>
    </row>
    <row r="3" spans="1:14" x14ac:dyDescent="0.15">
      <c r="A3" s="5"/>
      <c r="B3" s="5"/>
      <c r="C3" s="5"/>
      <c r="D3" s="5"/>
      <c r="E3" s="5"/>
      <c r="F3" s="5"/>
      <c r="G3" s="5"/>
      <c r="H3" s="5"/>
      <c r="I3" s="5"/>
      <c r="J3" s="5"/>
      <c r="K3" s="5"/>
      <c r="L3" s="5"/>
      <c r="M3" s="5"/>
      <c r="N3" s="5"/>
    </row>
    <row r="5" spans="1:14" ht="18" x14ac:dyDescent="0.2">
      <c r="B5" s="6" t="s">
        <v>13</v>
      </c>
      <c r="C5" s="6"/>
    </row>
    <row r="7" spans="1:14" x14ac:dyDescent="0.15">
      <c r="B7" s="958" t="s">
        <v>14</v>
      </c>
      <c r="C7" s="960"/>
      <c r="D7" s="960"/>
      <c r="E7" s="959"/>
      <c r="F7" s="958" t="s">
        <v>15</v>
      </c>
      <c r="G7" s="960"/>
      <c r="H7" s="960"/>
      <c r="I7" s="959"/>
      <c r="J7" s="958" t="s">
        <v>16</v>
      </c>
      <c r="K7" s="960"/>
      <c r="L7" s="960"/>
      <c r="M7" s="960"/>
      <c r="N7" s="959"/>
    </row>
    <row r="8" spans="1:14" x14ac:dyDescent="0.15">
      <c r="B8" s="7"/>
      <c r="E8" s="8"/>
      <c r="F8" s="7"/>
      <c r="I8" s="8"/>
      <c r="J8" s="7"/>
      <c r="N8" s="8"/>
    </row>
    <row r="9" spans="1:14" ht="14.25" customHeight="1" x14ac:dyDescent="0.15">
      <c r="B9" s="7" t="s">
        <v>20</v>
      </c>
      <c r="D9" s="16"/>
      <c r="E9" s="12" t="s">
        <v>21</v>
      </c>
      <c r="F9" s="7" t="s">
        <v>22</v>
      </c>
      <c r="H9" s="15">
        <v>2</v>
      </c>
      <c r="I9" s="8"/>
      <c r="J9" s="17" t="s">
        <v>23</v>
      </c>
      <c r="N9" s="8"/>
    </row>
    <row r="10" spans="1:14" x14ac:dyDescent="0.15">
      <c r="B10" s="7"/>
      <c r="E10" s="8"/>
      <c r="F10" s="7"/>
      <c r="I10" s="8"/>
      <c r="J10" s="7"/>
      <c r="N10" s="8"/>
    </row>
    <row r="11" spans="1:14" x14ac:dyDescent="0.15">
      <c r="B11" s="7" t="s">
        <v>26</v>
      </c>
      <c r="D11" s="257"/>
      <c r="E11" s="19" t="s">
        <v>27</v>
      </c>
      <c r="F11" s="7" t="s">
        <v>28</v>
      </c>
      <c r="H11" s="14"/>
      <c r="I11" s="20" t="s">
        <v>30</v>
      </c>
      <c r="J11" s="7" t="s">
        <v>31</v>
      </c>
      <c r="N11" s="8"/>
    </row>
    <row r="12" spans="1:14" ht="14.25" customHeight="1" x14ac:dyDescent="0.15">
      <c r="B12" s="7"/>
      <c r="C12" s="12"/>
      <c r="D12" s="12"/>
      <c r="E12" s="13"/>
      <c r="F12" s="7"/>
      <c r="H12" s="12"/>
      <c r="I12" s="13"/>
      <c r="J12" s="7"/>
      <c r="N12" s="8"/>
    </row>
    <row r="13" spans="1:14" ht="14.25" customHeight="1" x14ac:dyDescent="0.2">
      <c r="B13" s="7" t="s">
        <v>46</v>
      </c>
      <c r="D13" s="14"/>
      <c r="E13" s="12" t="s">
        <v>48</v>
      </c>
      <c r="F13" s="7" t="s">
        <v>81</v>
      </c>
      <c r="H13" s="15"/>
      <c r="I13" s="13" t="s">
        <v>82</v>
      </c>
      <c r="J13" s="7" t="s">
        <v>39</v>
      </c>
      <c r="N13" s="8"/>
    </row>
    <row r="14" spans="1:14" ht="14.25" customHeight="1" x14ac:dyDescent="0.15">
      <c r="B14" s="7"/>
      <c r="E14" s="12"/>
      <c r="F14" s="7"/>
      <c r="I14" s="13"/>
      <c r="J14" s="7"/>
      <c r="N14" s="8"/>
    </row>
    <row r="15" spans="1:14" ht="14.25" customHeight="1" x14ac:dyDescent="0.15">
      <c r="B15" s="7" t="s">
        <v>51</v>
      </c>
      <c r="D15" s="580">
        <v>2</v>
      </c>
      <c r="E15" s="12"/>
      <c r="F15" s="7" t="s">
        <v>43</v>
      </c>
      <c r="H15" s="21" t="s">
        <v>83</v>
      </c>
      <c r="I15" s="12"/>
      <c r="J15" s="7"/>
      <c r="N15" s="8"/>
    </row>
    <row r="16" spans="1:14" ht="14.25" customHeight="1" x14ac:dyDescent="0.15">
      <c r="B16" s="7"/>
      <c r="E16" s="12"/>
      <c r="F16" s="7"/>
      <c r="I16" s="12"/>
      <c r="J16" s="7"/>
      <c r="N16" s="8"/>
    </row>
    <row r="17" spans="1:14" x14ac:dyDescent="0.15">
      <c r="B17" s="7" t="s">
        <v>55</v>
      </c>
      <c r="D17" s="580">
        <v>3</v>
      </c>
      <c r="E17" s="12"/>
      <c r="F17" s="7"/>
      <c r="H17" s="21"/>
      <c r="I17" s="12"/>
      <c r="J17" s="7"/>
      <c r="N17" s="8"/>
    </row>
    <row r="18" spans="1:14" x14ac:dyDescent="0.15">
      <c r="B18" s="7"/>
      <c r="E18" s="12"/>
      <c r="F18" s="7"/>
      <c r="I18" s="12"/>
      <c r="J18" s="7"/>
      <c r="N18" s="8"/>
    </row>
    <row r="19" spans="1:14" x14ac:dyDescent="0.15">
      <c r="B19" s="9" t="s">
        <v>58</v>
      </c>
      <c r="C19" s="5"/>
      <c r="D19" s="684" t="b">
        <f>Macro!D22</f>
        <v>0</v>
      </c>
      <c r="E19" s="683" t="str">
        <f>IF(D19=FALSE,"external treatment","")</f>
        <v>external treatment</v>
      </c>
      <c r="F19" s="9"/>
      <c r="G19" s="5"/>
      <c r="H19" s="5"/>
      <c r="I19" s="10"/>
      <c r="J19" s="9"/>
      <c r="K19" s="5"/>
      <c r="L19" s="5"/>
      <c r="M19" s="5"/>
      <c r="N19" s="10"/>
    </row>
    <row r="20" spans="1:14" x14ac:dyDescent="0.15">
      <c r="A20" s="5"/>
      <c r="B20" s="5"/>
      <c r="C20" s="5"/>
      <c r="D20" s="5"/>
      <c r="E20" s="5"/>
      <c r="F20" s="5"/>
      <c r="G20" s="5"/>
      <c r="H20" s="5"/>
      <c r="I20" s="5"/>
      <c r="J20" s="5"/>
      <c r="K20" s="5"/>
      <c r="L20" s="5"/>
      <c r="M20" s="5"/>
      <c r="N20" s="5"/>
    </row>
    <row r="22" spans="1:14" ht="15" customHeight="1" x14ac:dyDescent="0.2">
      <c r="B22" s="6" t="s">
        <v>62</v>
      </c>
    </row>
    <row r="23" spans="1:14" ht="14.25" customHeight="1" x14ac:dyDescent="0.15"/>
    <row r="24" spans="1:14" ht="14.25" customHeight="1" x14ac:dyDescent="0.15">
      <c r="B24" s="958" t="s">
        <v>84</v>
      </c>
      <c r="C24" s="960"/>
      <c r="D24" s="960"/>
      <c r="E24" s="960"/>
      <c r="F24" s="960"/>
      <c r="G24" s="960"/>
      <c r="H24" s="960"/>
      <c r="I24" s="960"/>
      <c r="J24" s="960"/>
      <c r="K24" s="960"/>
      <c r="L24" s="960"/>
      <c r="M24" s="960"/>
      <c r="N24" s="959"/>
    </row>
    <row r="25" spans="1:14" ht="14.25" customHeight="1" x14ac:dyDescent="0.15">
      <c r="B25" s="17"/>
      <c r="C25" s="11"/>
      <c r="D25" s="11"/>
      <c r="E25" s="11"/>
      <c r="F25" s="11"/>
      <c r="G25" s="11"/>
      <c r="H25" s="11"/>
      <c r="I25" s="11"/>
      <c r="J25" s="11"/>
      <c r="K25" s="11"/>
      <c r="L25" s="11"/>
      <c r="M25" s="11"/>
      <c r="N25" s="18"/>
    </row>
    <row r="26" spans="1:14" ht="14.25" customHeight="1" x14ac:dyDescent="0.15">
      <c r="B26" s="963" t="s">
        <v>85</v>
      </c>
      <c r="C26" s="964"/>
      <c r="D26" s="964" t="s">
        <v>86</v>
      </c>
      <c r="E26" s="964"/>
      <c r="F26" s="964"/>
      <c r="G26" s="964"/>
      <c r="H26" s="964"/>
      <c r="I26" s="964"/>
      <c r="J26" s="964"/>
      <c r="K26" s="964"/>
      <c r="L26" s="964"/>
      <c r="M26" s="964"/>
      <c r="N26" s="965"/>
    </row>
    <row r="27" spans="1:14" ht="14.25" customHeight="1" x14ac:dyDescent="0.15">
      <c r="B27" s="7"/>
      <c r="N27" s="8"/>
    </row>
    <row r="28" spans="1:14" ht="14.25" customHeight="1" x14ac:dyDescent="0.15">
      <c r="B28" s="7" t="s">
        <v>87</v>
      </c>
      <c r="C28" s="23" t="e">
        <f>'R1_Econ.'!J46</f>
        <v>#DIV/0!</v>
      </c>
      <c r="D28" s="21" t="s">
        <v>88</v>
      </c>
      <c r="N28" s="8"/>
    </row>
    <row r="29" spans="1:14" ht="14.25" customHeight="1" x14ac:dyDescent="0.15">
      <c r="B29" s="7"/>
      <c r="D29" s="21"/>
      <c r="N29" s="8"/>
    </row>
    <row r="30" spans="1:14" ht="14.25" customHeight="1" x14ac:dyDescent="0.15">
      <c r="B30" s="7" t="s">
        <v>89</v>
      </c>
      <c r="C30" s="380" t="e">
        <f>Evaluation!P5</f>
        <v>#DIV/0!</v>
      </c>
      <c r="D30" s="21" t="s">
        <v>90</v>
      </c>
      <c r="N30" s="8"/>
    </row>
    <row r="31" spans="1:14" ht="14.25" customHeight="1" x14ac:dyDescent="0.15">
      <c r="B31" s="7"/>
      <c r="D31" s="21"/>
      <c r="N31" s="8"/>
    </row>
    <row r="32" spans="1:14" ht="14.25" customHeight="1" x14ac:dyDescent="0.15">
      <c r="B32" s="7" t="s">
        <v>91</v>
      </c>
      <c r="C32" s="380" t="e">
        <f>Evaluation!P9</f>
        <v>#DIV/0!</v>
      </c>
      <c r="D32" s="21" t="s">
        <v>92</v>
      </c>
      <c r="N32" s="8"/>
    </row>
    <row r="33" spans="2:14" ht="14.25" customHeight="1" x14ac:dyDescent="0.15">
      <c r="B33" s="7"/>
      <c r="D33" s="21"/>
      <c r="N33" s="8"/>
    </row>
    <row r="34" spans="2:14" ht="14.25" customHeight="1" x14ac:dyDescent="0.15">
      <c r="B34" s="7" t="s">
        <v>93</v>
      </c>
      <c r="C34" s="380" t="e">
        <f>Evaluation!P6</f>
        <v>#DIV/0!</v>
      </c>
      <c r="D34" s="21" t="s">
        <v>92</v>
      </c>
      <c r="N34" s="8"/>
    </row>
    <row r="35" spans="2:14" ht="14.25" customHeight="1" x14ac:dyDescent="0.15">
      <c r="B35" s="7"/>
      <c r="D35" s="21"/>
      <c r="N35" s="8"/>
    </row>
    <row r="36" spans="2:14" ht="14.25" customHeight="1" x14ac:dyDescent="0.15">
      <c r="B36" s="7" t="s">
        <v>94</v>
      </c>
      <c r="C36" s="380" t="e">
        <f>C32-C34</f>
        <v>#DIV/0!</v>
      </c>
      <c r="D36" s="21" t="s">
        <v>92</v>
      </c>
      <c r="E36" s="11"/>
      <c r="F36" s="11"/>
      <c r="G36" s="11"/>
      <c r="H36" s="11"/>
      <c r="I36" s="11"/>
      <c r="J36" s="11"/>
      <c r="K36" s="11"/>
      <c r="L36" s="11"/>
      <c r="M36" s="11"/>
      <c r="N36" s="18"/>
    </row>
    <row r="37" spans="2:14" ht="14.25" customHeight="1" x14ac:dyDescent="0.15">
      <c r="B37" s="17"/>
      <c r="C37" s="11"/>
      <c r="D37" s="11"/>
      <c r="E37" s="11"/>
      <c r="F37" s="11"/>
      <c r="G37" s="11"/>
      <c r="H37" s="11"/>
      <c r="I37" s="11"/>
      <c r="J37" s="11"/>
      <c r="K37" s="11"/>
      <c r="L37" s="11"/>
      <c r="M37" s="11"/>
      <c r="N37" s="18"/>
    </row>
    <row r="38" spans="2:14" ht="14.25" customHeight="1" x14ac:dyDescent="0.15">
      <c r="B38" s="7" t="s">
        <v>95</v>
      </c>
      <c r="C38" s="380" t="e">
        <f>Evaluation!P10</f>
        <v>#DIV/0!</v>
      </c>
      <c r="D38" s="21" t="s">
        <v>96</v>
      </c>
      <c r="E38" s="11"/>
      <c r="F38" s="11"/>
      <c r="G38" s="11"/>
      <c r="H38" s="11"/>
      <c r="I38" s="11"/>
      <c r="J38" s="11"/>
      <c r="K38" s="11"/>
      <c r="L38" s="11"/>
      <c r="M38" s="11"/>
      <c r="N38" s="18"/>
    </row>
    <row r="39" spans="2:14" ht="14.25" customHeight="1" x14ac:dyDescent="0.15">
      <c r="B39" s="17"/>
      <c r="C39" s="11"/>
      <c r="D39" s="11"/>
      <c r="E39" s="11"/>
      <c r="F39" s="11"/>
      <c r="G39" s="11"/>
      <c r="H39" s="11"/>
      <c r="I39" s="11"/>
      <c r="J39" s="11"/>
      <c r="K39" s="11"/>
      <c r="L39" s="11"/>
      <c r="M39" s="11"/>
      <c r="N39" s="18"/>
    </row>
    <row r="40" spans="2:14" x14ac:dyDescent="0.15">
      <c r="B40" s="17"/>
      <c r="C40" s="11"/>
      <c r="D40" s="11"/>
      <c r="E40" s="11"/>
      <c r="F40" s="11"/>
      <c r="G40" s="11"/>
      <c r="H40" s="11"/>
      <c r="I40" s="11"/>
      <c r="J40" s="11"/>
      <c r="K40" s="11"/>
      <c r="L40" s="11"/>
      <c r="M40" s="11"/>
      <c r="N40" s="18"/>
    </row>
    <row r="41" spans="2:14" x14ac:dyDescent="0.15">
      <c r="B41" s="17"/>
      <c r="C41" s="11"/>
      <c r="D41" s="11"/>
      <c r="E41" s="11"/>
      <c r="F41" s="11"/>
      <c r="G41" s="11"/>
      <c r="H41" s="11"/>
      <c r="I41" s="11"/>
      <c r="J41" s="11"/>
      <c r="K41" s="11"/>
      <c r="L41" s="11"/>
      <c r="M41" s="11"/>
      <c r="N41" s="18"/>
    </row>
    <row r="42" spans="2:14" x14ac:dyDescent="0.15">
      <c r="B42" s="7"/>
      <c r="N42" s="8"/>
    </row>
    <row r="43" spans="2:14" x14ac:dyDescent="0.15">
      <c r="B43" s="7"/>
      <c r="N43" s="8"/>
    </row>
    <row r="44" spans="2:14" x14ac:dyDescent="0.15">
      <c r="B44" s="7"/>
      <c r="N44" s="8"/>
    </row>
    <row r="45" spans="2:14" x14ac:dyDescent="0.15">
      <c r="B45" s="7"/>
      <c r="N45" s="8"/>
    </row>
    <row r="46" spans="2:14" x14ac:dyDescent="0.15">
      <c r="B46" s="7"/>
      <c r="N46" s="8"/>
    </row>
    <row r="47" spans="2:14" x14ac:dyDescent="0.15">
      <c r="B47" s="7"/>
      <c r="N47" s="8"/>
    </row>
    <row r="48" spans="2:14" x14ac:dyDescent="0.15">
      <c r="B48" s="7"/>
      <c r="N48" s="8"/>
    </row>
    <row r="49" spans="2:14" x14ac:dyDescent="0.15">
      <c r="B49" s="7"/>
      <c r="N49" s="8"/>
    </row>
    <row r="50" spans="2:14" x14ac:dyDescent="0.15">
      <c r="B50" s="7"/>
      <c r="N50" s="8"/>
    </row>
    <row r="51" spans="2:14" x14ac:dyDescent="0.15">
      <c r="B51" s="7"/>
      <c r="N51" s="8"/>
    </row>
    <row r="52" spans="2:14" x14ac:dyDescent="0.15">
      <c r="B52" s="7"/>
      <c r="N52" s="8"/>
    </row>
    <row r="53" spans="2:14" x14ac:dyDescent="0.15">
      <c r="B53" s="7"/>
      <c r="N53" s="8"/>
    </row>
    <row r="54" spans="2:14" x14ac:dyDescent="0.15">
      <c r="B54" s="7"/>
      <c r="N54" s="8"/>
    </row>
    <row r="55" spans="2:14" x14ac:dyDescent="0.15">
      <c r="B55" s="7"/>
      <c r="N55" s="8"/>
    </row>
    <row r="56" spans="2:14" x14ac:dyDescent="0.15">
      <c r="B56" s="7"/>
      <c r="N56" s="8"/>
    </row>
    <row r="57" spans="2:14" x14ac:dyDescent="0.15">
      <c r="B57" s="7"/>
      <c r="N57" s="8"/>
    </row>
    <row r="58" spans="2:14" x14ac:dyDescent="0.15">
      <c r="B58" s="7"/>
      <c r="N58" s="8"/>
    </row>
    <row r="59" spans="2:14" x14ac:dyDescent="0.15">
      <c r="B59" s="7"/>
      <c r="N59" s="8"/>
    </row>
    <row r="60" spans="2:14" x14ac:dyDescent="0.15">
      <c r="B60" s="7"/>
      <c r="N60" s="8"/>
    </row>
    <row r="61" spans="2:14" x14ac:dyDescent="0.15">
      <c r="B61" s="7"/>
      <c r="N61" s="8"/>
    </row>
    <row r="62" spans="2:14" x14ac:dyDescent="0.15">
      <c r="B62" s="7"/>
      <c r="N62" s="8"/>
    </row>
    <row r="63" spans="2:14" x14ac:dyDescent="0.15">
      <c r="B63" s="7"/>
      <c r="N63" s="8"/>
    </row>
    <row r="64" spans="2:14" x14ac:dyDescent="0.15">
      <c r="B64" s="7"/>
      <c r="N64" s="8"/>
    </row>
    <row r="65" spans="2:14" x14ac:dyDescent="0.15">
      <c r="B65" s="7"/>
      <c r="N65" s="8"/>
    </row>
    <row r="66" spans="2:14" x14ac:dyDescent="0.15">
      <c r="B66" s="7"/>
      <c r="N66" s="8"/>
    </row>
    <row r="67" spans="2:14" x14ac:dyDescent="0.15">
      <c r="B67" s="7"/>
      <c r="N67" s="8"/>
    </row>
    <row r="68" spans="2:14" x14ac:dyDescent="0.15">
      <c r="B68" s="9"/>
      <c r="C68" s="5"/>
      <c r="D68" s="5"/>
      <c r="E68" s="5"/>
      <c r="F68" s="5"/>
      <c r="G68" s="5"/>
      <c r="H68" s="5"/>
      <c r="I68" s="5"/>
      <c r="J68" s="5"/>
      <c r="K68" s="5"/>
      <c r="L68" s="5"/>
      <c r="M68" s="5"/>
      <c r="N68" s="10"/>
    </row>
  </sheetData>
  <sheetProtection selectLockedCells="1" selectUnlockedCells="1"/>
  <protectedRanges>
    <protectedRange sqref="M26:M34 L26:L33 A1:O4 H9:I13 O18:O36 B12:E12 A6:O6 A5:B5 D5:O5 B21:N23 I14 B7:I8 F10:F14 N7:O17 A21:A38 E24:K38 B24:D25 H16:I16 B28:D35 B37:D38 D36 A20:N20 A7:A17" name="Bereich1"/>
    <protectedRange sqref="F16" name="Bereich1_1"/>
    <protectedRange sqref="F9" name="Bereich1_2"/>
    <protectedRange sqref="D9:E9 B9:B10 C10:E10" name="Bereich1_3"/>
    <protectedRange sqref="E13:E14 B13:B14" name="Bereich1_4"/>
    <protectedRange sqref="C17:E17 B15:B17 E15:E16" name="Bereich1_6"/>
    <protectedRange sqref="I15 F15" name="Bereich1_5_2"/>
  </protectedRanges>
  <mergeCells count="7">
    <mergeCell ref="B26:C26"/>
    <mergeCell ref="D26:N26"/>
    <mergeCell ref="B24:N24"/>
    <mergeCell ref="C1:I1"/>
    <mergeCell ref="B7:E7"/>
    <mergeCell ref="F7:I7"/>
    <mergeCell ref="J7:N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8193" r:id="rId4" name="Check Box 1">
              <controlPr defaultSize="0" autoFill="0" autoLine="0" autoPict="0" altText="">
                <anchor moveWithCells="1">
                  <from>
                    <xdr:col>3</xdr:col>
                    <xdr:colOff>1206500</xdr:colOff>
                    <xdr:row>9</xdr:row>
                    <xdr:rowOff>177800</xdr:rowOff>
                  </from>
                  <to>
                    <xdr:col>3</xdr:col>
                    <xdr:colOff>1435100</xdr:colOff>
                    <xdr:row>11</xdr:row>
                    <xdr:rowOff>0</xdr:rowOff>
                  </to>
                </anchor>
              </controlPr>
            </control>
          </mc:Choice>
        </mc:AlternateContent>
        <mc:AlternateContent xmlns:mc="http://schemas.openxmlformats.org/markup-compatibility/2006">
          <mc:Choice Requires="x14">
            <control shapeId="8195" r:id="rId5" name="Check Box 3">
              <controlPr defaultSize="0" autoFill="0" autoLine="0" autoPict="0" altText="">
                <anchor moveWithCells="1">
                  <from>
                    <xdr:col>3</xdr:col>
                    <xdr:colOff>1206500</xdr:colOff>
                    <xdr:row>9</xdr:row>
                    <xdr:rowOff>177800</xdr:rowOff>
                  </from>
                  <to>
                    <xdr:col>3</xdr:col>
                    <xdr:colOff>1435100</xdr:colOff>
                    <xdr:row>11</xdr:row>
                    <xdr:rowOff>0</xdr:rowOff>
                  </to>
                </anchor>
              </controlPr>
            </control>
          </mc:Choice>
        </mc:AlternateContent>
        <mc:AlternateContent xmlns:mc="http://schemas.openxmlformats.org/markup-compatibility/2006">
          <mc:Choice Requires="x14">
            <control shapeId="8197" r:id="rId6" name="Drop Down 5">
              <controlPr defaultSize="0" autoLine="0" autoPict="0">
                <anchor moveWithCells="1">
                  <from>
                    <xdr:col>3</xdr:col>
                    <xdr:colOff>12700</xdr:colOff>
                    <xdr:row>8</xdr:row>
                    <xdr:rowOff>12700</xdr:rowOff>
                  </from>
                  <to>
                    <xdr:col>4</xdr:col>
                    <xdr:colOff>0</xdr:colOff>
                    <xdr:row>9</xdr:row>
                    <xdr:rowOff>12700</xdr:rowOff>
                  </to>
                </anchor>
              </controlPr>
            </control>
          </mc:Choice>
        </mc:AlternateContent>
        <mc:AlternateContent xmlns:mc="http://schemas.openxmlformats.org/markup-compatibility/2006">
          <mc:Choice Requires="x14">
            <control shapeId="8204" r:id="rId7" name="Drop Down 12">
              <controlPr defaultSize="0" autoLine="0" autoPict="0">
                <anchor moveWithCells="1">
                  <from>
                    <xdr:col>7</xdr:col>
                    <xdr:colOff>12700</xdr:colOff>
                    <xdr:row>8</xdr:row>
                    <xdr:rowOff>0</xdr:rowOff>
                  </from>
                  <to>
                    <xdr:col>8</xdr:col>
                    <xdr:colOff>0</xdr:colOff>
                    <xdr:row>9</xdr:row>
                    <xdr:rowOff>0</xdr:rowOff>
                  </to>
                </anchor>
              </controlPr>
            </control>
          </mc:Choice>
        </mc:AlternateContent>
        <mc:AlternateContent xmlns:mc="http://schemas.openxmlformats.org/markup-compatibility/2006">
          <mc:Choice Requires="x14">
            <control shapeId="8211" r:id="rId8" name="Drop Down 19">
              <controlPr defaultSize="0" autoLine="0" autoPict="0">
                <anchor moveWithCells="1">
                  <from>
                    <xdr:col>3</xdr:col>
                    <xdr:colOff>0</xdr:colOff>
                    <xdr:row>15</xdr:row>
                    <xdr:rowOff>165100</xdr:rowOff>
                  </from>
                  <to>
                    <xdr:col>3</xdr:col>
                    <xdr:colOff>1435100</xdr:colOff>
                    <xdr:row>16</xdr:row>
                    <xdr:rowOff>165100</xdr:rowOff>
                  </to>
                </anchor>
              </controlPr>
            </control>
          </mc:Choice>
        </mc:AlternateContent>
        <mc:AlternateContent xmlns:mc="http://schemas.openxmlformats.org/markup-compatibility/2006">
          <mc:Choice Requires="x14">
            <control shapeId="8212" r:id="rId9" name="Drop Down 20">
              <controlPr defaultSize="0" autoLine="0" autoPict="0">
                <anchor moveWithCells="1">
                  <from>
                    <xdr:col>3</xdr:col>
                    <xdr:colOff>12700</xdr:colOff>
                    <xdr:row>14</xdr:row>
                    <xdr:rowOff>12700</xdr:rowOff>
                  </from>
                  <to>
                    <xdr:col>4</xdr:col>
                    <xdr:colOff>12700</xdr:colOff>
                    <xdr:row>15</xdr:row>
                    <xdr:rowOff>12700</xdr:rowOff>
                  </to>
                </anchor>
              </controlPr>
            </control>
          </mc:Choice>
        </mc:AlternateContent>
        <mc:AlternateContent xmlns:mc="http://schemas.openxmlformats.org/markup-compatibility/2006">
          <mc:Choice Requires="x14">
            <control shapeId="8213" r:id="rId10" name="Check Box 21">
              <controlPr defaultSize="0" autoFill="0" autoLine="0" autoPict="0" altText="">
                <anchor moveWithCells="1">
                  <from>
                    <xdr:col>3</xdr:col>
                    <xdr:colOff>1244600</xdr:colOff>
                    <xdr:row>17</xdr:row>
                    <xdr:rowOff>152400</xdr:rowOff>
                  </from>
                  <to>
                    <xdr:col>4</xdr:col>
                    <xdr:colOff>12700</xdr:colOff>
                    <xdr:row>18</xdr:row>
                    <xdr:rowOff>165100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2">
    <tabColor rgb="FF99B2BC"/>
  </sheetPr>
  <dimension ref="A1:N69"/>
  <sheetViews>
    <sheetView zoomScale="70" zoomScaleNormal="70" workbookViewId="0"/>
  </sheetViews>
  <sheetFormatPr baseColWidth="10" defaultColWidth="9.1640625" defaultRowHeight="14" x14ac:dyDescent="0.15"/>
  <cols>
    <col min="1" max="1" width="3.1640625" style="4" customWidth="1"/>
    <col min="2" max="14" width="21.6640625" style="4" customWidth="1"/>
    <col min="15" max="16384" width="9.1640625" style="4"/>
  </cols>
  <sheetData>
    <row r="1" spans="1:14" ht="45" customHeight="1" x14ac:dyDescent="0.15">
      <c r="A1" s="3"/>
      <c r="B1" s="3"/>
      <c r="C1" s="966" t="s">
        <v>12</v>
      </c>
      <c r="D1" s="966"/>
      <c r="E1" s="966"/>
      <c r="F1" s="966"/>
      <c r="G1" s="966"/>
      <c r="H1" s="966"/>
      <c r="I1" s="966"/>
      <c r="J1" s="3"/>
      <c r="K1" s="3"/>
      <c r="L1" s="3"/>
      <c r="M1" s="3"/>
      <c r="N1" s="3"/>
    </row>
    <row r="3" spans="1:14" x14ac:dyDescent="0.15">
      <c r="A3" s="5"/>
      <c r="B3" s="5"/>
      <c r="C3" s="5"/>
      <c r="D3" s="5"/>
      <c r="E3" s="5"/>
      <c r="F3" s="5"/>
      <c r="G3" s="5"/>
      <c r="H3" s="5"/>
      <c r="I3" s="5"/>
      <c r="J3" s="5"/>
      <c r="K3" s="5"/>
      <c r="L3" s="5"/>
      <c r="M3" s="5"/>
      <c r="N3" s="5"/>
    </row>
    <row r="5" spans="1:14" ht="18" x14ac:dyDescent="0.2">
      <c r="B5" s="6" t="s">
        <v>13</v>
      </c>
      <c r="C5" s="6"/>
    </row>
    <row r="7" spans="1:14" ht="14.25" customHeight="1" x14ac:dyDescent="0.15">
      <c r="B7" s="958" t="s">
        <v>14</v>
      </c>
      <c r="C7" s="960"/>
      <c r="D7" s="960"/>
      <c r="E7" s="959"/>
      <c r="F7" s="958" t="s">
        <v>15</v>
      </c>
      <c r="G7" s="960"/>
      <c r="H7" s="960"/>
      <c r="I7" s="960"/>
      <c r="J7" s="958" t="s">
        <v>16</v>
      </c>
      <c r="K7" s="960"/>
      <c r="L7" s="960"/>
      <c r="M7" s="960"/>
      <c r="N7" s="959"/>
    </row>
    <row r="8" spans="1:14" ht="14.25" customHeight="1" x14ac:dyDescent="0.15">
      <c r="B8" s="7"/>
      <c r="E8" s="8"/>
      <c r="F8" s="7"/>
      <c r="J8" s="7"/>
      <c r="N8" s="8"/>
    </row>
    <row r="9" spans="1:14" ht="14.25" customHeight="1" x14ac:dyDescent="0.15">
      <c r="B9" s="7" t="s">
        <v>20</v>
      </c>
      <c r="D9" s="16"/>
      <c r="E9" s="13" t="s">
        <v>21</v>
      </c>
      <c r="F9" s="7" t="s">
        <v>22</v>
      </c>
      <c r="H9" s="15"/>
      <c r="J9" s="7" t="s">
        <v>23</v>
      </c>
      <c r="N9" s="8"/>
    </row>
    <row r="10" spans="1:14" ht="14.25" customHeight="1" x14ac:dyDescent="0.15">
      <c r="B10" s="7"/>
      <c r="E10" s="8"/>
      <c r="F10" s="7"/>
      <c r="J10" s="7"/>
      <c r="N10" s="8"/>
    </row>
    <row r="11" spans="1:14" ht="14.25" customHeight="1" x14ac:dyDescent="0.15">
      <c r="B11" s="7" t="s">
        <v>34</v>
      </c>
      <c r="D11" s="257"/>
      <c r="E11" s="19" t="s">
        <v>35</v>
      </c>
      <c r="F11" s="7" t="s">
        <v>28</v>
      </c>
      <c r="H11" s="14">
        <v>7.6100000000000001E-2</v>
      </c>
      <c r="I11" s="386" t="s">
        <v>30</v>
      </c>
      <c r="J11" s="17" t="s">
        <v>31</v>
      </c>
      <c r="N11" s="8"/>
    </row>
    <row r="12" spans="1:14" ht="14.25" customHeight="1" x14ac:dyDescent="0.15">
      <c r="B12" s="7"/>
      <c r="E12" s="8"/>
      <c r="F12" s="7"/>
      <c r="H12" s="12"/>
      <c r="I12" s="12"/>
      <c r="J12" s="7"/>
      <c r="N12" s="8"/>
    </row>
    <row r="13" spans="1:14" ht="14.25" customHeight="1" x14ac:dyDescent="0.2">
      <c r="B13" s="7" t="s">
        <v>42</v>
      </c>
      <c r="D13" s="257"/>
      <c r="E13" s="19" t="s">
        <v>35</v>
      </c>
      <c r="F13" s="7" t="s">
        <v>81</v>
      </c>
      <c r="H13" s="15">
        <v>0.31900000000000001</v>
      </c>
      <c r="I13" s="12" t="s">
        <v>82</v>
      </c>
      <c r="J13" s="7" t="s">
        <v>39</v>
      </c>
      <c r="N13" s="8"/>
    </row>
    <row r="14" spans="1:14" ht="14.25" customHeight="1" x14ac:dyDescent="0.15">
      <c r="B14" s="7"/>
      <c r="E14" s="19"/>
      <c r="F14" s="7"/>
      <c r="I14" s="12"/>
      <c r="J14" s="7"/>
      <c r="N14" s="8"/>
    </row>
    <row r="15" spans="1:14" ht="14.25" customHeight="1" x14ac:dyDescent="0.15">
      <c r="B15" s="7" t="s">
        <v>46</v>
      </c>
      <c r="D15" s="14"/>
      <c r="E15" s="13" t="s">
        <v>48</v>
      </c>
      <c r="F15" s="7" t="s">
        <v>43</v>
      </c>
      <c r="H15" s="21" t="s">
        <v>83</v>
      </c>
      <c r="I15" s="12"/>
      <c r="J15" s="7"/>
      <c r="N15" s="8"/>
    </row>
    <row r="16" spans="1:14" ht="14.25" customHeight="1" x14ac:dyDescent="0.15">
      <c r="B16" s="7"/>
      <c r="E16" s="13"/>
      <c r="F16" s="7"/>
      <c r="J16" s="7"/>
      <c r="N16" s="8"/>
    </row>
    <row r="17" spans="1:14" ht="14.25" customHeight="1" x14ac:dyDescent="0.15">
      <c r="B17" s="7" t="s">
        <v>51</v>
      </c>
      <c r="D17" s="580">
        <v>2</v>
      </c>
      <c r="E17" s="12"/>
      <c r="F17" s="7"/>
      <c r="J17" s="7"/>
      <c r="N17" s="8"/>
    </row>
    <row r="18" spans="1:14" ht="14.25" customHeight="1" x14ac:dyDescent="0.15">
      <c r="B18" s="7"/>
      <c r="E18" s="12"/>
      <c r="F18" s="7"/>
      <c r="J18" s="7"/>
      <c r="N18" s="8"/>
    </row>
    <row r="19" spans="1:14" ht="14.25" customHeight="1" x14ac:dyDescent="0.15">
      <c r="B19" s="7" t="s">
        <v>55</v>
      </c>
      <c r="D19" s="580">
        <v>3</v>
      </c>
      <c r="E19" s="12"/>
      <c r="F19" s="7"/>
      <c r="J19" s="7"/>
      <c r="N19" s="8"/>
    </row>
    <row r="20" spans="1:14" x14ac:dyDescent="0.15">
      <c r="B20" s="7"/>
      <c r="E20" s="12"/>
      <c r="F20" s="7"/>
      <c r="J20" s="7"/>
      <c r="N20" s="8"/>
    </row>
    <row r="21" spans="1:14" x14ac:dyDescent="0.15">
      <c r="B21" s="9" t="s">
        <v>58</v>
      </c>
      <c r="C21" s="5"/>
      <c r="D21" s="684" t="b">
        <f>Macro!D22</f>
        <v>0</v>
      </c>
      <c r="E21" s="683" t="str">
        <f>IF(D21=FALSE,"external treatment","")</f>
        <v>external treatment</v>
      </c>
      <c r="F21" s="9"/>
      <c r="G21" s="5"/>
      <c r="H21" s="5"/>
      <c r="I21" s="5"/>
      <c r="J21" s="9"/>
      <c r="K21" s="5"/>
      <c r="L21" s="5"/>
      <c r="M21" s="5"/>
      <c r="N21" s="10"/>
    </row>
    <row r="22" spans="1:14" x14ac:dyDescent="0.15">
      <c r="A22" s="5"/>
      <c r="B22" s="5"/>
      <c r="C22" s="5"/>
      <c r="D22" s="5"/>
      <c r="E22" s="5"/>
      <c r="F22" s="5"/>
      <c r="G22" s="5"/>
      <c r="H22" s="5"/>
      <c r="I22" s="5"/>
      <c r="J22" s="5"/>
      <c r="K22" s="5"/>
      <c r="L22" s="5"/>
      <c r="M22" s="5"/>
      <c r="N22" s="5"/>
    </row>
    <row r="24" spans="1:14" ht="15" customHeight="1" x14ac:dyDescent="0.2">
      <c r="B24" s="6" t="s">
        <v>62</v>
      </c>
    </row>
    <row r="25" spans="1:14" ht="14.25" customHeight="1" x14ac:dyDescent="0.15"/>
    <row r="26" spans="1:14" ht="14.25" customHeight="1" x14ac:dyDescent="0.15">
      <c r="B26" s="958" t="s">
        <v>84</v>
      </c>
      <c r="C26" s="960"/>
      <c r="D26" s="960"/>
      <c r="E26" s="960"/>
      <c r="F26" s="960"/>
      <c r="G26" s="960"/>
      <c r="H26" s="960"/>
      <c r="I26" s="960"/>
      <c r="J26" s="960"/>
      <c r="K26" s="960"/>
      <c r="L26" s="960"/>
      <c r="M26" s="960"/>
      <c r="N26" s="959"/>
    </row>
    <row r="27" spans="1:14" ht="14.25" customHeight="1" x14ac:dyDescent="0.15">
      <c r="B27" s="17"/>
      <c r="C27" s="11"/>
      <c r="D27" s="11"/>
      <c r="E27" s="11"/>
      <c r="F27" s="11"/>
      <c r="G27" s="11"/>
      <c r="H27" s="11"/>
      <c r="I27" s="11"/>
      <c r="J27" s="11"/>
      <c r="K27" s="11"/>
      <c r="L27" s="11"/>
      <c r="M27" s="11"/>
      <c r="N27" s="18"/>
    </row>
    <row r="28" spans="1:14" ht="14.25" customHeight="1" x14ac:dyDescent="0.15">
      <c r="B28" s="963" t="s">
        <v>85</v>
      </c>
      <c r="C28" s="964"/>
      <c r="D28" s="964" t="s">
        <v>86</v>
      </c>
      <c r="E28" s="964"/>
      <c r="F28" s="964"/>
      <c r="G28" s="964"/>
      <c r="H28" s="964"/>
      <c r="I28" s="964"/>
      <c r="J28" s="964"/>
      <c r="K28" s="964"/>
      <c r="L28" s="964"/>
      <c r="M28" s="964"/>
      <c r="N28" s="965"/>
    </row>
    <row r="29" spans="1:14" ht="14.25" customHeight="1" x14ac:dyDescent="0.15">
      <c r="B29" s="7"/>
      <c r="N29" s="8"/>
    </row>
    <row r="30" spans="1:14" ht="14.25" customHeight="1" x14ac:dyDescent="0.15">
      <c r="B30" s="7" t="s">
        <v>87</v>
      </c>
      <c r="C30" s="23" t="e">
        <f>'R2_Econ.'!J50</f>
        <v>#DIV/0!</v>
      </c>
      <c r="D30" s="21" t="s">
        <v>88</v>
      </c>
      <c r="N30" s="8"/>
    </row>
    <row r="31" spans="1:14" ht="14.25" customHeight="1" x14ac:dyDescent="0.15">
      <c r="B31" s="7"/>
      <c r="D31" s="21"/>
      <c r="N31" s="8"/>
    </row>
    <row r="32" spans="1:14" ht="14.25" customHeight="1" x14ac:dyDescent="0.15">
      <c r="B32" s="7" t="s">
        <v>89</v>
      </c>
      <c r="C32" s="380" t="e">
        <f>Evaluation!Q5</f>
        <v>#DIV/0!</v>
      </c>
      <c r="D32" s="21" t="s">
        <v>90</v>
      </c>
      <c r="N32" s="8"/>
    </row>
    <row r="33" spans="2:14" ht="14.25" customHeight="1" x14ac:dyDescent="0.15">
      <c r="B33" s="7"/>
      <c r="D33" s="21"/>
      <c r="N33" s="8"/>
    </row>
    <row r="34" spans="2:14" ht="14.25" customHeight="1" x14ac:dyDescent="0.15">
      <c r="B34" s="7" t="s">
        <v>91</v>
      </c>
      <c r="C34" s="380" t="e">
        <f>Evaluation!Q9</f>
        <v>#DIV/0!</v>
      </c>
      <c r="D34" s="21" t="s">
        <v>92</v>
      </c>
      <c r="N34" s="8"/>
    </row>
    <row r="35" spans="2:14" ht="14.25" customHeight="1" x14ac:dyDescent="0.15">
      <c r="B35" s="7"/>
      <c r="D35" s="21"/>
      <c r="N35" s="8"/>
    </row>
    <row r="36" spans="2:14" ht="14.25" customHeight="1" x14ac:dyDescent="0.15">
      <c r="B36" s="7" t="s">
        <v>93</v>
      </c>
      <c r="C36" s="380" t="e">
        <f>Evaluation!Q8</f>
        <v>#DIV/0!</v>
      </c>
      <c r="D36" s="21" t="s">
        <v>92</v>
      </c>
      <c r="N36" s="8"/>
    </row>
    <row r="37" spans="2:14" ht="14.25" customHeight="1" x14ac:dyDescent="0.15">
      <c r="B37" s="7"/>
      <c r="D37" s="21"/>
      <c r="N37" s="8"/>
    </row>
    <row r="38" spans="2:14" ht="14.25" customHeight="1" x14ac:dyDescent="0.15">
      <c r="B38" s="7" t="s">
        <v>94</v>
      </c>
      <c r="C38" s="380" t="e">
        <f>C34-C36</f>
        <v>#DIV/0!</v>
      </c>
      <c r="D38" s="21" t="s">
        <v>92</v>
      </c>
      <c r="E38" s="11"/>
      <c r="F38" s="11"/>
      <c r="G38" s="11"/>
      <c r="H38" s="11"/>
      <c r="I38" s="11"/>
      <c r="J38" s="11"/>
      <c r="K38" s="11"/>
      <c r="L38" s="11"/>
      <c r="M38" s="11"/>
      <c r="N38" s="18"/>
    </row>
    <row r="39" spans="2:14" ht="14.25" customHeight="1" x14ac:dyDescent="0.15">
      <c r="B39" s="17"/>
      <c r="C39" s="11"/>
      <c r="D39" s="11"/>
      <c r="E39" s="11"/>
      <c r="F39" s="11"/>
      <c r="G39" s="11"/>
      <c r="H39" s="11"/>
      <c r="I39" s="11"/>
      <c r="J39" s="11"/>
      <c r="K39" s="11"/>
      <c r="L39" s="11"/>
      <c r="M39" s="11"/>
      <c r="N39" s="18"/>
    </row>
    <row r="40" spans="2:14" ht="14.25" customHeight="1" x14ac:dyDescent="0.15">
      <c r="B40" s="7" t="s">
        <v>95</v>
      </c>
      <c r="C40" s="380" t="e">
        <f>Evaluation!Q10</f>
        <v>#DIV/0!</v>
      </c>
      <c r="D40" s="21" t="s">
        <v>96</v>
      </c>
      <c r="E40" s="11"/>
      <c r="F40" s="11"/>
      <c r="G40" s="11"/>
      <c r="H40" s="11"/>
      <c r="I40" s="11"/>
      <c r="J40" s="11"/>
      <c r="K40" s="11"/>
      <c r="L40" s="11"/>
      <c r="M40" s="11"/>
      <c r="N40" s="18"/>
    </row>
    <row r="41" spans="2:14" ht="14.25" customHeight="1" x14ac:dyDescent="0.15">
      <c r="B41" s="17"/>
      <c r="C41" s="11"/>
      <c r="D41" s="11"/>
      <c r="E41" s="11"/>
      <c r="F41" s="11"/>
      <c r="G41" s="11"/>
      <c r="H41" s="11"/>
      <c r="I41" s="11"/>
      <c r="J41" s="11"/>
      <c r="K41" s="11"/>
      <c r="L41" s="11"/>
      <c r="M41" s="11"/>
      <c r="N41" s="18"/>
    </row>
    <row r="42" spans="2:14" x14ac:dyDescent="0.15">
      <c r="B42" s="17"/>
      <c r="C42" s="11"/>
      <c r="D42" s="11"/>
      <c r="E42" s="11"/>
      <c r="F42" s="11"/>
      <c r="G42" s="11"/>
      <c r="H42" s="11"/>
      <c r="I42" s="11"/>
      <c r="J42" s="11"/>
      <c r="K42" s="11"/>
      <c r="L42" s="11"/>
      <c r="M42" s="11"/>
      <c r="N42" s="18"/>
    </row>
    <row r="43" spans="2:14" x14ac:dyDescent="0.15">
      <c r="B43" s="17"/>
      <c r="C43" s="11"/>
      <c r="D43" s="11"/>
      <c r="E43" s="11"/>
      <c r="F43" s="11"/>
      <c r="G43" s="11"/>
      <c r="H43" s="11"/>
      <c r="I43" s="11"/>
      <c r="J43" s="11"/>
      <c r="K43" s="11"/>
      <c r="L43" s="11"/>
      <c r="M43" s="11"/>
      <c r="N43" s="18"/>
    </row>
    <row r="44" spans="2:14" x14ac:dyDescent="0.15">
      <c r="B44" s="7"/>
      <c r="N44" s="8"/>
    </row>
    <row r="45" spans="2:14" x14ac:dyDescent="0.15">
      <c r="B45" s="7"/>
      <c r="N45" s="8"/>
    </row>
    <row r="46" spans="2:14" x14ac:dyDescent="0.15">
      <c r="B46" s="7"/>
      <c r="N46" s="8"/>
    </row>
    <row r="47" spans="2:14" x14ac:dyDescent="0.15">
      <c r="B47" s="7"/>
      <c r="N47" s="8"/>
    </row>
    <row r="48" spans="2:14" x14ac:dyDescent="0.15">
      <c r="B48" s="7"/>
      <c r="N48" s="8"/>
    </row>
    <row r="49" spans="2:14" x14ac:dyDescent="0.15">
      <c r="B49" s="7"/>
      <c r="N49" s="8"/>
    </row>
    <row r="50" spans="2:14" x14ac:dyDescent="0.15">
      <c r="B50" s="7"/>
      <c r="N50" s="8"/>
    </row>
    <row r="51" spans="2:14" x14ac:dyDescent="0.15">
      <c r="B51" s="7"/>
      <c r="N51" s="8"/>
    </row>
    <row r="52" spans="2:14" x14ac:dyDescent="0.15">
      <c r="B52" s="7"/>
      <c r="N52" s="8"/>
    </row>
    <row r="53" spans="2:14" x14ac:dyDescent="0.15">
      <c r="B53" s="7"/>
      <c r="N53" s="8"/>
    </row>
    <row r="54" spans="2:14" x14ac:dyDescent="0.15">
      <c r="B54" s="7"/>
      <c r="N54" s="8"/>
    </row>
    <row r="55" spans="2:14" x14ac:dyDescent="0.15">
      <c r="B55" s="7"/>
      <c r="N55" s="8"/>
    </row>
    <row r="56" spans="2:14" x14ac:dyDescent="0.15">
      <c r="B56" s="7"/>
      <c r="N56" s="8"/>
    </row>
    <row r="57" spans="2:14" x14ac:dyDescent="0.15">
      <c r="B57" s="7"/>
      <c r="N57" s="8"/>
    </row>
    <row r="58" spans="2:14" x14ac:dyDescent="0.15">
      <c r="B58" s="7"/>
      <c r="N58" s="8"/>
    </row>
    <row r="59" spans="2:14" x14ac:dyDescent="0.15">
      <c r="B59" s="7"/>
      <c r="N59" s="8"/>
    </row>
    <row r="60" spans="2:14" x14ac:dyDescent="0.15">
      <c r="B60" s="7"/>
      <c r="N60" s="8"/>
    </row>
    <row r="61" spans="2:14" x14ac:dyDescent="0.15">
      <c r="B61" s="7"/>
      <c r="N61" s="8"/>
    </row>
    <row r="62" spans="2:14" x14ac:dyDescent="0.15">
      <c r="B62" s="7"/>
      <c r="N62" s="8"/>
    </row>
    <row r="63" spans="2:14" x14ac:dyDescent="0.15">
      <c r="B63" s="7"/>
      <c r="N63" s="8"/>
    </row>
    <row r="64" spans="2:14" x14ac:dyDescent="0.15">
      <c r="B64" s="7"/>
      <c r="N64" s="8"/>
    </row>
    <row r="65" spans="2:14" x14ac:dyDescent="0.15">
      <c r="B65" s="7"/>
      <c r="N65" s="8"/>
    </row>
    <row r="66" spans="2:14" x14ac:dyDescent="0.15">
      <c r="B66" s="7"/>
      <c r="N66" s="8"/>
    </row>
    <row r="67" spans="2:14" x14ac:dyDescent="0.15">
      <c r="B67" s="7"/>
      <c r="N67" s="8"/>
    </row>
    <row r="68" spans="2:14" x14ac:dyDescent="0.15">
      <c r="B68" s="7"/>
      <c r="N68" s="8"/>
    </row>
    <row r="69" spans="2:14" x14ac:dyDescent="0.15">
      <c r="B69" s="9"/>
      <c r="C69" s="5"/>
      <c r="D69" s="5"/>
      <c r="E69" s="5"/>
      <c r="F69" s="5"/>
      <c r="G69" s="5"/>
      <c r="H69" s="5"/>
      <c r="I69" s="5"/>
      <c r="J69" s="5"/>
      <c r="K69" s="5"/>
      <c r="L69" s="5"/>
      <c r="M69" s="5"/>
      <c r="N69" s="10"/>
    </row>
  </sheetData>
  <sheetProtection selectLockedCells="1" selectUnlockedCells="1"/>
  <protectedRanges>
    <protectedRange sqref="M28:M36 L28:L35 A1:O4 H9:I13 O20:O38 A6:O6 A5:B5 D5:O5 B22:N25 I14 B7:I8 F10:F14 N7:O19 A22:A40 E26:K40 B26:D27 H16:I16 B30:D37 B39:D40 A7:A19" name="Bereich1"/>
    <protectedRange sqref="F16" name="Bereich1_1"/>
    <protectedRange sqref="F9" name="Bereich1_2"/>
    <protectedRange sqref="B12:E12 B14:D14" name="Bereich1_4"/>
    <protectedRange sqref="D9:E9 B9:B10 C10:E10" name="Bereich1_4_1"/>
    <protectedRange sqref="E15:E16 B15:B16" name="Bereich1_4_2"/>
    <protectedRange sqref="D38" name="Bereich1_3"/>
    <protectedRange sqref="C19:E19 B17:B19 E17:E18" name="Bereich1_6"/>
    <protectedRange sqref="I15 F15" name="Bereich1_5_2"/>
  </protectedRanges>
  <mergeCells count="7">
    <mergeCell ref="B28:C28"/>
    <mergeCell ref="D28:N28"/>
    <mergeCell ref="B26:N26"/>
    <mergeCell ref="C1:I1"/>
    <mergeCell ref="B7:E7"/>
    <mergeCell ref="F7:I7"/>
    <mergeCell ref="J7:N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6385" r:id="rId4" name="Check Box 1">
              <controlPr defaultSize="0" autoFill="0" autoLine="0" autoPict="0" altText="">
                <anchor moveWithCells="1">
                  <from>
                    <xdr:col>3</xdr:col>
                    <xdr:colOff>1206500</xdr:colOff>
                    <xdr:row>9</xdr:row>
                    <xdr:rowOff>177800</xdr:rowOff>
                  </from>
                  <to>
                    <xdr:col>3</xdr:col>
                    <xdr:colOff>1435100</xdr:colOff>
                    <xdr:row>11</xdr:row>
                    <xdr:rowOff>0</xdr:rowOff>
                  </to>
                </anchor>
              </controlPr>
            </control>
          </mc:Choice>
        </mc:AlternateContent>
        <mc:AlternateContent xmlns:mc="http://schemas.openxmlformats.org/markup-compatibility/2006">
          <mc:Choice Requires="x14">
            <control shapeId="16386" r:id="rId5" name="Check Box 2">
              <controlPr defaultSize="0" autoFill="0" autoLine="0" autoPict="0" altText="">
                <anchor moveWithCells="1">
                  <from>
                    <xdr:col>3</xdr:col>
                    <xdr:colOff>1206500</xdr:colOff>
                    <xdr:row>9</xdr:row>
                    <xdr:rowOff>177800</xdr:rowOff>
                  </from>
                  <to>
                    <xdr:col>3</xdr:col>
                    <xdr:colOff>1435100</xdr:colOff>
                    <xdr:row>11</xdr:row>
                    <xdr:rowOff>0</xdr:rowOff>
                  </to>
                </anchor>
              </controlPr>
            </control>
          </mc:Choice>
        </mc:AlternateContent>
        <mc:AlternateContent xmlns:mc="http://schemas.openxmlformats.org/markup-compatibility/2006">
          <mc:Choice Requires="x14">
            <control shapeId="16388" r:id="rId6" name="Check Box 4">
              <controlPr defaultSize="0" autoFill="0" autoLine="0" autoPict="0" altText="">
                <anchor moveWithCells="1">
                  <from>
                    <xdr:col>3</xdr:col>
                    <xdr:colOff>1206500</xdr:colOff>
                    <xdr:row>9</xdr:row>
                    <xdr:rowOff>177800</xdr:rowOff>
                  </from>
                  <to>
                    <xdr:col>3</xdr:col>
                    <xdr:colOff>1435100</xdr:colOff>
                    <xdr:row>11</xdr:row>
                    <xdr:rowOff>0</xdr:rowOff>
                  </to>
                </anchor>
              </controlPr>
            </control>
          </mc:Choice>
        </mc:AlternateContent>
        <mc:AlternateContent xmlns:mc="http://schemas.openxmlformats.org/markup-compatibility/2006">
          <mc:Choice Requires="x14">
            <control shapeId="16389" r:id="rId7" name="Check Box 5">
              <controlPr defaultSize="0" autoFill="0" autoLine="0" autoPict="0" altText="">
                <anchor moveWithCells="1">
                  <from>
                    <xdr:col>3</xdr:col>
                    <xdr:colOff>1206500</xdr:colOff>
                    <xdr:row>11</xdr:row>
                    <xdr:rowOff>177800</xdr:rowOff>
                  </from>
                  <to>
                    <xdr:col>3</xdr:col>
                    <xdr:colOff>1435100</xdr:colOff>
                    <xdr:row>13</xdr:row>
                    <xdr:rowOff>0</xdr:rowOff>
                  </to>
                </anchor>
              </controlPr>
            </control>
          </mc:Choice>
        </mc:AlternateContent>
        <mc:AlternateContent xmlns:mc="http://schemas.openxmlformats.org/markup-compatibility/2006">
          <mc:Choice Requires="x14">
            <control shapeId="16390" r:id="rId8" name="Check Box 6">
              <controlPr defaultSize="0" autoFill="0" autoLine="0" autoPict="0" altText="">
                <anchor moveWithCells="1">
                  <from>
                    <xdr:col>3</xdr:col>
                    <xdr:colOff>1206500</xdr:colOff>
                    <xdr:row>9</xdr:row>
                    <xdr:rowOff>177800</xdr:rowOff>
                  </from>
                  <to>
                    <xdr:col>3</xdr:col>
                    <xdr:colOff>1435100</xdr:colOff>
                    <xdr:row>11</xdr:row>
                    <xdr:rowOff>0</xdr:rowOff>
                  </to>
                </anchor>
              </controlPr>
            </control>
          </mc:Choice>
        </mc:AlternateContent>
        <mc:AlternateContent xmlns:mc="http://schemas.openxmlformats.org/markup-compatibility/2006">
          <mc:Choice Requires="x14">
            <control shapeId="16392" r:id="rId9" name="Drop Down 8">
              <controlPr defaultSize="0" autoLine="0" autoPict="0">
                <anchor moveWithCells="1">
                  <from>
                    <xdr:col>3</xdr:col>
                    <xdr:colOff>12700</xdr:colOff>
                    <xdr:row>7</xdr:row>
                    <xdr:rowOff>177800</xdr:rowOff>
                  </from>
                  <to>
                    <xdr:col>4</xdr:col>
                    <xdr:colOff>0</xdr:colOff>
                    <xdr:row>9</xdr:row>
                    <xdr:rowOff>0</xdr:rowOff>
                  </to>
                </anchor>
              </controlPr>
            </control>
          </mc:Choice>
        </mc:AlternateContent>
        <mc:AlternateContent xmlns:mc="http://schemas.openxmlformats.org/markup-compatibility/2006">
          <mc:Choice Requires="x14">
            <control shapeId="16395" r:id="rId10" name="Drop Down 11">
              <controlPr defaultSize="0" autoLine="0" autoPict="0">
                <anchor moveWithCells="1">
                  <from>
                    <xdr:col>7</xdr:col>
                    <xdr:colOff>12700</xdr:colOff>
                    <xdr:row>7</xdr:row>
                    <xdr:rowOff>177800</xdr:rowOff>
                  </from>
                  <to>
                    <xdr:col>8</xdr:col>
                    <xdr:colOff>0</xdr:colOff>
                    <xdr:row>8</xdr:row>
                    <xdr:rowOff>177800</xdr:rowOff>
                  </to>
                </anchor>
              </controlPr>
            </control>
          </mc:Choice>
        </mc:AlternateContent>
        <mc:AlternateContent xmlns:mc="http://schemas.openxmlformats.org/markup-compatibility/2006">
          <mc:Choice Requires="x14">
            <control shapeId="16402" r:id="rId11" name="Drop Down 18">
              <controlPr defaultSize="0" autoLine="0" autoPict="0">
                <anchor moveWithCells="1">
                  <from>
                    <xdr:col>3</xdr:col>
                    <xdr:colOff>0</xdr:colOff>
                    <xdr:row>17</xdr:row>
                    <xdr:rowOff>165100</xdr:rowOff>
                  </from>
                  <to>
                    <xdr:col>3</xdr:col>
                    <xdr:colOff>1435100</xdr:colOff>
                    <xdr:row>18</xdr:row>
                    <xdr:rowOff>165100</xdr:rowOff>
                  </to>
                </anchor>
              </controlPr>
            </control>
          </mc:Choice>
        </mc:AlternateContent>
        <mc:AlternateContent xmlns:mc="http://schemas.openxmlformats.org/markup-compatibility/2006">
          <mc:Choice Requires="x14">
            <control shapeId="16403" r:id="rId12" name="Drop Down 19">
              <controlPr defaultSize="0" autoLine="0" autoPict="0">
                <anchor moveWithCells="1">
                  <from>
                    <xdr:col>3</xdr:col>
                    <xdr:colOff>12700</xdr:colOff>
                    <xdr:row>16</xdr:row>
                    <xdr:rowOff>12700</xdr:rowOff>
                  </from>
                  <to>
                    <xdr:col>4</xdr:col>
                    <xdr:colOff>12700</xdr:colOff>
                    <xdr:row>17</xdr:row>
                    <xdr:rowOff>12700</xdr:rowOff>
                  </to>
                </anchor>
              </controlPr>
            </control>
          </mc:Choice>
        </mc:AlternateContent>
        <mc:AlternateContent xmlns:mc="http://schemas.openxmlformats.org/markup-compatibility/2006">
          <mc:Choice Requires="x14">
            <control shapeId="16404" r:id="rId13" name="Check Box 20">
              <controlPr defaultSize="0" autoFill="0" autoLine="0" autoPict="0" altText="">
                <anchor moveWithCells="1">
                  <from>
                    <xdr:col>3</xdr:col>
                    <xdr:colOff>1244600</xdr:colOff>
                    <xdr:row>19</xdr:row>
                    <xdr:rowOff>152400</xdr:rowOff>
                  </from>
                  <to>
                    <xdr:col>4</xdr:col>
                    <xdr:colOff>12700</xdr:colOff>
                    <xdr:row>20</xdr:row>
                    <xdr:rowOff>165100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3">
    <tabColor rgb="FF99B2BC"/>
  </sheetPr>
  <dimension ref="A1:N69"/>
  <sheetViews>
    <sheetView zoomScale="70" zoomScaleNormal="70" workbookViewId="0"/>
  </sheetViews>
  <sheetFormatPr baseColWidth="10" defaultColWidth="9.1640625" defaultRowHeight="14" x14ac:dyDescent="0.15"/>
  <cols>
    <col min="1" max="1" width="3.1640625" style="4" customWidth="1"/>
    <col min="2" max="14" width="21.6640625" style="4" customWidth="1"/>
    <col min="15" max="16384" width="9.1640625" style="4"/>
  </cols>
  <sheetData>
    <row r="1" spans="1:14" ht="45" customHeight="1" x14ac:dyDescent="0.15">
      <c r="A1" s="3"/>
      <c r="B1" s="3"/>
      <c r="C1" s="966" t="s">
        <v>12</v>
      </c>
      <c r="D1" s="966"/>
      <c r="E1" s="966"/>
      <c r="F1" s="966"/>
      <c r="G1" s="966"/>
      <c r="H1" s="966"/>
      <c r="I1" s="966"/>
      <c r="J1" s="3"/>
      <c r="K1" s="3"/>
      <c r="L1" s="3"/>
      <c r="M1" s="3"/>
      <c r="N1" s="3"/>
    </row>
    <row r="3" spans="1:14" x14ac:dyDescent="0.15">
      <c r="A3" s="5"/>
      <c r="B3" s="5"/>
      <c r="C3" s="5"/>
      <c r="D3" s="5"/>
      <c r="E3" s="5"/>
      <c r="F3" s="5"/>
      <c r="G3" s="5"/>
      <c r="H3" s="5"/>
      <c r="I3" s="5"/>
      <c r="J3" s="5"/>
      <c r="K3" s="5"/>
      <c r="L3" s="5"/>
      <c r="M3" s="5"/>
      <c r="N3" s="5"/>
    </row>
    <row r="5" spans="1:14" ht="18" x14ac:dyDescent="0.2">
      <c r="B5" s="6" t="s">
        <v>13</v>
      </c>
      <c r="C5" s="6"/>
    </row>
    <row r="7" spans="1:14" ht="14.25" customHeight="1" x14ac:dyDescent="0.15">
      <c r="B7" s="958" t="s">
        <v>14</v>
      </c>
      <c r="C7" s="960"/>
      <c r="D7" s="960"/>
      <c r="E7" s="959"/>
      <c r="F7" s="958" t="s">
        <v>15</v>
      </c>
      <c r="G7" s="960"/>
      <c r="H7" s="960"/>
      <c r="I7" s="960"/>
      <c r="J7" s="958" t="s">
        <v>16</v>
      </c>
      <c r="K7" s="960"/>
      <c r="L7" s="960"/>
      <c r="M7" s="960"/>
      <c r="N7" s="959"/>
    </row>
    <row r="8" spans="1:14" ht="14.25" customHeight="1" x14ac:dyDescent="0.15">
      <c r="B8" s="7"/>
      <c r="E8" s="8"/>
      <c r="F8" s="7"/>
      <c r="J8" s="7"/>
      <c r="N8" s="8"/>
    </row>
    <row r="9" spans="1:14" ht="14.25" customHeight="1" x14ac:dyDescent="0.15">
      <c r="B9" s="7" t="s">
        <v>20</v>
      </c>
      <c r="D9" s="16"/>
      <c r="E9" s="13" t="s">
        <v>21</v>
      </c>
      <c r="F9" s="7" t="s">
        <v>22</v>
      </c>
      <c r="H9" s="15"/>
      <c r="J9" s="7" t="s">
        <v>23</v>
      </c>
      <c r="N9" s="8"/>
    </row>
    <row r="10" spans="1:14" ht="14.25" customHeight="1" x14ac:dyDescent="0.15">
      <c r="B10" s="7"/>
      <c r="E10" s="8"/>
      <c r="F10" s="7"/>
      <c r="J10" s="7"/>
      <c r="N10" s="8"/>
    </row>
    <row r="11" spans="1:14" ht="14.25" customHeight="1" x14ac:dyDescent="0.15">
      <c r="B11" s="7" t="s">
        <v>26</v>
      </c>
      <c r="D11" s="257"/>
      <c r="E11" s="19" t="s">
        <v>27</v>
      </c>
      <c r="F11" s="7" t="s">
        <v>28</v>
      </c>
      <c r="H11" s="14" t="str">
        <f>Macro!H10</f>
        <v>16,54</v>
      </c>
      <c r="I11" s="386" t="s">
        <v>30</v>
      </c>
      <c r="J11" s="7" t="s">
        <v>31</v>
      </c>
      <c r="N11" s="8"/>
    </row>
    <row r="12" spans="1:14" ht="14.25" customHeight="1" x14ac:dyDescent="0.15">
      <c r="B12" s="7"/>
      <c r="E12" s="8"/>
      <c r="F12" s="7"/>
      <c r="H12" s="12"/>
      <c r="I12" s="12"/>
      <c r="J12" s="7"/>
      <c r="N12" s="8"/>
    </row>
    <row r="13" spans="1:14" ht="14.25" customHeight="1" x14ac:dyDescent="0.2">
      <c r="B13" s="7" t="s">
        <v>97</v>
      </c>
      <c r="D13" s="257"/>
      <c r="E13" s="19"/>
      <c r="F13" s="7" t="s">
        <v>81</v>
      </c>
      <c r="H13" s="15" t="str">
        <f>Macro!H12</f>
        <v>366</v>
      </c>
      <c r="I13" s="12" t="s">
        <v>82</v>
      </c>
      <c r="J13" s="17" t="s">
        <v>39</v>
      </c>
      <c r="N13" s="8"/>
    </row>
    <row r="14" spans="1:14" ht="14.25" customHeight="1" x14ac:dyDescent="0.15">
      <c r="B14" s="7"/>
      <c r="E14" s="19"/>
      <c r="F14" s="7"/>
      <c r="I14" s="12"/>
      <c r="J14" s="7"/>
      <c r="N14" s="8"/>
    </row>
    <row r="15" spans="1:14" ht="14.25" customHeight="1" x14ac:dyDescent="0.15">
      <c r="B15" s="7" t="s">
        <v>46</v>
      </c>
      <c r="D15" s="540" t="str">
        <f>Macro!D16</f>
        <v>330</v>
      </c>
      <c r="E15" s="13" t="s">
        <v>48</v>
      </c>
      <c r="F15" s="7" t="s">
        <v>43</v>
      </c>
      <c r="H15" s="21" t="s">
        <v>83</v>
      </c>
      <c r="I15" s="12"/>
      <c r="J15" s="7"/>
      <c r="N15" s="8"/>
    </row>
    <row r="16" spans="1:14" ht="14.25" customHeight="1" x14ac:dyDescent="0.15">
      <c r="B16" s="7"/>
      <c r="E16" s="13"/>
      <c r="F16" s="7"/>
      <c r="J16" s="7"/>
      <c r="N16" s="8"/>
    </row>
    <row r="17" spans="1:14" ht="14.25" customHeight="1" x14ac:dyDescent="0.15">
      <c r="B17" s="7" t="s">
        <v>51</v>
      </c>
      <c r="D17" s="580">
        <v>2</v>
      </c>
      <c r="E17" s="12"/>
      <c r="F17" s="7"/>
      <c r="J17" s="7"/>
      <c r="N17" s="8"/>
    </row>
    <row r="18" spans="1:14" ht="14.25" customHeight="1" x14ac:dyDescent="0.15">
      <c r="B18" s="7"/>
      <c r="E18" s="12"/>
      <c r="F18" s="7"/>
      <c r="J18" s="7"/>
      <c r="N18" s="8"/>
    </row>
    <row r="19" spans="1:14" ht="14.25" customHeight="1" x14ac:dyDescent="0.15">
      <c r="B19" s="7" t="s">
        <v>55</v>
      </c>
      <c r="D19" s="580">
        <v>3</v>
      </c>
      <c r="E19" s="12"/>
      <c r="F19" s="7"/>
      <c r="J19" s="7"/>
      <c r="N19" s="8"/>
    </row>
    <row r="20" spans="1:14" x14ac:dyDescent="0.15">
      <c r="B20" s="7"/>
      <c r="E20" s="12"/>
      <c r="F20" s="7"/>
      <c r="J20" s="7"/>
      <c r="N20" s="8"/>
    </row>
    <row r="21" spans="1:14" x14ac:dyDescent="0.15">
      <c r="B21" s="9" t="s">
        <v>58</v>
      </c>
      <c r="C21" s="5"/>
      <c r="D21" s="684" t="b">
        <f>Macro!D22</f>
        <v>0</v>
      </c>
      <c r="E21" s="683" t="str">
        <f>IF(D21=FALSE,"external treatment","")</f>
        <v>external treatment</v>
      </c>
      <c r="F21" s="9"/>
      <c r="G21" s="5"/>
      <c r="H21" s="5"/>
      <c r="I21" s="5"/>
      <c r="J21" s="9"/>
      <c r="K21" s="5"/>
      <c r="L21" s="5"/>
      <c r="M21" s="5"/>
      <c r="N21" s="10"/>
    </row>
    <row r="22" spans="1:14" x14ac:dyDescent="0.15">
      <c r="A22" s="5"/>
      <c r="B22" s="5"/>
      <c r="C22" s="5"/>
      <c r="D22" s="5"/>
      <c r="E22" s="5"/>
      <c r="F22" s="5"/>
      <c r="G22" s="5"/>
      <c r="H22" s="5"/>
      <c r="I22" s="5"/>
      <c r="J22" s="5"/>
      <c r="K22" s="5"/>
      <c r="L22" s="5"/>
      <c r="M22" s="5"/>
      <c r="N22" s="5"/>
    </row>
    <row r="24" spans="1:14" ht="15" customHeight="1" x14ac:dyDescent="0.2">
      <c r="B24" s="6" t="s">
        <v>62</v>
      </c>
    </row>
    <row r="25" spans="1:14" ht="14.25" customHeight="1" x14ac:dyDescent="0.15"/>
    <row r="26" spans="1:14" ht="14.25" customHeight="1" x14ac:dyDescent="0.15">
      <c r="B26" s="958" t="s">
        <v>84</v>
      </c>
      <c r="C26" s="960"/>
      <c r="D26" s="960"/>
      <c r="E26" s="960"/>
      <c r="F26" s="960"/>
      <c r="G26" s="960"/>
      <c r="H26" s="960"/>
      <c r="I26" s="960"/>
      <c r="J26" s="960"/>
      <c r="K26" s="960"/>
      <c r="L26" s="960"/>
      <c r="M26" s="960"/>
      <c r="N26" s="959"/>
    </row>
    <row r="27" spans="1:14" ht="14.25" customHeight="1" x14ac:dyDescent="0.15">
      <c r="B27" s="17"/>
      <c r="C27" s="11"/>
      <c r="D27" s="11"/>
      <c r="E27" s="11"/>
      <c r="F27" s="11"/>
      <c r="G27" s="11"/>
      <c r="H27" s="11"/>
      <c r="I27" s="11"/>
      <c r="J27" s="11"/>
      <c r="K27" s="11"/>
      <c r="L27" s="11"/>
      <c r="M27" s="11"/>
      <c r="N27" s="18"/>
    </row>
    <row r="28" spans="1:14" ht="14.25" customHeight="1" x14ac:dyDescent="0.15">
      <c r="B28" s="937" t="s">
        <v>85</v>
      </c>
      <c r="C28" s="938"/>
      <c r="E28" s="938"/>
      <c r="F28" s="938"/>
      <c r="G28" s="938"/>
      <c r="H28" s="938"/>
      <c r="I28" s="938"/>
      <c r="J28" s="938"/>
      <c r="K28" s="938"/>
      <c r="L28" s="938"/>
      <c r="M28" s="938"/>
      <c r="N28" s="939"/>
    </row>
    <row r="29" spans="1:14" ht="14.25" customHeight="1" x14ac:dyDescent="0.15">
      <c r="B29" s="7"/>
      <c r="N29" s="8"/>
    </row>
    <row r="30" spans="1:14" ht="14.25" customHeight="1" x14ac:dyDescent="0.15">
      <c r="B30" s="7" t="s">
        <v>87</v>
      </c>
      <c r="C30" s="23" t="e">
        <f>'R3_Econ.'!J51</f>
        <v>#DIV/0!</v>
      </c>
      <c r="D30" s="21" t="s">
        <v>88</v>
      </c>
      <c r="N30" s="8"/>
    </row>
    <row r="31" spans="1:14" ht="14.25" customHeight="1" x14ac:dyDescent="0.15">
      <c r="B31" s="7"/>
      <c r="D31" s="21"/>
      <c r="N31" s="8"/>
    </row>
    <row r="32" spans="1:14" ht="14.25" customHeight="1" x14ac:dyDescent="0.15">
      <c r="B32" s="7" t="s">
        <v>89</v>
      </c>
      <c r="C32" s="380" t="e">
        <f>Evaluation!R5</f>
        <v>#DIV/0!</v>
      </c>
      <c r="D32" s="21" t="s">
        <v>90</v>
      </c>
      <c r="N32" s="8"/>
    </row>
    <row r="33" spans="2:14" ht="14.25" customHeight="1" x14ac:dyDescent="0.15">
      <c r="B33" s="7"/>
      <c r="D33" s="21"/>
      <c r="N33" s="8"/>
    </row>
    <row r="34" spans="2:14" ht="14.25" customHeight="1" x14ac:dyDescent="0.15">
      <c r="B34" s="7" t="s">
        <v>91</v>
      </c>
      <c r="C34" s="380" t="e">
        <f>Evaluation!R9</f>
        <v>#DIV/0!</v>
      </c>
      <c r="D34" s="21" t="s">
        <v>92</v>
      </c>
      <c r="N34" s="8"/>
    </row>
    <row r="35" spans="2:14" ht="14.25" customHeight="1" x14ac:dyDescent="0.15">
      <c r="B35" s="7"/>
      <c r="D35" s="21"/>
      <c r="N35" s="8"/>
    </row>
    <row r="36" spans="2:14" ht="14.25" customHeight="1" x14ac:dyDescent="0.15">
      <c r="B36" s="7" t="s">
        <v>93</v>
      </c>
      <c r="C36" s="380" t="e">
        <f>Evaluation!R8</f>
        <v>#DIV/0!</v>
      </c>
      <c r="D36" s="21" t="s">
        <v>92</v>
      </c>
      <c r="N36" s="8"/>
    </row>
    <row r="37" spans="2:14" ht="14.25" customHeight="1" x14ac:dyDescent="0.15">
      <c r="B37" s="7"/>
      <c r="C37" s="22"/>
      <c r="D37" s="21"/>
      <c r="N37" s="8"/>
    </row>
    <row r="38" spans="2:14" ht="14.25" customHeight="1" x14ac:dyDescent="0.15">
      <c r="B38" s="7" t="s">
        <v>94</v>
      </c>
      <c r="C38" s="380" t="e">
        <f>C34-C36</f>
        <v>#DIV/0!</v>
      </c>
      <c r="D38" s="21" t="s">
        <v>92</v>
      </c>
      <c r="E38" s="11"/>
      <c r="F38" s="11"/>
      <c r="G38" s="11"/>
      <c r="H38" s="11"/>
      <c r="I38" s="11"/>
      <c r="J38" s="11"/>
      <c r="K38" s="11"/>
      <c r="L38" s="11"/>
      <c r="M38" s="11"/>
      <c r="N38" s="18"/>
    </row>
    <row r="39" spans="2:14" ht="14.25" customHeight="1" x14ac:dyDescent="0.15">
      <c r="B39" s="7"/>
      <c r="C39" s="22"/>
      <c r="D39" s="21"/>
      <c r="E39" s="11"/>
      <c r="F39" s="11"/>
      <c r="G39" s="11"/>
      <c r="H39" s="11"/>
      <c r="I39" s="11"/>
      <c r="J39" s="11"/>
      <c r="K39" s="11"/>
      <c r="L39" s="11"/>
      <c r="M39" s="11"/>
      <c r="N39" s="18"/>
    </row>
    <row r="40" spans="2:14" ht="14.25" customHeight="1" x14ac:dyDescent="0.15">
      <c r="B40" s="7" t="s">
        <v>95</v>
      </c>
      <c r="C40" s="380" t="e">
        <f>Evaluation!R10</f>
        <v>#DIV/0!</v>
      </c>
      <c r="D40" s="21" t="s">
        <v>96</v>
      </c>
      <c r="E40" s="11"/>
      <c r="F40" s="11"/>
      <c r="G40" s="11"/>
      <c r="H40" s="11"/>
      <c r="I40" s="11"/>
      <c r="J40" s="11"/>
      <c r="K40" s="11"/>
      <c r="L40" s="11"/>
      <c r="M40" s="11"/>
      <c r="N40" s="18"/>
    </row>
    <row r="41" spans="2:14" ht="14.25" customHeight="1" x14ac:dyDescent="0.15">
      <c r="B41" s="17"/>
      <c r="C41" s="11"/>
      <c r="D41" s="11"/>
      <c r="E41" s="11"/>
      <c r="F41" s="11"/>
      <c r="G41" s="11"/>
      <c r="H41" s="11"/>
      <c r="I41" s="11"/>
      <c r="J41" s="11"/>
      <c r="K41" s="11"/>
      <c r="L41" s="11"/>
      <c r="M41" s="11"/>
      <c r="N41" s="18"/>
    </row>
    <row r="42" spans="2:14" x14ac:dyDescent="0.15">
      <c r="B42" s="17"/>
      <c r="C42" s="11"/>
      <c r="D42" s="11"/>
      <c r="E42" s="11"/>
      <c r="F42" s="11"/>
      <c r="G42" s="11"/>
      <c r="H42" s="11"/>
      <c r="I42" s="11"/>
      <c r="J42" s="11"/>
      <c r="K42" s="11"/>
      <c r="L42" s="11"/>
      <c r="M42" s="11"/>
      <c r="N42" s="18"/>
    </row>
    <row r="43" spans="2:14" x14ac:dyDescent="0.15">
      <c r="B43" s="17"/>
      <c r="C43" s="11"/>
      <c r="D43" s="11"/>
      <c r="E43" s="11"/>
      <c r="F43" s="11"/>
      <c r="G43" s="11"/>
      <c r="H43" s="11"/>
      <c r="I43" s="11"/>
      <c r="J43" s="11"/>
      <c r="K43" s="11"/>
      <c r="L43" s="11"/>
      <c r="M43" s="11"/>
      <c r="N43" s="18"/>
    </row>
    <row r="44" spans="2:14" x14ac:dyDescent="0.15">
      <c r="B44" s="7"/>
      <c r="N44" s="8"/>
    </row>
    <row r="45" spans="2:14" x14ac:dyDescent="0.15">
      <c r="B45" s="7"/>
      <c r="N45" s="8"/>
    </row>
    <row r="46" spans="2:14" x14ac:dyDescent="0.15">
      <c r="B46" s="7"/>
      <c r="N46" s="8"/>
    </row>
    <row r="47" spans="2:14" x14ac:dyDescent="0.15">
      <c r="B47" s="7"/>
      <c r="N47" s="8"/>
    </row>
    <row r="48" spans="2:14" x14ac:dyDescent="0.15">
      <c r="B48" s="7"/>
      <c r="N48" s="8"/>
    </row>
    <row r="49" spans="2:14" x14ac:dyDescent="0.15">
      <c r="B49" s="7"/>
      <c r="N49" s="8"/>
    </row>
    <row r="50" spans="2:14" x14ac:dyDescent="0.15">
      <c r="B50" s="7"/>
      <c r="N50" s="8"/>
    </row>
    <row r="51" spans="2:14" x14ac:dyDescent="0.15">
      <c r="B51" s="7"/>
      <c r="N51" s="8"/>
    </row>
    <row r="52" spans="2:14" x14ac:dyDescent="0.15">
      <c r="B52" s="7"/>
      <c r="N52" s="8"/>
    </row>
    <row r="53" spans="2:14" x14ac:dyDescent="0.15">
      <c r="B53" s="7"/>
      <c r="N53" s="8"/>
    </row>
    <row r="54" spans="2:14" x14ac:dyDescent="0.15">
      <c r="B54" s="7"/>
      <c r="N54" s="8"/>
    </row>
    <row r="55" spans="2:14" x14ac:dyDescent="0.15">
      <c r="B55" s="7"/>
      <c r="N55" s="8"/>
    </row>
    <row r="56" spans="2:14" x14ac:dyDescent="0.15">
      <c r="B56" s="7"/>
      <c r="N56" s="8"/>
    </row>
    <row r="57" spans="2:14" x14ac:dyDescent="0.15">
      <c r="B57" s="7"/>
      <c r="N57" s="8"/>
    </row>
    <row r="58" spans="2:14" x14ac:dyDescent="0.15">
      <c r="B58" s="7"/>
      <c r="N58" s="8"/>
    </row>
    <row r="59" spans="2:14" x14ac:dyDescent="0.15">
      <c r="B59" s="7"/>
      <c r="N59" s="8"/>
    </row>
    <row r="60" spans="2:14" x14ac:dyDescent="0.15">
      <c r="B60" s="7"/>
      <c r="N60" s="8"/>
    </row>
    <row r="61" spans="2:14" x14ac:dyDescent="0.15">
      <c r="B61" s="7"/>
      <c r="N61" s="8"/>
    </row>
    <row r="62" spans="2:14" x14ac:dyDescent="0.15">
      <c r="B62" s="7"/>
      <c r="N62" s="8"/>
    </row>
    <row r="63" spans="2:14" x14ac:dyDescent="0.15">
      <c r="B63" s="7"/>
      <c r="N63" s="8"/>
    </row>
    <row r="64" spans="2:14" x14ac:dyDescent="0.15">
      <c r="B64" s="7"/>
      <c r="N64" s="8"/>
    </row>
    <row r="65" spans="2:14" x14ac:dyDescent="0.15">
      <c r="B65" s="7"/>
      <c r="N65" s="8"/>
    </row>
    <row r="66" spans="2:14" x14ac:dyDescent="0.15">
      <c r="B66" s="7"/>
      <c r="N66" s="8"/>
    </row>
    <row r="67" spans="2:14" x14ac:dyDescent="0.15">
      <c r="B67" s="7"/>
      <c r="N67" s="8"/>
    </row>
    <row r="68" spans="2:14" x14ac:dyDescent="0.15">
      <c r="B68" s="7"/>
      <c r="N68" s="8"/>
    </row>
    <row r="69" spans="2:14" x14ac:dyDescent="0.15">
      <c r="B69" s="9"/>
      <c r="C69" s="5"/>
      <c r="D69" s="5"/>
      <c r="E69" s="5"/>
      <c r="F69" s="5"/>
      <c r="G69" s="5"/>
      <c r="H69" s="5"/>
      <c r="I69" s="5"/>
      <c r="J69" s="5"/>
      <c r="K69" s="5"/>
      <c r="L69" s="5"/>
      <c r="M69" s="5"/>
      <c r="N69" s="10"/>
    </row>
  </sheetData>
  <protectedRanges>
    <protectedRange sqref="M28:M36 L28:L35 A1:O4 H9:I13 O20:O38 A6:O6 A5:B5 D5:O5 B22:N25 I14 B30:D36 B7:I8 F10:F14 N7:O19 A22:A40 A7:A19 B26:D27 H16:I18 B40:D40 E26:H40 J26:K40 I26:I27 I29:I40" name="Bereich1_6"/>
    <protectedRange sqref="F16:F18" name="Bereich1_1_2"/>
    <protectedRange sqref="F9" name="Bereich1_2_2"/>
    <protectedRange sqref="B12:E12 B14:D14" name="Bereich1_4_4"/>
    <protectedRange sqref="D9:E9 B9:B10 C10:E10" name="Bereich1_4_1_2"/>
    <protectedRange sqref="E15:E16 B15:B16" name="Bereich1_4_2_2"/>
    <protectedRange sqref="D38" name="Bereich1"/>
    <protectedRange sqref="C19:E19 B17:B19 E17:E18" name="Bereich1_6_1"/>
    <protectedRange sqref="I15 F15" name="Bereich1_5_2_1"/>
  </protectedRanges>
  <mergeCells count="5">
    <mergeCell ref="C1:I1"/>
    <mergeCell ref="B7:E7"/>
    <mergeCell ref="F7:I7"/>
    <mergeCell ref="J7:N7"/>
    <mergeCell ref="B26:N26"/>
  </mergeCells>
  <pageMargins left="0.7" right="0.7" top="0.78740157499999996" bottom="0.78740157499999996"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7425" r:id="rId4" name="Check Box 17">
              <controlPr defaultSize="0" autoFill="0" autoLine="0" autoPict="0" altText="">
                <anchor moveWithCells="1">
                  <from>
                    <xdr:col>3</xdr:col>
                    <xdr:colOff>1206500</xdr:colOff>
                    <xdr:row>9</xdr:row>
                    <xdr:rowOff>177800</xdr:rowOff>
                  </from>
                  <to>
                    <xdr:col>3</xdr:col>
                    <xdr:colOff>1435100</xdr:colOff>
                    <xdr:row>10</xdr:row>
                    <xdr:rowOff>177800</xdr:rowOff>
                  </to>
                </anchor>
              </controlPr>
            </control>
          </mc:Choice>
        </mc:AlternateContent>
        <mc:AlternateContent xmlns:mc="http://schemas.openxmlformats.org/markup-compatibility/2006">
          <mc:Choice Requires="x14">
            <control shapeId="17426" r:id="rId5" name="Check Box 18">
              <controlPr defaultSize="0" autoFill="0" autoLine="0" autoPict="0" altText="">
                <anchor moveWithCells="1">
                  <from>
                    <xdr:col>3</xdr:col>
                    <xdr:colOff>1206500</xdr:colOff>
                    <xdr:row>9</xdr:row>
                    <xdr:rowOff>177800</xdr:rowOff>
                  </from>
                  <to>
                    <xdr:col>3</xdr:col>
                    <xdr:colOff>1435100</xdr:colOff>
                    <xdr:row>10</xdr:row>
                    <xdr:rowOff>177800</xdr:rowOff>
                  </to>
                </anchor>
              </controlPr>
            </control>
          </mc:Choice>
        </mc:AlternateContent>
        <mc:AlternateContent xmlns:mc="http://schemas.openxmlformats.org/markup-compatibility/2006">
          <mc:Choice Requires="x14">
            <control shapeId="17427" r:id="rId6" name="Check Box 19">
              <controlPr defaultSize="0" autoFill="0" autoLine="0" autoPict="0" altText="">
                <anchor moveWithCells="1">
                  <from>
                    <xdr:col>3</xdr:col>
                    <xdr:colOff>1206500</xdr:colOff>
                    <xdr:row>9</xdr:row>
                    <xdr:rowOff>177800</xdr:rowOff>
                  </from>
                  <to>
                    <xdr:col>3</xdr:col>
                    <xdr:colOff>1435100</xdr:colOff>
                    <xdr:row>10</xdr:row>
                    <xdr:rowOff>177800</xdr:rowOff>
                  </to>
                </anchor>
              </controlPr>
            </control>
          </mc:Choice>
        </mc:AlternateContent>
        <mc:AlternateContent xmlns:mc="http://schemas.openxmlformats.org/markup-compatibility/2006">
          <mc:Choice Requires="x14">
            <control shapeId="17428" r:id="rId7" name="Check Box 20">
              <controlPr defaultSize="0" autoFill="0" autoLine="0" autoPict="0" altText="">
                <anchor moveWithCells="1">
                  <from>
                    <xdr:col>3</xdr:col>
                    <xdr:colOff>1206500</xdr:colOff>
                    <xdr:row>11</xdr:row>
                    <xdr:rowOff>177800</xdr:rowOff>
                  </from>
                  <to>
                    <xdr:col>3</xdr:col>
                    <xdr:colOff>1435100</xdr:colOff>
                    <xdr:row>13</xdr:row>
                    <xdr:rowOff>0</xdr:rowOff>
                  </to>
                </anchor>
              </controlPr>
            </control>
          </mc:Choice>
        </mc:AlternateContent>
        <mc:AlternateContent xmlns:mc="http://schemas.openxmlformats.org/markup-compatibility/2006">
          <mc:Choice Requires="x14">
            <control shapeId="17429" r:id="rId8" name="Check Box 21">
              <controlPr defaultSize="0" autoFill="0" autoLine="0" autoPict="0" altText="">
                <anchor moveWithCells="1">
                  <from>
                    <xdr:col>3</xdr:col>
                    <xdr:colOff>1206500</xdr:colOff>
                    <xdr:row>9</xdr:row>
                    <xdr:rowOff>177800</xdr:rowOff>
                  </from>
                  <to>
                    <xdr:col>3</xdr:col>
                    <xdr:colOff>1435100</xdr:colOff>
                    <xdr:row>10</xdr:row>
                    <xdr:rowOff>177800</xdr:rowOff>
                  </to>
                </anchor>
              </controlPr>
            </control>
          </mc:Choice>
        </mc:AlternateContent>
        <mc:AlternateContent xmlns:mc="http://schemas.openxmlformats.org/markup-compatibility/2006">
          <mc:Choice Requires="x14">
            <control shapeId="17430" r:id="rId9" name="Drop Down 22">
              <controlPr defaultSize="0" autoLine="0" autoPict="0">
                <anchor moveWithCells="1">
                  <from>
                    <xdr:col>3</xdr:col>
                    <xdr:colOff>12700</xdr:colOff>
                    <xdr:row>8</xdr:row>
                    <xdr:rowOff>0</xdr:rowOff>
                  </from>
                  <to>
                    <xdr:col>4</xdr:col>
                    <xdr:colOff>0</xdr:colOff>
                    <xdr:row>9</xdr:row>
                    <xdr:rowOff>25400</xdr:rowOff>
                  </to>
                </anchor>
              </controlPr>
            </control>
          </mc:Choice>
        </mc:AlternateContent>
        <mc:AlternateContent xmlns:mc="http://schemas.openxmlformats.org/markup-compatibility/2006">
          <mc:Choice Requires="x14">
            <control shapeId="17431" r:id="rId10" name="Drop Down 23">
              <controlPr defaultSize="0" autoLine="0" autoPict="0">
                <anchor moveWithCells="1">
                  <from>
                    <xdr:col>7</xdr:col>
                    <xdr:colOff>12700</xdr:colOff>
                    <xdr:row>7</xdr:row>
                    <xdr:rowOff>177800</xdr:rowOff>
                  </from>
                  <to>
                    <xdr:col>8</xdr:col>
                    <xdr:colOff>0</xdr:colOff>
                    <xdr:row>9</xdr:row>
                    <xdr:rowOff>12700</xdr:rowOff>
                  </to>
                </anchor>
              </controlPr>
            </control>
          </mc:Choice>
        </mc:AlternateContent>
        <mc:AlternateContent xmlns:mc="http://schemas.openxmlformats.org/markup-compatibility/2006">
          <mc:Choice Requires="x14">
            <control shapeId="17433" r:id="rId11" name="Drop Down 25">
              <controlPr defaultSize="0" autoLine="0" autoPict="0">
                <anchor moveWithCells="1">
                  <from>
                    <xdr:col>3</xdr:col>
                    <xdr:colOff>0</xdr:colOff>
                    <xdr:row>17</xdr:row>
                    <xdr:rowOff>165100</xdr:rowOff>
                  </from>
                  <to>
                    <xdr:col>3</xdr:col>
                    <xdr:colOff>1435100</xdr:colOff>
                    <xdr:row>18</xdr:row>
                    <xdr:rowOff>165100</xdr:rowOff>
                  </to>
                </anchor>
              </controlPr>
            </control>
          </mc:Choice>
        </mc:AlternateContent>
        <mc:AlternateContent xmlns:mc="http://schemas.openxmlformats.org/markup-compatibility/2006">
          <mc:Choice Requires="x14">
            <control shapeId="17434" r:id="rId12" name="Drop Down 26">
              <controlPr defaultSize="0" autoLine="0" autoPict="0">
                <anchor moveWithCells="1">
                  <from>
                    <xdr:col>3</xdr:col>
                    <xdr:colOff>12700</xdr:colOff>
                    <xdr:row>16</xdr:row>
                    <xdr:rowOff>12700</xdr:rowOff>
                  </from>
                  <to>
                    <xdr:col>4</xdr:col>
                    <xdr:colOff>12700</xdr:colOff>
                    <xdr:row>17</xdr:row>
                    <xdr:rowOff>12700</xdr:rowOff>
                  </to>
                </anchor>
              </controlPr>
            </control>
          </mc:Choice>
        </mc:AlternateContent>
        <mc:AlternateContent xmlns:mc="http://schemas.openxmlformats.org/markup-compatibility/2006">
          <mc:Choice Requires="x14">
            <control shapeId="17438" r:id="rId13" name="Check Box 30">
              <controlPr defaultSize="0" autoFill="0" autoLine="0" autoPict="0" altText="">
                <anchor moveWithCells="1">
                  <from>
                    <xdr:col>3</xdr:col>
                    <xdr:colOff>1244600</xdr:colOff>
                    <xdr:row>19</xdr:row>
                    <xdr:rowOff>152400</xdr:rowOff>
                  </from>
                  <to>
                    <xdr:col>4</xdr:col>
                    <xdr:colOff>12700</xdr:colOff>
                    <xdr:row>20</xdr:row>
                    <xdr:rowOff>165100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7">
    <tabColor theme="0" tint="-0.499984740745262"/>
  </sheetPr>
  <dimension ref="A1:U155"/>
  <sheetViews>
    <sheetView topLeftCell="A12" workbookViewId="0"/>
  </sheetViews>
  <sheetFormatPr baseColWidth="10" defaultColWidth="11.5" defaultRowHeight="15" x14ac:dyDescent="0.2"/>
  <cols>
    <col min="1" max="1" width="21.5" customWidth="1"/>
    <col min="2" max="2" width="40.1640625" customWidth="1"/>
    <col min="3" max="4" width="13.6640625" customWidth="1"/>
    <col min="5" max="5" width="15" customWidth="1"/>
    <col min="6" max="8" width="13.6640625" customWidth="1"/>
    <col min="9" max="9" width="11" customWidth="1"/>
    <col min="10" max="11" width="15.33203125" customWidth="1"/>
    <col min="12" max="13" width="13.6640625" customWidth="1"/>
    <col min="14" max="14" width="27.6640625" bestFit="1" customWidth="1"/>
    <col min="15" max="15" width="29.6640625" customWidth="1"/>
    <col min="16" max="16" width="15.5" bestFit="1" customWidth="1"/>
    <col min="17" max="17" width="20.5" bestFit="1" customWidth="1"/>
    <col min="18" max="18" width="15.33203125" customWidth="1"/>
    <col min="19" max="19" width="26.6640625" bestFit="1" customWidth="1"/>
    <col min="20" max="20" width="16.5" customWidth="1"/>
  </cols>
  <sheetData>
    <row r="1" spans="2:19" ht="16" thickBot="1" x14ac:dyDescent="0.25"/>
    <row r="2" spans="2:19" ht="16" thickBot="1" x14ac:dyDescent="0.25">
      <c r="B2" s="987" t="s">
        <v>98</v>
      </c>
      <c r="C2" s="988"/>
      <c r="D2" s="988"/>
      <c r="E2" s="988"/>
      <c r="F2" s="988"/>
      <c r="G2" s="988"/>
      <c r="H2" s="988"/>
      <c r="I2" s="988"/>
      <c r="J2" s="988"/>
      <c r="K2" s="988"/>
      <c r="L2" s="988"/>
      <c r="M2" s="989"/>
      <c r="O2" s="981" t="s">
        <v>99</v>
      </c>
      <c r="P2" s="982"/>
      <c r="Q2" s="982"/>
      <c r="R2" s="983"/>
    </row>
    <row r="3" spans="2:19" ht="15" customHeight="1" x14ac:dyDescent="0.2">
      <c r="B3" s="135"/>
      <c r="C3" s="124" t="s">
        <v>59</v>
      </c>
      <c r="D3" s="124" t="s">
        <v>100</v>
      </c>
      <c r="E3" s="124" t="s">
        <v>101</v>
      </c>
      <c r="F3" s="124" t="s">
        <v>102</v>
      </c>
      <c r="G3" s="700" t="s">
        <v>103</v>
      </c>
      <c r="H3" s="124" t="s">
        <v>104</v>
      </c>
      <c r="I3" s="124" t="s">
        <v>105</v>
      </c>
      <c r="J3" s="124" t="s">
        <v>54</v>
      </c>
      <c r="K3" s="124" t="s">
        <v>75</v>
      </c>
      <c r="L3" s="124" t="s">
        <v>106</v>
      </c>
      <c r="M3" s="260" t="s">
        <v>107</v>
      </c>
      <c r="O3" s="682"/>
      <c r="P3" s="432" t="s">
        <v>108</v>
      </c>
      <c r="Q3" s="437" t="s">
        <v>109</v>
      </c>
      <c r="R3" s="273" t="s">
        <v>110</v>
      </c>
    </row>
    <row r="4" spans="2:19" ht="15" customHeight="1" x14ac:dyDescent="0.2">
      <c r="B4" s="265" t="s">
        <v>108</v>
      </c>
      <c r="C4" s="591" t="e">
        <f>C22/C16*C9</f>
        <v>#DIV/0!</v>
      </c>
      <c r="D4" s="591" t="e">
        <f t="shared" ref="D4:F4" si="0">D22/D16*D9</f>
        <v>#DIV/0!</v>
      </c>
      <c r="E4" s="591" t="e">
        <f t="shared" si="0"/>
        <v>#DIV/0!</v>
      </c>
      <c r="F4" s="591" t="e">
        <f t="shared" si="0"/>
        <v>#DIV/0!</v>
      </c>
      <c r="G4" s="591" t="e">
        <f>G22/G16*G9</f>
        <v>#DIV/0!</v>
      </c>
      <c r="H4" s="591" t="e">
        <f>H22/H16*H9</f>
        <v>#DIV/0!</v>
      </c>
      <c r="I4" s="591" t="e">
        <f>I22/I16*I9</f>
        <v>#DIV/0!</v>
      </c>
      <c r="J4" s="591">
        <v>0</v>
      </c>
      <c r="K4" s="591" t="e">
        <f t="shared" ref="K4:L6" si="1">K22/K16*K9</f>
        <v>#DIV/0!</v>
      </c>
      <c r="L4" s="591" t="e">
        <f t="shared" si="1"/>
        <v>#DIV/0!</v>
      </c>
      <c r="M4" s="282"/>
      <c r="O4" s="680" t="s">
        <v>111</v>
      </c>
      <c r="P4" s="433" t="e">
        <f>'R1_Econ.'!J46</f>
        <v>#DIV/0!</v>
      </c>
      <c r="Q4" s="438" t="e">
        <f>'R2_Econ.'!J50</f>
        <v>#DIV/0!</v>
      </c>
      <c r="R4" s="622" t="e">
        <f>'R3_Econ.'!J51</f>
        <v>#DIV/0!</v>
      </c>
    </row>
    <row r="5" spans="2:19" x14ac:dyDescent="0.2">
      <c r="B5" s="208" t="s">
        <v>109</v>
      </c>
      <c r="C5" s="674" t="e">
        <f>C23/C17*C10</f>
        <v>#DIV/0!</v>
      </c>
      <c r="D5" s="674" t="e">
        <f>D23/D17*D10</f>
        <v>#DIV/0!</v>
      </c>
      <c r="E5" s="674" t="e">
        <f t="shared" ref="E5:I5" si="2">E23/E17*E10</f>
        <v>#DIV/0!</v>
      </c>
      <c r="F5" s="674" t="e">
        <f>F23/F17*F10</f>
        <v>#DIV/0!</v>
      </c>
      <c r="G5" s="674" t="e">
        <f t="shared" si="2"/>
        <v>#DIV/0!</v>
      </c>
      <c r="H5" s="674" t="e">
        <f>H23/H17*H10</f>
        <v>#DIV/0!</v>
      </c>
      <c r="I5" s="674" t="e">
        <f t="shared" si="2"/>
        <v>#DIV/0!</v>
      </c>
      <c r="J5" s="674" t="e">
        <f>J23/J17*J10</f>
        <v>#DIV/0!</v>
      </c>
      <c r="K5" s="674" t="e">
        <f t="shared" si="1"/>
        <v>#DIV/0!</v>
      </c>
      <c r="L5" s="674" t="e">
        <f t="shared" si="1"/>
        <v>#DIV/0!</v>
      </c>
      <c r="M5" s="264"/>
      <c r="O5" s="680" t="s">
        <v>112</v>
      </c>
      <c r="P5" s="434" t="e">
        <f>P4/((P9-P6*(1+S7))*'R1_MEFA'!C5)</f>
        <v>#DIV/0!</v>
      </c>
      <c r="Q5" s="439" t="e">
        <f>Q4/((Q9-Q6*(1+S7))*'R2_MEFA'!C5)</f>
        <v>#DIV/0!</v>
      </c>
      <c r="R5" s="597" t="e">
        <f>R4/((R9-R6*(1+T7))*'R3_MEFA'!C5)</f>
        <v>#DIV/0!</v>
      </c>
    </row>
    <row r="6" spans="2:19" ht="16" x14ac:dyDescent="0.2">
      <c r="B6" s="145" t="s">
        <v>110</v>
      </c>
      <c r="C6" s="673" t="e">
        <f>C24/C18*C11</f>
        <v>#DIV/0!</v>
      </c>
      <c r="D6" s="673" t="e">
        <f>D24/D18*D11</f>
        <v>#DIV/0!</v>
      </c>
      <c r="E6" s="673" t="e">
        <f>E24/E18*E11</f>
        <v>#DIV/0!</v>
      </c>
      <c r="F6" s="673" t="e">
        <f>F24/F18*F11</f>
        <v>#DIV/0!</v>
      </c>
      <c r="G6" s="673" t="e">
        <f>G24/G18*G11</f>
        <v>#DIV/0!</v>
      </c>
      <c r="H6" s="673" t="e">
        <f>H24/H18*H11</f>
        <v>#DIV/0!</v>
      </c>
      <c r="I6" s="673" t="e">
        <f>I24/I18*I11</f>
        <v>#DIV/0!</v>
      </c>
      <c r="J6" s="673" t="e">
        <f>J24/J18*J11</f>
        <v>#DIV/0!</v>
      </c>
      <c r="K6" s="673" t="e">
        <f t="shared" si="1"/>
        <v>#DIV/0!</v>
      </c>
      <c r="L6" s="673" t="e">
        <f t="shared" si="1"/>
        <v>#DIV/0!</v>
      </c>
      <c r="M6" s="283"/>
      <c r="O6" s="680" t="s">
        <v>113</v>
      </c>
      <c r="P6" s="435" t="e">
        <f>C64*1000+'R1_Econ.'!J57/'R1_Econ.'!E5</f>
        <v>#DIV/0!</v>
      </c>
      <c r="Q6" s="439" t="e">
        <f>E64*1000+'R2_Econ.'!J59/'R2_Econ.'!E5</f>
        <v>#DIV/0!</v>
      </c>
      <c r="R6" s="597" t="e">
        <f>G64*1000+'R3_Econ.'!J64/'R3_Econ.'!E5</f>
        <v>#DIV/0!</v>
      </c>
      <c r="S6" s="741" t="s">
        <v>114</v>
      </c>
    </row>
    <row r="7" spans="2:19" x14ac:dyDescent="0.2">
      <c r="B7" s="263"/>
      <c r="M7" s="264"/>
      <c r="O7" s="680" t="s">
        <v>115</v>
      </c>
      <c r="P7" s="435" t="e">
        <f>'R1_Econ.'!N46/'R1_Econ.'!E5</f>
        <v>#DIV/0!</v>
      </c>
      <c r="Q7" s="439" t="e">
        <f>'R2_Econ.'!N50/'R2_Econ.'!E5</f>
        <v>#DIV/0!</v>
      </c>
      <c r="R7" s="597" t="e">
        <f>'R3_Econ.'!N51/'R3_Econ.'!E5</f>
        <v>#DIV/0!</v>
      </c>
      <c r="S7" s="893">
        <v>0.17</v>
      </c>
    </row>
    <row r="8" spans="2:19" x14ac:dyDescent="0.2">
      <c r="B8" s="990" t="s">
        <v>116</v>
      </c>
      <c r="C8" s="991"/>
      <c r="D8" s="991"/>
      <c r="E8" s="991"/>
      <c r="F8" s="991"/>
      <c r="G8" s="991"/>
      <c r="H8" s="991"/>
      <c r="I8" s="991"/>
      <c r="J8" s="991"/>
      <c r="K8" s="991"/>
      <c r="L8" s="991"/>
      <c r="M8" s="992"/>
      <c r="O8" s="680" t="s">
        <v>117</v>
      </c>
      <c r="P8" s="435" t="e">
        <f>SUM(P6:P7)*(1+S7)</f>
        <v>#DIV/0!</v>
      </c>
      <c r="Q8" s="241" t="e">
        <f>SUM(Q6:Q7)*(1+S7)</f>
        <v>#DIV/0!</v>
      </c>
      <c r="R8" s="241" t="e">
        <f>SUM(R6:R7)*(1+S7)</f>
        <v>#DIV/0!</v>
      </c>
    </row>
    <row r="9" spans="2:19" ht="16" x14ac:dyDescent="0.2">
      <c r="B9" s="742" t="s">
        <v>118</v>
      </c>
      <c r="C9" s="312">
        <f t="shared" ref="C9:C10" si="3">C10</f>
        <v>1</v>
      </c>
      <c r="D9" s="312">
        <v>1</v>
      </c>
      <c r="E9" s="312">
        <v>1</v>
      </c>
      <c r="F9" s="312">
        <v>1</v>
      </c>
      <c r="G9" s="312">
        <v>1</v>
      </c>
      <c r="H9" s="312">
        <v>0.95</v>
      </c>
      <c r="I9" s="312">
        <v>0.99</v>
      </c>
      <c r="J9" s="312">
        <v>0.6</v>
      </c>
      <c r="K9" s="312">
        <v>0.95</v>
      </c>
      <c r="L9" s="312">
        <v>1</v>
      </c>
      <c r="M9" s="266">
        <v>0</v>
      </c>
      <c r="O9" s="680" t="s">
        <v>119</v>
      </c>
      <c r="P9" s="435" t="e">
        <f>D64*1000</f>
        <v>#DIV/0!</v>
      </c>
      <c r="Q9" s="439" t="e">
        <f>F64*1000</f>
        <v>#DIV/0!</v>
      </c>
      <c r="R9" s="597" t="e">
        <f>H64*1000</f>
        <v>#DIV/0!</v>
      </c>
    </row>
    <row r="10" spans="2:19" ht="18" thickBot="1" x14ac:dyDescent="0.3">
      <c r="B10" s="743" t="s">
        <v>120</v>
      </c>
      <c r="C10" s="296">
        <f t="shared" si="3"/>
        <v>1</v>
      </c>
      <c r="D10" s="296">
        <v>1</v>
      </c>
      <c r="E10" s="296">
        <v>1</v>
      </c>
      <c r="F10" s="296">
        <v>1</v>
      </c>
      <c r="G10" s="296">
        <v>1</v>
      </c>
      <c r="H10" s="296">
        <v>0.95</v>
      </c>
      <c r="I10" s="296">
        <v>0.99</v>
      </c>
      <c r="J10" s="296">
        <v>0.6</v>
      </c>
      <c r="K10" s="296">
        <v>0.95</v>
      </c>
      <c r="L10" s="296">
        <v>1</v>
      </c>
      <c r="M10" s="261">
        <v>0</v>
      </c>
      <c r="O10" s="681" t="s">
        <v>121</v>
      </c>
      <c r="P10" s="436" t="e">
        <f>C150*1000</f>
        <v>#DIV/0!</v>
      </c>
      <c r="Q10" s="440" t="e">
        <f>E150*1000</f>
        <v>#DIV/0!</v>
      </c>
      <c r="R10" s="623" t="e">
        <f>G150*1000</f>
        <v>#DIV/0!</v>
      </c>
    </row>
    <row r="11" spans="2:19" ht="15" customHeight="1" x14ac:dyDescent="0.2">
      <c r="B11" s="743" t="s">
        <v>122</v>
      </c>
      <c r="C11" s="296">
        <f>C12</f>
        <v>1</v>
      </c>
      <c r="D11" s="296">
        <v>1</v>
      </c>
      <c r="E11" s="296">
        <v>1</v>
      </c>
      <c r="F11" s="296">
        <v>1</v>
      </c>
      <c r="G11" s="296">
        <v>1</v>
      </c>
      <c r="H11" s="296">
        <v>0.95</v>
      </c>
      <c r="I11" s="296">
        <v>0.99</v>
      </c>
      <c r="J11" s="296">
        <v>0.6</v>
      </c>
      <c r="K11" s="296">
        <v>0.95</v>
      </c>
      <c r="L11" s="296">
        <v>1</v>
      </c>
      <c r="M11" s="261">
        <v>0</v>
      </c>
    </row>
    <row r="12" spans="2:19" x14ac:dyDescent="0.2">
      <c r="B12" s="145" t="s">
        <v>123</v>
      </c>
      <c r="C12" s="307">
        <v>1</v>
      </c>
      <c r="D12" s="307">
        <f>58.933194/281.1028</f>
        <v>0.20964997146951223</v>
      </c>
      <c r="E12" s="307">
        <f>58.6934/262.8477</f>
        <v>0.22329813043827282</v>
      </c>
      <c r="F12" s="307">
        <f>6.94/73.89*2</f>
        <v>0.1878467992962512</v>
      </c>
      <c r="G12" s="307">
        <f>54.938044/169.02</f>
        <v>0.32503871731156075</v>
      </c>
      <c r="H12" s="307">
        <f>26.9815385/78</f>
        <v>0.34591716025641023</v>
      </c>
      <c r="I12" s="307"/>
      <c r="J12" s="307">
        <v>0</v>
      </c>
      <c r="K12" s="307">
        <v>0.52270000000000005</v>
      </c>
      <c r="L12" s="307"/>
      <c r="M12" s="262" t="e">
        <f>SUM('R1_Hydro_MEFA'!T109:T112)/SUM('R1_Hydro_MEFA'!T109:T115)</f>
        <v>#DIV/0!</v>
      </c>
      <c r="P12" s="923"/>
      <c r="Q12" s="923"/>
      <c r="R12" s="923"/>
    </row>
    <row r="13" spans="2:19" x14ac:dyDescent="0.2">
      <c r="B13" s="263"/>
      <c r="M13" s="264"/>
      <c r="P13" s="924"/>
      <c r="Q13" s="924"/>
      <c r="R13" s="924"/>
    </row>
    <row r="14" spans="2:19" x14ac:dyDescent="0.2">
      <c r="B14" s="990" t="s">
        <v>124</v>
      </c>
      <c r="C14" s="991"/>
      <c r="D14" s="991"/>
      <c r="E14" s="991"/>
      <c r="F14" s="991"/>
      <c r="G14" s="991"/>
      <c r="H14" s="991"/>
      <c r="I14" s="991"/>
      <c r="J14" s="991"/>
      <c r="K14" s="991"/>
      <c r="L14" s="991"/>
      <c r="M14" s="992"/>
      <c r="P14" s="181"/>
      <c r="Q14" s="181"/>
      <c r="R14" s="181"/>
    </row>
    <row r="15" spans="2:19" x14ac:dyDescent="0.2">
      <c r="B15" s="135"/>
      <c r="C15" s="124" t="s">
        <v>59</v>
      </c>
      <c r="D15" s="124" t="s">
        <v>100</v>
      </c>
      <c r="E15" s="124" t="s">
        <v>101</v>
      </c>
      <c r="F15" s="124" t="s">
        <v>102</v>
      </c>
      <c r="G15" s="124" t="s">
        <v>103</v>
      </c>
      <c r="H15" s="124" t="s">
        <v>104</v>
      </c>
      <c r="I15" s="124" t="s">
        <v>105</v>
      </c>
      <c r="J15" s="124" t="s">
        <v>54</v>
      </c>
      <c r="K15" s="124" t="s">
        <v>75</v>
      </c>
      <c r="L15" s="124" t="s">
        <v>106</v>
      </c>
      <c r="M15" s="260"/>
      <c r="P15" s="181"/>
      <c r="Q15" s="181"/>
      <c r="R15" s="181"/>
    </row>
    <row r="16" spans="2:19" x14ac:dyDescent="0.2">
      <c r="B16" s="208" t="s">
        <v>108</v>
      </c>
      <c r="C16" s="441" t="e">
        <f>'R1_MEFA'!$C$5*Battery!E16</f>
        <v>#DIV/0!</v>
      </c>
      <c r="D16" s="442" t="e">
        <f>'R1_MEFA'!$C$5*Battery!E11</f>
        <v>#DIV/0!</v>
      </c>
      <c r="E16" s="442" t="e">
        <f>'R1_MEFA'!$C$5*Battery!E10</f>
        <v>#DIV/0!</v>
      </c>
      <c r="F16" s="442" t="e">
        <f>'R1_MEFA'!$C$5*Battery!E13</f>
        <v>#DIV/0!</v>
      </c>
      <c r="G16" s="442" t="e">
        <f>'R1_MEFA'!$C$5*Battery!E12</f>
        <v>#DIV/0!</v>
      </c>
      <c r="H16" s="442" t="e">
        <f>'R1_MEFA'!$C$5*(Battery!E9+Battery!E17+Battery!E25+Battery!E34)</f>
        <v>#DIV/0!</v>
      </c>
      <c r="I16" s="442" t="e">
        <f>'R1_MEFA'!$C$5*(Battery!E15+Battery!E36)</f>
        <v>#DIV/0!</v>
      </c>
      <c r="J16" s="442" t="e">
        <f>'R1_MEFA'!$C$5*Battery!E19</f>
        <v>#DIV/0!</v>
      </c>
      <c r="K16" s="441" t="e">
        <f>'R1_MEFA'!$C$5*(Battery!E26+Battery!E35)</f>
        <v>#DIV/0!</v>
      </c>
      <c r="L16" s="441">
        <f>'R1_MEFA'!C5</f>
        <v>25000</v>
      </c>
      <c r="M16" s="264"/>
    </row>
    <row r="17" spans="2:21" x14ac:dyDescent="0.2">
      <c r="B17" s="208" t="s">
        <v>109</v>
      </c>
      <c r="C17" s="442" t="e">
        <f>'R2_MEFA'!$C$5*Battery!E16</f>
        <v>#DIV/0!</v>
      </c>
      <c r="D17" s="442" t="e">
        <f>'R2_MEFA'!$C$5*Battery!E11</f>
        <v>#DIV/0!</v>
      </c>
      <c r="E17" s="442" t="e">
        <f>'R2_MEFA'!$C$5*Battery!E10</f>
        <v>#DIV/0!</v>
      </c>
      <c r="F17" s="442" t="e">
        <f>'R2_MEFA'!$C$5*Battery!E13</f>
        <v>#DIV/0!</v>
      </c>
      <c r="G17" s="442" t="e">
        <f>'R2_MEFA'!$C$5*Battery!E12</f>
        <v>#DIV/0!</v>
      </c>
      <c r="H17" s="442" t="e">
        <f>'R2_MEFA'!$C$5*(Battery!E9+Battery!E17+Battery!E25+Battery!E34)</f>
        <v>#DIV/0!</v>
      </c>
      <c r="I17" s="442" t="e">
        <f>'R2_MEFA'!$C$5*(Battery!E15+Battery!E36)</f>
        <v>#DIV/0!</v>
      </c>
      <c r="J17" s="442" t="e">
        <f>'R2_MEFA'!$C$5*Battery!E19</f>
        <v>#DIV/0!</v>
      </c>
      <c r="K17" s="442" t="e">
        <f>'R2_MEFA'!$C$5*(Battery!E26+Battery!E35)</f>
        <v>#DIV/0!</v>
      </c>
      <c r="L17" s="442">
        <f>'R2_MEFA'!C5</f>
        <v>25000</v>
      </c>
      <c r="M17" s="264"/>
    </row>
    <row r="18" spans="2:21" x14ac:dyDescent="0.2">
      <c r="B18" s="145" t="s">
        <v>110</v>
      </c>
      <c r="C18" s="443" t="e">
        <f>'R3_MEFA'!$C$5*Battery!E16</f>
        <v>#DIV/0!</v>
      </c>
      <c r="D18" s="443" t="e">
        <f>'R3_MEFA'!$C$5*Battery!E11</f>
        <v>#DIV/0!</v>
      </c>
      <c r="E18" s="443" t="e">
        <f>'R3_MEFA'!$C$5*Battery!E10</f>
        <v>#DIV/0!</v>
      </c>
      <c r="F18" s="443" t="e">
        <f>'R3_MEFA'!$C$5*Battery!E13</f>
        <v>#DIV/0!</v>
      </c>
      <c r="G18" s="443" t="e">
        <f>'R3_MEFA'!$C$5*Battery!E12</f>
        <v>#DIV/0!</v>
      </c>
      <c r="H18" s="443" t="e">
        <f>'R3_MEFA'!$C$5*(Battery!E9+Battery!E17+Battery!E25+Battery!E34)</f>
        <v>#DIV/0!</v>
      </c>
      <c r="I18" s="443" t="e">
        <f>'R3_MEFA'!$C$5*(Battery!E15+Battery!E36)</f>
        <v>#DIV/0!</v>
      </c>
      <c r="J18" s="443" t="e">
        <f>'R3_MEFA'!$C$5*Battery!E19</f>
        <v>#DIV/0!</v>
      </c>
      <c r="K18" s="443" t="e">
        <f>'R3_MEFA'!$C$5*(Battery!E26+Battery!E35)</f>
        <v>#DIV/0!</v>
      </c>
      <c r="L18" s="443">
        <f>'R3_MEFA'!C5</f>
        <v>25000</v>
      </c>
      <c r="M18" s="283"/>
    </row>
    <row r="19" spans="2:21" x14ac:dyDescent="0.2">
      <c r="B19" s="263"/>
      <c r="M19" s="264"/>
    </row>
    <row r="20" spans="2:21" x14ac:dyDescent="0.2">
      <c r="B20" s="990" t="s">
        <v>125</v>
      </c>
      <c r="C20" s="991"/>
      <c r="D20" s="991"/>
      <c r="E20" s="991"/>
      <c r="F20" s="991"/>
      <c r="G20" s="991"/>
      <c r="H20" s="991"/>
      <c r="I20" s="991"/>
      <c r="J20" s="991"/>
      <c r="K20" s="991"/>
      <c r="L20" s="991"/>
      <c r="M20" s="992"/>
    </row>
    <row r="21" spans="2:21" x14ac:dyDescent="0.2">
      <c r="B21" s="135"/>
      <c r="C21" s="124" t="s">
        <v>59</v>
      </c>
      <c r="D21" s="124" t="s">
        <v>100</v>
      </c>
      <c r="E21" s="124" t="s">
        <v>101</v>
      </c>
      <c r="F21" s="124" t="s">
        <v>102</v>
      </c>
      <c r="G21" s="124" t="s">
        <v>103</v>
      </c>
      <c r="H21" s="124" t="s">
        <v>104</v>
      </c>
      <c r="I21" s="124" t="s">
        <v>105</v>
      </c>
      <c r="J21" s="124" t="s">
        <v>54</v>
      </c>
      <c r="K21" s="124" t="s">
        <v>75</v>
      </c>
      <c r="L21" s="124" t="s">
        <v>106</v>
      </c>
      <c r="M21" s="260"/>
    </row>
    <row r="22" spans="2:21" x14ac:dyDescent="0.2">
      <c r="B22" s="208" t="s">
        <v>108</v>
      </c>
      <c r="C22" s="442">
        <v>0</v>
      </c>
      <c r="D22" s="442" t="e">
        <f>'R1_MEFA'!L77*D12</f>
        <v>#DIV/0!</v>
      </c>
      <c r="E22" s="442" t="e">
        <f>'R1_MEFA'!L76*E12</f>
        <v>#DIV/0!</v>
      </c>
      <c r="F22" s="442" t="e">
        <f>'R1_MEFA'!L84*F12</f>
        <v>#DIV/0!</v>
      </c>
      <c r="G22" s="442" t="e">
        <f>'R1_MEFA'!L83*G12</f>
        <v>#DIV/0!</v>
      </c>
      <c r="H22" s="442" t="e">
        <f>('R1_MEFA'!L67+'R1_MEFA'!L81*H12)</f>
        <v>#DIV/0!</v>
      </c>
      <c r="I22" s="442" t="e">
        <f>('R1_MEFA'!L69)</f>
        <v>#DIV/0!</v>
      </c>
      <c r="J22" s="442">
        <v>0</v>
      </c>
      <c r="K22" s="442" t="e">
        <f>'R1_MEFA'!L68+'R1_MEFA'!L73*Evaluation!K12-'R1_MEFA'!F71</f>
        <v>#DIV/0!</v>
      </c>
      <c r="L22" s="442" t="e">
        <f>SUM(C22:K22)+M22*M9</f>
        <v>#DIV/0!</v>
      </c>
      <c r="M22" s="267" t="e">
        <f>IF(Macro!D10=FALSE,'R1_Hydro_MEFA'!T115,0)*M12</f>
        <v>#DIV/0!</v>
      </c>
    </row>
    <row r="23" spans="2:21" x14ac:dyDescent="0.2">
      <c r="B23" s="208" t="s">
        <v>109</v>
      </c>
      <c r="C23" s="442" t="e">
        <f>'R2_MEFA'!L107</f>
        <v>#DIV/0!</v>
      </c>
      <c r="D23" s="442" t="e">
        <f>'R2_MEFA'!L106*D12</f>
        <v>#DIV/0!</v>
      </c>
      <c r="E23" s="442" t="e">
        <f>'R2_MEFA'!L105*E12</f>
        <v>#DIV/0!</v>
      </c>
      <c r="F23" s="442" t="e">
        <f>'R2_MEFA'!L111*F12</f>
        <v>#DIV/0!</v>
      </c>
      <c r="G23" s="442" t="e">
        <f>'R2_MEFA'!L110*G12</f>
        <v>#DIV/0!</v>
      </c>
      <c r="H23" s="442" t="e">
        <f>('R2_MEFA'!L94+'R2_MEFA'!L108*H12)</f>
        <v>#DIV/0!</v>
      </c>
      <c r="I23" s="442" t="e">
        <f>('R2_MEFA'!L96)</f>
        <v>#DIV/0!</v>
      </c>
      <c r="J23" s="442">
        <f>'R2_MEFA'!L100</f>
        <v>0</v>
      </c>
      <c r="K23" s="442" t="e">
        <f>'R2_MEFA'!L95+'R2_MEFA'!L101*Evaluation!K12-'R2_MEFA'!F96</f>
        <v>#DIV/0!</v>
      </c>
      <c r="L23" s="442" t="e">
        <f>SUM(C23:K23)</f>
        <v>#DIV/0!</v>
      </c>
      <c r="M23" s="264"/>
    </row>
    <row r="24" spans="2:21" ht="16" thickBot="1" x14ac:dyDescent="0.25">
      <c r="B24" s="268" t="s">
        <v>110</v>
      </c>
      <c r="C24" s="444">
        <v>0</v>
      </c>
      <c r="D24" s="444" t="e">
        <f>'R3_MEFA'!L124*D12</f>
        <v>#DIV/0!</v>
      </c>
      <c r="E24" s="444" t="e">
        <f>'R3_MEFA'!L123*E12</f>
        <v>#DIV/0!</v>
      </c>
      <c r="F24" s="444" t="e">
        <f>'R3_MEFA'!L131*Evaluation!F12</f>
        <v>#DIV/0!</v>
      </c>
      <c r="G24" s="444" t="e">
        <f>'R3_MEFA'!L130*Evaluation!G12</f>
        <v>#DIV/0!</v>
      </c>
      <c r="H24" s="444" t="e">
        <f>'R3_MEFA'!L114+'R3_MEFA'!L128*Evaluation!H12</f>
        <v>#DIV/0!</v>
      </c>
      <c r="I24" s="444" t="e">
        <f>'R3_MEFA'!L116</f>
        <v>#DIV/0!</v>
      </c>
      <c r="J24" s="444">
        <v>0</v>
      </c>
      <c r="K24" s="444" t="e">
        <f>'R3_MEFA'!L115+'R3_MEFA'!L120*Evaluation!K12-'R3_MEFA'!F118</f>
        <v>#DIV/0!</v>
      </c>
      <c r="L24" s="444" t="e">
        <f>SUM(C24:K24)</f>
        <v>#DIV/0!</v>
      </c>
      <c r="M24" s="278"/>
    </row>
    <row r="25" spans="2:21" ht="16" thickBot="1" x14ac:dyDescent="0.25"/>
    <row r="26" spans="2:21" ht="18" customHeight="1" thickBot="1" x14ac:dyDescent="0.25">
      <c r="B26" s="984" t="s">
        <v>126</v>
      </c>
      <c r="C26" s="985"/>
      <c r="D26" s="985"/>
      <c r="E26" s="985"/>
      <c r="F26" s="985"/>
      <c r="G26" s="985"/>
      <c r="H26" s="986"/>
      <c r="N26" s="972" t="s">
        <v>127</v>
      </c>
      <c r="O26" s="973"/>
      <c r="P26" s="973"/>
      <c r="Q26" s="973"/>
      <c r="R26" s="973"/>
      <c r="S26" s="974"/>
      <c r="T26" s="126" t="s">
        <v>128</v>
      </c>
    </row>
    <row r="27" spans="2:21" ht="22" thickBot="1" x14ac:dyDescent="0.3">
      <c r="B27" s="624"/>
      <c r="C27" s="967" t="s">
        <v>108</v>
      </c>
      <c r="D27" s="967"/>
      <c r="E27" s="967" t="s">
        <v>109</v>
      </c>
      <c r="F27" s="967"/>
      <c r="G27" s="967" t="s">
        <v>110</v>
      </c>
      <c r="H27" s="978"/>
      <c r="N27" s="975"/>
      <c r="O27" s="976"/>
      <c r="P27" s="976"/>
      <c r="Q27" s="976"/>
      <c r="R27" s="976"/>
      <c r="S27" s="977"/>
      <c r="T27" s="816">
        <v>0.87</v>
      </c>
      <c r="U27" s="740">
        <v>44475</v>
      </c>
    </row>
    <row r="28" spans="2:21" ht="16" x14ac:dyDescent="0.2">
      <c r="B28" s="379" t="s">
        <v>129</v>
      </c>
      <c r="C28" s="125" t="s">
        <v>130</v>
      </c>
      <c r="D28" s="125" t="s">
        <v>131</v>
      </c>
      <c r="E28" s="125" t="s">
        <v>130</v>
      </c>
      <c r="F28" s="125" t="s">
        <v>131</v>
      </c>
      <c r="G28" s="125" t="s">
        <v>130</v>
      </c>
      <c r="H28" s="330" t="s">
        <v>131</v>
      </c>
      <c r="N28" s="624" t="s">
        <v>129</v>
      </c>
      <c r="O28" s="127" t="s">
        <v>132</v>
      </c>
      <c r="P28" s="625" t="s">
        <v>133</v>
      </c>
      <c r="Q28" s="625" t="s">
        <v>134</v>
      </c>
      <c r="R28" s="625" t="s">
        <v>135</v>
      </c>
      <c r="S28" s="626" t="s">
        <v>136</v>
      </c>
    </row>
    <row r="29" spans="2:21" x14ac:dyDescent="0.2">
      <c r="B29" s="208" t="s">
        <v>137</v>
      </c>
      <c r="C29" s="430" t="e">
        <f>'R1_MEFA'!L72*O29/'R1_MEFA'!C5/1000</f>
        <v>#DIV/0!</v>
      </c>
      <c r="D29" s="431"/>
      <c r="E29" s="430" t="e">
        <f>'R2_MEFA'!L99*O29/'R2_MEFA'!C5/1000</f>
        <v>#DIV/0!</v>
      </c>
      <c r="F29" s="431"/>
      <c r="G29" s="430" t="e">
        <f>'R3_MEFA'!L119*$O29/'R3_MEFA'!$C$5/1000</f>
        <v>#DIV/0!</v>
      </c>
      <c r="H29" s="376"/>
      <c r="I29" s="378"/>
      <c r="J29" s="378"/>
      <c r="K29" s="378"/>
      <c r="L29" s="378"/>
      <c r="N29" s="379" t="s">
        <v>137</v>
      </c>
      <c r="O29" s="664">
        <f>IF(Macro!$H$8=1,Evaluation!P29,IF(Macro!$H$8=2,Evaluation!Q29,IF(Macro!$H$8=3,Evaluation!R29,IF(Macro!Q7=0,Q29,Macro!Q7))))</f>
        <v>81.305000000000007</v>
      </c>
      <c r="P29" s="894">
        <f>1.3*Q29</f>
        <v>105.69650000000001</v>
      </c>
      <c r="Q29" s="894">
        <f>(114.7+47.91)/2</f>
        <v>81.305000000000007</v>
      </c>
      <c r="R29" s="894">
        <f>0.7*Q29</f>
        <v>56.913499999999999</v>
      </c>
      <c r="S29" s="282" t="s">
        <v>138</v>
      </c>
      <c r="T29" t="s">
        <v>0</v>
      </c>
    </row>
    <row r="30" spans="2:21" x14ac:dyDescent="0.2">
      <c r="B30" s="208" t="s">
        <v>139</v>
      </c>
      <c r="C30" s="537" t="e">
        <f>'R1_MEFA'!L87*O30/'R1_MEFA'!C5/1000</f>
        <v>#DIV/0!</v>
      </c>
      <c r="D30" s="538"/>
      <c r="E30" s="537" t="e">
        <f>'R2_MEFA'!L115*O30/'R2_MEFA'!C5/1000</f>
        <v>#DIV/0!</v>
      </c>
      <c r="F30" s="538"/>
      <c r="G30" s="430" t="e">
        <f>'R3_MEFA'!L134*$O30/'R3_MEFA'!$C$5/1000</f>
        <v>#DIV/0!</v>
      </c>
      <c r="H30" s="539"/>
      <c r="I30" s="378"/>
      <c r="J30" s="378"/>
      <c r="K30" s="378"/>
      <c r="L30" s="378"/>
      <c r="N30" s="379" t="s">
        <v>139</v>
      </c>
      <c r="O30" s="663">
        <f>IF(Macro!$H$8=1,Evaluation!P30,IF(Macro!$H$8=2,Evaluation!Q30,IF(Macro!$H$8=3,Evaluation!R30,IF(Macro!Q8=0,Q30,Macro!Q8))))</f>
        <v>2.6</v>
      </c>
      <c r="P30" s="895">
        <f t="shared" ref="P30:P63" si="4">1.3*Q30</f>
        <v>3.3800000000000003</v>
      </c>
      <c r="Q30" s="895">
        <v>2.6</v>
      </c>
      <c r="R30" s="895">
        <f t="shared" ref="R30:R63" si="5">0.7*Q30</f>
        <v>1.8199999999999998</v>
      </c>
      <c r="S30" s="264" t="s">
        <v>140</v>
      </c>
      <c r="T30" t="s">
        <v>0</v>
      </c>
    </row>
    <row r="31" spans="2:21" x14ac:dyDescent="0.2">
      <c r="B31" s="208" t="s">
        <v>141</v>
      </c>
      <c r="C31" s="537" t="e">
        <f>'R1_MEFA'!L78*O31/'R1_MEFA'!C5/1000</f>
        <v>#DIV/0!</v>
      </c>
      <c r="D31" s="538"/>
      <c r="E31" s="537" t="e">
        <f>'R2_MEFA'!L114*O31/'R1_MEFA'!C5/1000</f>
        <v>#DIV/0!</v>
      </c>
      <c r="F31" s="538"/>
      <c r="G31" s="375" t="e">
        <f>'R3_MEFA'!L125*O31/'R1_MEFA'!C5/1000</f>
        <v>#DIV/0!</v>
      </c>
      <c r="H31" s="539"/>
      <c r="I31" s="378"/>
      <c r="J31" s="378"/>
      <c r="K31" s="378"/>
      <c r="L31" s="378"/>
      <c r="N31" s="379" t="s">
        <v>141</v>
      </c>
      <c r="O31" s="210">
        <f>IF(Macro!$H$8=1,Evaluation!P31,IF(Macro!$H$8=2,Evaluation!Q31,IF(Macro!$H$8=3,Evaluation!R31,IF(Macro!Q8=0,Q31,Macro!Q8))))</f>
        <v>500</v>
      </c>
      <c r="P31" s="896">
        <f t="shared" si="4"/>
        <v>650</v>
      </c>
      <c r="Q31" s="896">
        <v>500</v>
      </c>
      <c r="R31" s="896">
        <f t="shared" si="5"/>
        <v>350</v>
      </c>
      <c r="S31" s="264" t="s">
        <v>1094</v>
      </c>
      <c r="T31" t="s">
        <v>0</v>
      </c>
    </row>
    <row r="32" spans="2:21" x14ac:dyDescent="0.2">
      <c r="B32" s="208" t="s">
        <v>104</v>
      </c>
      <c r="C32" s="430"/>
      <c r="D32" s="431" t="e">
        <f>'R1_MEFA'!L67*O32/'R1_MEFA'!C5/1000</f>
        <v>#DIV/0!</v>
      </c>
      <c r="E32" s="430"/>
      <c r="F32" s="431" t="e">
        <f>'R2_MEFA'!L94*O32/'R2_MEFA'!C5/1000</f>
        <v>#DIV/0!</v>
      </c>
      <c r="G32" s="375"/>
      <c r="H32" s="376" t="e">
        <f>'R3_MEFA'!L114*$O32/'R3_MEFA'!$C$5/1000</f>
        <v>#DIV/0!</v>
      </c>
      <c r="I32" s="378"/>
      <c r="J32" s="378"/>
      <c r="K32" s="378"/>
      <c r="L32" s="378"/>
      <c r="N32" s="379" t="s">
        <v>25</v>
      </c>
      <c r="O32" s="210">
        <f>IF(Macro!$H$8=1,Evaluation!P32,IF(Macro!$H$8=2,Evaluation!Q32,IF(Macro!$H$8=3,Evaluation!R32,IF(Macro!Q9=0,Q32,Macro!Q9))))</f>
        <v>1261.5</v>
      </c>
      <c r="P32" s="896">
        <f t="shared" si="4"/>
        <v>1639.95</v>
      </c>
      <c r="Q32" s="896">
        <f>1.45*1000*$T$27</f>
        <v>1261.5</v>
      </c>
      <c r="R32" s="896">
        <f t="shared" si="5"/>
        <v>883.05</v>
      </c>
      <c r="S32" s="264" t="s">
        <v>143</v>
      </c>
      <c r="T32" t="s">
        <v>0</v>
      </c>
    </row>
    <row r="33" spans="2:20" x14ac:dyDescent="0.2">
      <c r="B33" s="208" t="s">
        <v>144</v>
      </c>
      <c r="C33" s="430"/>
      <c r="D33" s="431" t="e">
        <f>'R1_MEFA'!L81*O33/'R1_MEFA'!C5/1000</f>
        <v>#DIV/0!</v>
      </c>
      <c r="E33" s="430"/>
      <c r="F33" s="431" t="e">
        <f>'R2_MEFA'!L108*O33/'R2_MEFA'!C5/1000</f>
        <v>#DIV/0!</v>
      </c>
      <c r="G33" s="375"/>
      <c r="H33" s="376"/>
      <c r="I33" s="378"/>
      <c r="J33" s="378"/>
      <c r="K33" s="378"/>
      <c r="L33" s="378"/>
      <c r="N33" s="379" t="s">
        <v>144</v>
      </c>
      <c r="O33" s="210">
        <f>IF(Macro!$H$8=1,Evaluation!P33,IF(Macro!$H$8=2,Evaluation!Q33,IF(Macro!$H$8=3,Evaluation!R33,IF(Macro!Q10=0,Q33,Macro!Q10))))</f>
        <v>435</v>
      </c>
      <c r="P33" s="896">
        <f t="shared" si="4"/>
        <v>565.5</v>
      </c>
      <c r="Q33" s="896">
        <f>500*$T$27</f>
        <v>435</v>
      </c>
      <c r="R33" s="896">
        <f t="shared" si="5"/>
        <v>304.5</v>
      </c>
      <c r="S33" s="264" t="s">
        <v>145</v>
      </c>
      <c r="T33" t="s">
        <v>0</v>
      </c>
    </row>
    <row r="34" spans="2:20" ht="16" x14ac:dyDescent="0.2">
      <c r="B34" s="743" t="s">
        <v>33</v>
      </c>
      <c r="C34" s="430"/>
      <c r="D34" s="431" t="e">
        <f>'R1_MEFA'!L79*O34/'R1_MEFA'!C5/1000</f>
        <v>#DIV/0!</v>
      </c>
      <c r="E34" s="430"/>
      <c r="F34" s="431"/>
      <c r="G34" s="375"/>
      <c r="H34" s="376" t="e">
        <f>'R3_MEFA'!L126*$O34/'R3_MEFA'!$C$5/1000</f>
        <v>#DIV/0!</v>
      </c>
      <c r="I34" s="378"/>
      <c r="J34" s="378"/>
      <c r="K34" s="378"/>
      <c r="L34" s="378"/>
      <c r="N34" s="379" t="s">
        <v>33</v>
      </c>
      <c r="O34" s="210">
        <v>500</v>
      </c>
      <c r="P34" s="896">
        <f t="shared" si="4"/>
        <v>316.68</v>
      </c>
      <c r="Q34" s="896">
        <f>280*$T$27</f>
        <v>243.6</v>
      </c>
      <c r="R34" s="896">
        <f t="shared" si="5"/>
        <v>170.51999999999998</v>
      </c>
      <c r="S34" s="264" t="s">
        <v>146</v>
      </c>
      <c r="T34" t="s">
        <v>0</v>
      </c>
    </row>
    <row r="35" spans="2:20" ht="17" x14ac:dyDescent="0.25">
      <c r="B35" s="208" t="s">
        <v>147</v>
      </c>
      <c r="C35" s="430"/>
      <c r="D35" s="431" t="e">
        <f>'R1_MEFA'!L77*O35/'R1_MEFA'!C5/1000</f>
        <v>#DIV/0!</v>
      </c>
      <c r="E35" s="430"/>
      <c r="F35" s="431" t="e">
        <f>'R2_MEFA'!L106*O35/'R2_MEFA'!C5/1000</f>
        <v>#DIV/0!</v>
      </c>
      <c r="G35" s="375"/>
      <c r="H35" s="376" t="e">
        <f>'R3_MEFA'!L124*$O35/'R3_MEFA'!$C$5/1000</f>
        <v>#DIV/0!</v>
      </c>
      <c r="I35" s="378"/>
      <c r="J35" s="378"/>
      <c r="K35" s="378"/>
      <c r="L35" s="378"/>
      <c r="N35" s="379" t="s">
        <v>40</v>
      </c>
      <c r="O35" s="210">
        <f>IF(Macro!$H$8=1,Evaluation!P35,IF(Macro!$H$8=2,Evaluation!Q35,IF(Macro!$H$8=3,Evaluation!R35,IF(Macro!Q12=0,Q35,Macro!Q12))))</f>
        <v>17199.900000000001</v>
      </c>
      <c r="P35" s="896">
        <f t="shared" si="4"/>
        <v>22359.870000000003</v>
      </c>
      <c r="Q35" s="896">
        <f>19.77*1000*$T$27</f>
        <v>17199.900000000001</v>
      </c>
      <c r="R35" s="896">
        <f t="shared" si="5"/>
        <v>12039.93</v>
      </c>
      <c r="S35" s="264" t="s">
        <v>143</v>
      </c>
      <c r="T35" t="s">
        <v>0</v>
      </c>
    </row>
    <row r="36" spans="2:20" x14ac:dyDescent="0.2">
      <c r="B36" s="208" t="s">
        <v>41</v>
      </c>
      <c r="C36" s="430" t="e">
        <f>('R1_MEFA'!F75-'R1_MEFA'!L75)*O36/'R1_MEFA'!C5/1000</f>
        <v>#DIV/0!</v>
      </c>
      <c r="D36" s="431"/>
      <c r="E36" s="430" t="e">
        <f>('R2_MEFA'!F100-'R2_MEFA'!L103)*O36/'R2_MEFA'!C5/1000</f>
        <v>#DIV/0!</v>
      </c>
      <c r="F36" s="431"/>
      <c r="G36" s="375" t="e">
        <f>('R3_MEFA'!F122-'R3_MEFA'!L122)*$O36/'R3_MEFA'!$C$5/1000</f>
        <v>#DIV/0!</v>
      </c>
      <c r="H36" s="376"/>
      <c r="I36" s="378"/>
      <c r="J36" s="378"/>
      <c r="K36" s="378"/>
      <c r="L36" s="378"/>
      <c r="N36" s="379" t="s">
        <v>41</v>
      </c>
      <c r="O36" s="210">
        <f>IF(Macro!$H$8=1,Evaluation!P36,IF(Macro!$H$8=2,Evaluation!Q36,IF(Macro!$H$8=3,Evaluation!R36,IF(Macro!Q13=0,Q36,Macro!Q13))))</f>
        <v>25230</v>
      </c>
      <c r="P36" s="896">
        <f t="shared" si="4"/>
        <v>32799</v>
      </c>
      <c r="Q36" s="896">
        <f>29000*$T$27</f>
        <v>25230</v>
      </c>
      <c r="R36" s="896">
        <f t="shared" si="5"/>
        <v>17661</v>
      </c>
      <c r="S36" s="264" t="s">
        <v>148</v>
      </c>
      <c r="T36" t="s">
        <v>0</v>
      </c>
    </row>
    <row r="37" spans="2:20" x14ac:dyDescent="0.2">
      <c r="B37" s="208" t="s">
        <v>44</v>
      </c>
      <c r="C37" s="430"/>
      <c r="D37" s="431"/>
      <c r="E37" s="430" t="e">
        <f>('R2_MEFA'!F101-'R2_MEFA'!L104)*O37/'R2_MEFA'!C5/1000</f>
        <v>#DIV/0!</v>
      </c>
      <c r="F37" s="431"/>
      <c r="G37" s="375"/>
      <c r="H37" s="376"/>
      <c r="I37" s="378"/>
      <c r="J37" s="378"/>
      <c r="K37" s="378"/>
      <c r="L37" s="378"/>
      <c r="N37" s="379" t="s">
        <v>44</v>
      </c>
      <c r="O37" s="210">
        <f>IF(Macro!$H$8=1,Evaluation!P37,IF(Macro!$H$8=2,Evaluation!Q37,IF(Macro!$H$8=3,Evaluation!R37,IF(Macro!Q14=0,Q37,Macro!Q14))))</f>
        <v>24360</v>
      </c>
      <c r="P37" s="896">
        <f t="shared" si="4"/>
        <v>31668</v>
      </c>
      <c r="Q37" s="896">
        <f>28000*$T$27</f>
        <v>24360</v>
      </c>
      <c r="R37" s="896">
        <f t="shared" si="5"/>
        <v>17052</v>
      </c>
      <c r="S37" s="264" t="s">
        <v>148</v>
      </c>
      <c r="T37" t="s">
        <v>0</v>
      </c>
    </row>
    <row r="38" spans="2:20" x14ac:dyDescent="0.2">
      <c r="B38" s="208" t="s">
        <v>45</v>
      </c>
      <c r="C38" s="430" t="e">
        <f>('R1_MEFA'!F76-'R1_MEFA'!L82)*O38/'R1_MEFA'!C5/1000</f>
        <v>#DIV/0!</v>
      </c>
      <c r="D38" s="431"/>
      <c r="E38" s="430" t="e">
        <f>('R2_MEFA'!F102-'R2_MEFA'!L109)*O38/'R2_MEFA'!C5/1000</f>
        <v>#DIV/0!</v>
      </c>
      <c r="F38" s="431"/>
      <c r="G38" s="375" t="e">
        <f>('R3_MEFA'!F123-'R3_MEFA'!L129)*$O38/'R3_MEFA'!$C$5/1000</f>
        <v>#DIV/0!</v>
      </c>
      <c r="H38" s="376"/>
      <c r="I38" s="378"/>
      <c r="J38" s="378"/>
      <c r="K38" s="378"/>
      <c r="L38" s="378"/>
      <c r="N38" s="379" t="s">
        <v>45</v>
      </c>
      <c r="O38" s="210">
        <f>IF(Macro!$H$8=1,Evaluation!P38,IF(Macro!$H$8=2,Evaluation!Q38,IF(Macro!$H$8=3,Evaluation!R38,IF(Macro!Q15=0,Q38,Macro!Q15))))</f>
        <v>7950</v>
      </c>
      <c r="P38" s="896">
        <f t="shared" si="4"/>
        <v>10335</v>
      </c>
      <c r="Q38" s="896">
        <v>7950</v>
      </c>
      <c r="R38" s="896">
        <f t="shared" si="5"/>
        <v>5565</v>
      </c>
      <c r="S38" s="264" t="s">
        <v>148</v>
      </c>
      <c r="T38" t="s">
        <v>0</v>
      </c>
    </row>
    <row r="39" spans="2:20" x14ac:dyDescent="0.2">
      <c r="B39" s="208" t="s">
        <v>49</v>
      </c>
      <c r="C39" s="430" t="e">
        <f>'R1_MEFA'!F71*O39/'R1_MEFA'!C5/1000</f>
        <v>#DIV/0!</v>
      </c>
      <c r="D39" s="431"/>
      <c r="E39" s="430" t="e">
        <f>'R2_MEFA'!F96*O39/'R2_MEFA'!C5/1000</f>
        <v>#DIV/0!</v>
      </c>
      <c r="F39" s="431"/>
      <c r="G39" s="375" t="e">
        <f>'R3_MEFA'!F118*$O39/'R3_MEFA'!$C$5/1000</f>
        <v>#DIV/0!</v>
      </c>
      <c r="H39" s="376"/>
      <c r="I39" s="378"/>
      <c r="J39" s="378"/>
      <c r="K39" s="378"/>
      <c r="L39" s="378"/>
      <c r="N39" s="379" t="s">
        <v>49</v>
      </c>
      <c r="O39" s="210">
        <f>IF(Macro!$H$8=1,Evaluation!P39,IF(Macro!$H$8=2,Evaluation!Q39,IF(Macro!$H$8=3,Evaluation!R39,IF(Macro!Q16=0,Q39,Macro!Q16))))</f>
        <v>102.04230000000001</v>
      </c>
      <c r="P39" s="896">
        <f t="shared" si="4"/>
        <v>132.65499000000003</v>
      </c>
      <c r="Q39" s="896">
        <f>117.29*T27</f>
        <v>102.04230000000001</v>
      </c>
      <c r="R39" s="896">
        <f t="shared" si="5"/>
        <v>71.429609999999997</v>
      </c>
      <c r="S39" s="264" t="s">
        <v>149</v>
      </c>
      <c r="T39" t="s">
        <v>0</v>
      </c>
    </row>
    <row r="40" spans="2:20" x14ac:dyDescent="0.2">
      <c r="B40" s="208" t="s">
        <v>150</v>
      </c>
      <c r="C40" s="430"/>
      <c r="D40" s="431" t="e">
        <f>'R1_MEFA'!L73*O40/'R1_MEFA'!C5/1000</f>
        <v>#DIV/0!</v>
      </c>
      <c r="E40" s="430"/>
      <c r="F40" s="431" t="e">
        <f>'R2_MEFA'!L101*O40/'R2_MEFA'!C5/1000</f>
        <v>#DIV/0!</v>
      </c>
      <c r="G40" s="375"/>
      <c r="H40" s="376" t="e">
        <f>'R3_MEFA'!L120*$O40/'R3_MEFA'!$C$5/1000</f>
        <v>#DIV/0!</v>
      </c>
      <c r="I40" s="378"/>
      <c r="J40" s="378"/>
      <c r="K40" s="378"/>
      <c r="L40" s="378"/>
      <c r="N40" s="379" t="s">
        <v>150</v>
      </c>
      <c r="O40" s="210">
        <f>IF(Macro!$H$8=1,Evaluation!P40,IF(Macro!$H$8=2,Evaluation!Q40,IF(Macro!$H$8=3,Evaluation!R40,IF(Macro!Q17=0,Q40,Macro!Q17))))</f>
        <v>738.99999999999989</v>
      </c>
      <c r="P40" s="896">
        <f t="shared" si="4"/>
        <v>960.69999999999993</v>
      </c>
      <c r="Q40" s="896">
        <f>827.68/(56*20/1000)</f>
        <v>738.99999999999989</v>
      </c>
      <c r="R40" s="896">
        <f t="shared" si="5"/>
        <v>517.29999999999984</v>
      </c>
      <c r="S40" s="264" t="s">
        <v>151</v>
      </c>
      <c r="T40" t="s">
        <v>0</v>
      </c>
    </row>
    <row r="41" spans="2:20" x14ac:dyDescent="0.2">
      <c r="B41" s="208" t="s">
        <v>52</v>
      </c>
      <c r="C41" s="537" t="e">
        <f>'R1_MEFA'!I67*O41/'R1_MEFA'!C5/1000</f>
        <v>#DIV/0!</v>
      </c>
      <c r="D41" s="538" t="e">
        <f>'R1_MEFA'!L66*O41/'R1_MEFA'!C5/1000</f>
        <v>#DIV/0!</v>
      </c>
      <c r="E41" s="537" t="e">
        <f>'R2_MEFA'!I93*O41/'R2_MEFA'!C5/1000</f>
        <v>#DIV/0!</v>
      </c>
      <c r="F41" s="538" t="e">
        <f>'R2_MEFA'!L93*O41/'R2_MEFA'!C5/1000</f>
        <v>#DIV/0!</v>
      </c>
      <c r="G41" s="716" t="e">
        <f>'R3_MEFA'!I113*$O41/'R3_MEFA'!$C$5/1000</f>
        <v>#DIV/0!</v>
      </c>
      <c r="H41" s="539" t="e">
        <f>'R3_MEFA'!L113*O41/'R3_MEFA'!C5/1000</f>
        <v>#DIV/0!</v>
      </c>
      <c r="I41" s="378"/>
      <c r="J41" s="378"/>
      <c r="K41" s="378"/>
      <c r="L41" s="378"/>
      <c r="N41" s="379" t="s">
        <v>52</v>
      </c>
      <c r="O41" s="667">
        <v>0.16500000000000001</v>
      </c>
      <c r="P41" s="897">
        <f>Q41</f>
        <v>0.16539999999999999</v>
      </c>
      <c r="Q41" s="897">
        <v>0.16539999999999999</v>
      </c>
      <c r="R41" s="897">
        <f>Q41</f>
        <v>0.16539999999999999</v>
      </c>
      <c r="S41" s="264" t="s">
        <v>152</v>
      </c>
      <c r="T41" t="s">
        <v>0</v>
      </c>
    </row>
    <row r="42" spans="2:20" x14ac:dyDescent="0.2">
      <c r="B42" s="208" t="s">
        <v>54</v>
      </c>
      <c r="C42" s="430"/>
      <c r="D42" s="431"/>
      <c r="E42" s="430"/>
      <c r="F42" s="431">
        <f>'R2_MEFA'!L100*O42/'R2_MEFA'!C5/1000</f>
        <v>0</v>
      </c>
      <c r="G42" s="375"/>
      <c r="H42" s="376"/>
      <c r="I42" s="378"/>
      <c r="J42" s="378"/>
      <c r="K42" s="378"/>
      <c r="L42" s="378"/>
      <c r="N42" s="379" t="s">
        <v>54</v>
      </c>
      <c r="O42" s="210">
        <f>IF(Macro!$H$8=1,Evaluation!P42,IF(Macro!$H$8=2,Evaluation!Q42,IF(Macro!$H$8=3,Evaluation!R42,IF(Macro!Q19=0,Q42,Macro!Q19))))</f>
        <v>130.5</v>
      </c>
      <c r="P42" s="896">
        <f t="shared" si="4"/>
        <v>169.65</v>
      </c>
      <c r="Q42" s="896">
        <f>0.15*1000*$T$27</f>
        <v>130.5</v>
      </c>
      <c r="R42" s="896">
        <f t="shared" si="5"/>
        <v>91.35</v>
      </c>
      <c r="S42" s="264" t="s">
        <v>143</v>
      </c>
      <c r="T42" t="s">
        <v>0</v>
      </c>
    </row>
    <row r="43" spans="2:20" x14ac:dyDescent="0.2">
      <c r="B43" s="208" t="s">
        <v>153</v>
      </c>
      <c r="C43" s="430"/>
      <c r="D43" s="431" t="e">
        <f>'R1_MEFA'!L70*O43/'R1_MEFA'!C5/1000</f>
        <v>#DIV/0!</v>
      </c>
      <c r="E43" s="430"/>
      <c r="F43" s="431" t="e">
        <f>'R2_MEFA'!L97*O43/'R2_MEFA'!C5/1000</f>
        <v>#DIV/0!</v>
      </c>
      <c r="G43" s="375"/>
      <c r="H43" s="376" t="e">
        <f>'R3_MEFA'!L117*$O43/'R3_MEFA'!$C$5/1000</f>
        <v>#DIV/0!</v>
      </c>
      <c r="I43" s="378"/>
      <c r="J43" s="378"/>
      <c r="K43" s="378"/>
      <c r="L43" s="378"/>
      <c r="N43" s="379" t="s">
        <v>153</v>
      </c>
      <c r="O43" s="210">
        <f>IF(Macro!$H$8=1,Evaluation!P43,IF(Macro!$H$8=2,Evaluation!Q43,IF(Macro!$H$8=3,Evaluation!R43,IF(Macro!Q20=0,Q43,Macro!Q20))))</f>
        <v>2090</v>
      </c>
      <c r="P43" s="896">
        <f t="shared" si="4"/>
        <v>2717</v>
      </c>
      <c r="Q43" s="896">
        <f>2.09*1000</f>
        <v>2090</v>
      </c>
      <c r="R43" s="896">
        <f t="shared" si="5"/>
        <v>1463</v>
      </c>
      <c r="S43" s="264" t="s">
        <v>154</v>
      </c>
      <c r="T43" t="s">
        <v>0</v>
      </c>
    </row>
    <row r="44" spans="2:20" x14ac:dyDescent="0.2">
      <c r="B44" s="208" t="s">
        <v>57</v>
      </c>
      <c r="C44" s="430" t="e">
        <f>'R1_MEFA'!I66*O44/'R1_MEFA'!C5/1000</f>
        <v>#DIV/0!</v>
      </c>
      <c r="D44" s="431"/>
      <c r="E44" s="430">
        <f>'R2_MEFA'!I94*O44/'R2_MEFA'!C5/1000</f>
        <v>0</v>
      </c>
      <c r="F44" s="431"/>
      <c r="G44" s="375" t="e">
        <f>'R3_MEFA'!I114*$O44/'R3_MEFA'!$C$5/1000</f>
        <v>#DIV/0!</v>
      </c>
      <c r="H44" s="376"/>
      <c r="I44" s="378"/>
      <c r="J44" s="378"/>
      <c r="K44" s="378"/>
      <c r="L44" s="378"/>
      <c r="N44" s="379" t="s">
        <v>57</v>
      </c>
      <c r="O44" s="667">
        <f>IF(Macro!$H$8=1,Evaluation!P44,IF(Macro!$H$8=2,Evaluation!Q44,IF(Macro!$H$8=3,Evaluation!R44,IF(Macro!Q21=0,Q44,Macro!Q21))))</f>
        <v>2.5300000000000001E-3</v>
      </c>
      <c r="P44" s="897">
        <f t="shared" si="4"/>
        <v>3.2890000000000003E-3</v>
      </c>
      <c r="Q44" s="897">
        <f>2.53/100/10</f>
        <v>2.5300000000000001E-3</v>
      </c>
      <c r="R44" s="897">
        <f t="shared" si="5"/>
        <v>1.771E-3</v>
      </c>
      <c r="S44" s="264" t="s">
        <v>152</v>
      </c>
      <c r="T44" t="s">
        <v>0</v>
      </c>
    </row>
    <row r="45" spans="2:20" x14ac:dyDescent="0.2">
      <c r="B45" s="208" t="s">
        <v>59</v>
      </c>
      <c r="C45" s="430"/>
      <c r="D45" s="431"/>
      <c r="E45" s="430"/>
      <c r="F45" s="431" t="e">
        <f>'R2_MEFA'!L107*O45/'R2_MEFA'!C5/1000</f>
        <v>#DIV/0!</v>
      </c>
      <c r="G45" s="375"/>
      <c r="H45" s="376"/>
      <c r="I45" s="378"/>
      <c r="J45" s="378"/>
      <c r="K45" s="378"/>
      <c r="L45" s="378"/>
      <c r="N45" s="379" t="s">
        <v>59</v>
      </c>
      <c r="O45" s="210">
        <f>IF(Macro!$H$8=1,Evaluation!P45,IF(Macro!$H$8=2,Evaluation!Q45,IF(Macro!$H$8=3,Evaluation!R45,IF(Macro!Q22=0,Q45,Macro!Q22))))</f>
        <v>174</v>
      </c>
      <c r="P45" s="896">
        <f t="shared" si="4"/>
        <v>226.20000000000002</v>
      </c>
      <c r="Q45" s="896">
        <f>0.2*1000*$T$27</f>
        <v>174</v>
      </c>
      <c r="R45" s="896">
        <f t="shared" si="5"/>
        <v>121.8</v>
      </c>
      <c r="S45" s="264" t="s">
        <v>143</v>
      </c>
      <c r="T45" t="s">
        <v>0</v>
      </c>
    </row>
    <row r="46" spans="2:20" x14ac:dyDescent="0.2">
      <c r="B46" s="208" t="s">
        <v>60</v>
      </c>
      <c r="C46" s="430"/>
      <c r="D46" s="431" t="e">
        <f>'R1_MEFA'!L71*O46/'R1_MEFA'!C5/1000</f>
        <v>#DIV/0!</v>
      </c>
      <c r="E46" s="430"/>
      <c r="F46" s="431" t="e">
        <f>'R2_MEFA'!L98*O46/'R2_MEFA'!C5/1000</f>
        <v>#DIV/0!</v>
      </c>
      <c r="G46" s="375"/>
      <c r="H46" s="376" t="e">
        <f>'R3_MEFA'!L118*$O46/'R3_MEFA'!$C$5/1000</f>
        <v>#DIV/0!</v>
      </c>
      <c r="I46" s="378"/>
      <c r="J46" s="45"/>
      <c r="K46" s="45"/>
      <c r="L46" s="378"/>
      <c r="N46" s="379" t="s">
        <v>60</v>
      </c>
      <c r="O46" s="210">
        <f>IF(Macro!$H$8=1,Evaluation!P46,IF(Macro!$H$8=2,Evaluation!Q46,IF(Macro!$H$8=3,Evaluation!R46,IF(Macro!Q23=0,Q46,Macro!Q23))))</f>
        <v>650</v>
      </c>
      <c r="P46" s="896">
        <f t="shared" si="4"/>
        <v>845</v>
      </c>
      <c r="Q46" s="896">
        <f>0.65*1000</f>
        <v>650</v>
      </c>
      <c r="R46" s="896">
        <f t="shared" si="5"/>
        <v>454.99999999999994</v>
      </c>
      <c r="S46" s="264" t="s">
        <v>154</v>
      </c>
      <c r="T46" t="s">
        <v>0</v>
      </c>
    </row>
    <row r="47" spans="2:20" x14ac:dyDescent="0.2">
      <c r="B47" s="208" t="s">
        <v>61</v>
      </c>
      <c r="C47" s="430" t="e">
        <f>'R1_MEFA'!F66*O47/'R1_MEFA'!C5/1000</f>
        <v>#DIV/0!</v>
      </c>
      <c r="D47" s="431"/>
      <c r="E47" s="430"/>
      <c r="F47" s="431"/>
      <c r="G47" s="375" t="e">
        <f>'R3_MEFA'!F113*$O47/'R3_MEFA'!$C$5/1000</f>
        <v>#DIV/0!</v>
      </c>
      <c r="H47" s="376"/>
      <c r="I47" s="378"/>
      <c r="J47" s="378"/>
      <c r="K47" s="378"/>
      <c r="L47" s="378"/>
      <c r="N47" s="379" t="s">
        <v>61</v>
      </c>
      <c r="O47" s="210">
        <v>30</v>
      </c>
      <c r="P47" s="896">
        <f t="shared" si="4"/>
        <v>158.34</v>
      </c>
      <c r="Q47" s="896">
        <f>0.14*1000*$T$27</f>
        <v>121.8</v>
      </c>
      <c r="R47" s="896">
        <f t="shared" si="5"/>
        <v>85.259999999999991</v>
      </c>
      <c r="S47" s="264" t="s">
        <v>143</v>
      </c>
      <c r="T47" t="s">
        <v>0</v>
      </c>
    </row>
    <row r="48" spans="2:20" x14ac:dyDescent="0.2">
      <c r="B48" s="208" t="s">
        <v>63</v>
      </c>
      <c r="C48" s="430" t="e">
        <f>('R1_MEFA'!F74-'R1_MEFA'!L74)*O48/'R1_MEFA'!C5/1000</f>
        <v>#DIV/0!</v>
      </c>
      <c r="D48" s="431"/>
      <c r="E48" s="430" t="e">
        <f>('R2_MEFA'!F99-'R2_MEFA'!L102)*O48/'R1_MEFA'!C5/1000</f>
        <v>#DIV/0!</v>
      </c>
      <c r="F48" s="431"/>
      <c r="G48" s="375" t="e">
        <f>('R3_MEFA'!F121-'R3_MEFA'!L121)*$O48/'R3_MEFA'!$C$5/1000</f>
        <v>#DIV/0!</v>
      </c>
      <c r="H48" s="376"/>
      <c r="I48" s="378"/>
      <c r="J48" s="378"/>
      <c r="K48" s="378"/>
      <c r="L48" s="378"/>
      <c r="N48" s="379" t="s">
        <v>63</v>
      </c>
      <c r="O48" s="210">
        <f>IF(Macro!$H$8=1,Evaluation!P48,IF(Macro!$H$8=2,Evaluation!Q48,IF(Macro!$H$8=3,Evaluation!R48,IF(Macro!Q25=0,Q48,Macro!Q25))))</f>
        <v>522</v>
      </c>
      <c r="P48" s="896">
        <f t="shared" si="4"/>
        <v>678.6</v>
      </c>
      <c r="Q48" s="896">
        <f>600*T27</f>
        <v>522</v>
      </c>
      <c r="R48" s="896">
        <f t="shared" si="5"/>
        <v>365.4</v>
      </c>
      <c r="S48" s="264" t="s">
        <v>155</v>
      </c>
      <c r="T48" t="s">
        <v>0</v>
      </c>
    </row>
    <row r="49" spans="2:20" x14ac:dyDescent="0.2">
      <c r="B49" s="208" t="s">
        <v>156</v>
      </c>
      <c r="C49" s="430">
        <f>'R1_MEFA'!L86*O49/'R1_MEFA'!C5/1000</f>
        <v>0</v>
      </c>
      <c r="D49" s="431"/>
      <c r="E49" s="430">
        <f>'R2_MEFA'!L113*O49/'R2_MEFA'!C5/1000</f>
        <v>0</v>
      </c>
      <c r="F49" s="431"/>
      <c r="G49" s="375">
        <f>'R3_MEFA'!L133*$O49/'R3_MEFA'!$C$5/1000</f>
        <v>0</v>
      </c>
      <c r="H49" s="376"/>
      <c r="I49" s="378"/>
      <c r="J49" s="378"/>
      <c r="K49" s="378"/>
      <c r="L49" s="378"/>
      <c r="N49" s="379" t="s">
        <v>156</v>
      </c>
      <c r="O49" s="210">
        <f>IF(Macro!$H$8=1,Evaluation!P49,IF(Macro!$H$8=2,Evaluation!Q49,IF(Macro!$H$8=3,Evaluation!R49,IF(Macro!Q26=0,Q49,Macro!Q26))))</f>
        <v>3000</v>
      </c>
      <c r="P49" s="896">
        <f t="shared" si="4"/>
        <v>3900</v>
      </c>
      <c r="Q49" s="896">
        <v>3000</v>
      </c>
      <c r="R49" s="896">
        <f t="shared" si="5"/>
        <v>2100</v>
      </c>
      <c r="S49" s="264" t="s">
        <v>142</v>
      </c>
      <c r="T49" t="s">
        <v>0</v>
      </c>
    </row>
    <row r="50" spans="2:20" x14ac:dyDescent="0.2">
      <c r="B50" s="208" t="s">
        <v>105</v>
      </c>
      <c r="C50" s="430"/>
      <c r="D50" s="431" t="e">
        <f>'R1_MEFA'!L69*O50/'R1_MEFA'!C5/1000</f>
        <v>#DIV/0!</v>
      </c>
      <c r="E50" s="430"/>
      <c r="F50" s="431" t="e">
        <f>'R2_MEFA'!L96*O50/'R2_MEFA'!C5/1000</f>
        <v>#DIV/0!</v>
      </c>
      <c r="G50" s="375"/>
      <c r="H50" s="376" t="e">
        <f>'R3_MEFA'!L116*$O50/'R3_MEFA'!$C$5/1000</f>
        <v>#DIV/0!</v>
      </c>
      <c r="I50" s="378"/>
      <c r="J50" s="378"/>
      <c r="K50" s="378"/>
      <c r="L50" s="378"/>
      <c r="N50" s="379" t="s">
        <v>66</v>
      </c>
      <c r="O50" s="210">
        <f>IF(Macro!$H$8=1,Evaluation!P50,IF(Macro!$H$8=2,Evaluation!Q50,IF(Macro!$H$8=3,Evaluation!R50,IF(Macro!Q27=0,Q50,Macro!Q27))))</f>
        <v>6610</v>
      </c>
      <c r="P50" s="896">
        <f t="shared" si="4"/>
        <v>8593</v>
      </c>
      <c r="Q50" s="896">
        <v>6610</v>
      </c>
      <c r="R50" s="896">
        <f t="shared" si="5"/>
        <v>4627</v>
      </c>
      <c r="S50" s="264" t="s">
        <v>157</v>
      </c>
      <c r="T50" t="s">
        <v>0</v>
      </c>
    </row>
    <row r="51" spans="2:20" x14ac:dyDescent="0.2">
      <c r="B51" s="208" t="s">
        <v>67</v>
      </c>
      <c r="C51" s="430"/>
      <c r="D51" s="431" t="e">
        <f>'R1_MEFA'!L84*O51/'R1_MEFA'!C5/1000</f>
        <v>#DIV/0!</v>
      </c>
      <c r="E51" s="430"/>
      <c r="F51" s="431" t="e">
        <f>'R2_MEFA'!L111*O51/'R2_MEFA'!C5/1000</f>
        <v>#DIV/0!</v>
      </c>
      <c r="G51" s="375"/>
      <c r="H51" s="376" t="e">
        <f>'R3_MEFA'!L131*$O51/'R3_MEFA'!$C$5/1000</f>
        <v>#DIV/0!</v>
      </c>
      <c r="I51" s="378"/>
      <c r="J51" s="378"/>
      <c r="K51" s="378"/>
      <c r="L51" s="378"/>
      <c r="N51" s="379" t="s">
        <v>67</v>
      </c>
      <c r="O51" s="210">
        <f>IF(Macro!$H$8=1,Evaluation!P51,IF(Macro!$H$8=2,Evaluation!Q51,IF(Macro!$H$8=3,Evaluation!R51,IF(Macro!Q28=0,Q51,Macro!Q28))))</f>
        <v>12815.1</v>
      </c>
      <c r="P51" s="896">
        <f t="shared" si="4"/>
        <v>16659.63</v>
      </c>
      <c r="Q51" s="896">
        <f>14.73*1000*$T$27</f>
        <v>12815.1</v>
      </c>
      <c r="R51" s="896">
        <f t="shared" si="5"/>
        <v>8970.57</v>
      </c>
      <c r="S51" s="264" t="s">
        <v>143</v>
      </c>
      <c r="T51" t="s">
        <v>0</v>
      </c>
    </row>
    <row r="52" spans="2:20" ht="17" x14ac:dyDescent="0.25">
      <c r="B52" s="208" t="s">
        <v>158</v>
      </c>
      <c r="C52" s="430"/>
      <c r="D52" s="431" t="e">
        <f>'R1_MEFA'!L83*O52/'R1_MEFA'!C5/1000</f>
        <v>#DIV/0!</v>
      </c>
      <c r="E52" s="430"/>
      <c r="F52" s="431" t="e">
        <f>'R2_MEFA'!L110*O52/'R2_MEFA'!C5/1000</f>
        <v>#DIV/0!</v>
      </c>
      <c r="G52" s="375"/>
      <c r="H52" s="376" t="e">
        <f>'R3_MEFA'!L130*$O52/'R3_MEFA'!$C$5/1000</f>
        <v>#DIV/0!</v>
      </c>
      <c r="I52" s="378"/>
      <c r="J52" s="378"/>
      <c r="K52" s="378"/>
      <c r="L52" s="378"/>
      <c r="N52" s="379" t="s">
        <v>68</v>
      </c>
      <c r="O52" s="210">
        <f>IF(Macro!$H$8=1,Evaluation!P52,IF(Macro!$H$8=2,Evaluation!Q52,IF(Macro!$H$8=3,Evaluation!R52,IF(Macro!Q29=0,Q52,Macro!Q29))))</f>
        <v>948.3</v>
      </c>
      <c r="P52" s="896">
        <f t="shared" si="4"/>
        <v>1232.79</v>
      </c>
      <c r="Q52" s="896">
        <f>1.09*1000*$T$27</f>
        <v>948.3</v>
      </c>
      <c r="R52" s="896">
        <f t="shared" si="5"/>
        <v>663.81</v>
      </c>
      <c r="S52" s="264" t="s">
        <v>143</v>
      </c>
      <c r="T52" t="s">
        <v>0</v>
      </c>
    </row>
    <row r="53" spans="2:20" x14ac:dyDescent="0.2">
      <c r="B53" s="208" t="s">
        <v>69</v>
      </c>
      <c r="C53" s="430" t="e">
        <f>'R1_MEFA'!F77*O53/'R1_MEFA'!C5/1000</f>
        <v>#DIV/0!</v>
      </c>
      <c r="D53" s="431"/>
      <c r="E53" s="430" t="e">
        <f>'R2_MEFA'!F103*O53/'R2_MEFA'!C5/1000</f>
        <v>#DIV/0!</v>
      </c>
      <c r="F53" s="431"/>
      <c r="G53" s="375" t="e">
        <f>'R3_MEFA'!F124*$O53/'R3_MEFA'!$C$5/1000</f>
        <v>#DIV/0!</v>
      </c>
      <c r="H53" s="376"/>
      <c r="I53" s="378"/>
      <c r="J53" s="378"/>
      <c r="K53" s="378"/>
      <c r="L53" s="378"/>
      <c r="N53" s="592" t="s">
        <v>69</v>
      </c>
      <c r="O53" s="210">
        <f>IF(Macro!$H$8=1,Evaluation!P53,IF(Macro!$H$8=2,Evaluation!Q53,IF(Macro!$H$8=3,Evaluation!R53,IF(Macro!Q30=0,Q53,Macro!Q30))))</f>
        <v>338.99</v>
      </c>
      <c r="P53" s="896">
        <f t="shared" si="4"/>
        <v>440.68700000000001</v>
      </c>
      <c r="Q53" s="896">
        <v>338.99</v>
      </c>
      <c r="R53" s="896">
        <f t="shared" si="5"/>
        <v>237.29299999999998</v>
      </c>
      <c r="S53" s="264" t="s">
        <v>159</v>
      </c>
      <c r="T53" t="s">
        <v>0</v>
      </c>
    </row>
    <row r="54" spans="2:20" ht="16" x14ac:dyDescent="0.2">
      <c r="B54" s="909" t="s">
        <v>160</v>
      </c>
      <c r="E54" s="299"/>
      <c r="G54" s="536"/>
      <c r="H54" s="264"/>
      <c r="I54" s="378"/>
      <c r="J54" s="378"/>
      <c r="K54" s="378"/>
      <c r="L54" s="378"/>
      <c r="N54" s="744" t="s">
        <v>160</v>
      </c>
      <c r="O54" s="665">
        <f>IF(Macro!$H$8=1,Evaluation!P54,IF(Macro!$H$8=2,Evaluation!Q54,IF(Macro!$H$8=3,Evaluation!R54,IF(Macro!Q31=0,Q54,Macro!Q31))))</f>
        <v>226.58</v>
      </c>
      <c r="P54" s="896">
        <f t="shared" si="4"/>
        <v>294.55400000000003</v>
      </c>
      <c r="Q54" s="896">
        <v>226.58</v>
      </c>
      <c r="R54" s="896">
        <f t="shared" si="5"/>
        <v>158.60599999999999</v>
      </c>
      <c r="S54" s="557" t="s">
        <v>161</v>
      </c>
      <c r="T54" t="s">
        <v>0</v>
      </c>
    </row>
    <row r="55" spans="2:20" ht="16" x14ac:dyDescent="0.2">
      <c r="B55" s="208" t="s">
        <v>70</v>
      </c>
      <c r="C55" s="430" t="e">
        <f>'R1_MEFA'!F73*O55/'R1_MEFA'!C5/1000</f>
        <v>#DIV/0!</v>
      </c>
      <c r="D55" s="431"/>
      <c r="E55" s="430" t="e">
        <f>'R2_MEFA'!F98*O55/'R2_MEFA'!C5/1000</f>
        <v>#DIV/0!</v>
      </c>
      <c r="F55" s="431"/>
      <c r="G55" s="375" t="e">
        <f>'R3_MEFA'!F120*$O55/'R3_MEFA'!$C$5/1000</f>
        <v>#DIV/0!</v>
      </c>
      <c r="H55" s="376"/>
      <c r="I55" s="378"/>
      <c r="J55" s="378"/>
      <c r="K55" s="378"/>
      <c r="L55" s="378"/>
      <c r="N55" s="745" t="s">
        <v>70</v>
      </c>
      <c r="O55" s="210">
        <f>IF(Macro!$H$8=1,Evaluation!P55,IF(Macro!$H$8=2,Evaluation!Q55,IF(Macro!$H$8=3,Evaluation!R55,IF(Macro!Q32=0,Q55,Macro!Q32))))</f>
        <v>348</v>
      </c>
      <c r="P55" s="896">
        <f t="shared" si="4"/>
        <v>452.40000000000003</v>
      </c>
      <c r="Q55" s="896">
        <f>0.4*1000*$T$27</f>
        <v>348</v>
      </c>
      <c r="R55" s="896">
        <f t="shared" si="5"/>
        <v>243.6</v>
      </c>
      <c r="S55" s="264" t="s">
        <v>143</v>
      </c>
      <c r="T55" t="s">
        <v>0</v>
      </c>
    </row>
    <row r="56" spans="2:20" ht="17" x14ac:dyDescent="0.25">
      <c r="B56" s="208" t="s">
        <v>162</v>
      </c>
      <c r="C56" s="430"/>
      <c r="D56" s="431" t="e">
        <f>'R1_MEFA'!L76*O56/'R1_MEFA'!C5/1000</f>
        <v>#DIV/0!</v>
      </c>
      <c r="E56" s="430"/>
      <c r="F56" s="431" t="e">
        <f>'R2_MEFA'!L105*O56/'R2_MEFA'!C5/1000</f>
        <v>#DIV/0!</v>
      </c>
      <c r="G56" s="375"/>
      <c r="H56" s="376" t="e">
        <f>'R3_MEFA'!L123*$O56/'R3_MEFA'!$C$5/1000</f>
        <v>#DIV/0!</v>
      </c>
      <c r="I56" s="378"/>
      <c r="J56" s="378"/>
      <c r="K56" s="378"/>
      <c r="L56" s="378"/>
      <c r="N56" s="379" t="s">
        <v>71</v>
      </c>
      <c r="O56" s="210">
        <f>IF(Macro!$H$8=1,Evaluation!P56,IF(Macro!$H$8=2,Evaluation!Q56,IF(Macro!$H$8=3,Evaluation!R56,IF(Macro!Q33=0,Q56,Macro!Q33))))</f>
        <v>4289.1000000000004</v>
      </c>
      <c r="P56" s="896">
        <f t="shared" si="4"/>
        <v>5575.8300000000008</v>
      </c>
      <c r="Q56" s="896">
        <f>4.93*1000*$T$27</f>
        <v>4289.1000000000004</v>
      </c>
      <c r="R56" s="896">
        <f t="shared" si="5"/>
        <v>3002.37</v>
      </c>
      <c r="S56" s="264" t="s">
        <v>143</v>
      </c>
      <c r="T56" t="s">
        <v>0</v>
      </c>
    </row>
    <row r="57" spans="2:20" ht="17" x14ac:dyDescent="0.25">
      <c r="B57" s="208" t="s">
        <v>163</v>
      </c>
      <c r="C57" s="430" t="e">
        <f>'R1_MEFA'!F67*O57/'R1_MEFA'!C5/1000</f>
        <v>#DIV/0!</v>
      </c>
      <c r="D57" s="431" t="e">
        <f>'R1_MEFA'!L80*O57/'R1_MEFA'!C5/1000</f>
        <v>#DIV/0!</v>
      </c>
      <c r="E57" s="430"/>
      <c r="F57" s="431"/>
      <c r="G57" s="375" t="e">
        <f>'R3_MEFA'!F114*$O57/'R3_MEFA'!$C$5/1000</f>
        <v>#DIV/0!</v>
      </c>
      <c r="H57" s="376" t="e">
        <f>'R3_MEFA'!L127*$O57/'R3_MEFA'!$C$5/1000</f>
        <v>#DIV/0!</v>
      </c>
      <c r="I57" s="378"/>
      <c r="J57" s="378"/>
      <c r="K57" s="378"/>
      <c r="L57" s="378"/>
      <c r="N57" s="379" t="s">
        <v>164</v>
      </c>
      <c r="O57" s="210">
        <f>IF(Macro!$H$8=1,Evaluation!P57,IF(Macro!$H$8=2,Evaluation!Q57,IF(Macro!$H$8=3,Evaluation!R57,IF(Macro!Q34=0,Q57,Macro!Q34))))</f>
        <v>43.5</v>
      </c>
      <c r="P57" s="896">
        <f t="shared" si="4"/>
        <v>56.550000000000004</v>
      </c>
      <c r="Q57" s="896">
        <f>0.05*1000*$T$27</f>
        <v>43.5</v>
      </c>
      <c r="R57" s="896">
        <f t="shared" si="5"/>
        <v>30.45</v>
      </c>
      <c r="S57" s="264" t="s">
        <v>143</v>
      </c>
      <c r="T57" t="s">
        <v>0</v>
      </c>
    </row>
    <row r="58" spans="2:20" x14ac:dyDescent="0.2">
      <c r="B58" s="208" t="s">
        <v>73</v>
      </c>
      <c r="C58" s="430" t="e">
        <f>'R1_MEFA'!F68*O58/'R1_MEFA'!C5/1000</f>
        <v>#DIV/0!</v>
      </c>
      <c r="D58" s="431"/>
      <c r="E58" s="430"/>
      <c r="F58" s="431"/>
      <c r="G58" s="375" t="e">
        <f>'R3_MEFA'!F115*$O58/'R3_MEFA'!$C$5/1000</f>
        <v>#DIV/0!</v>
      </c>
      <c r="H58" s="376"/>
      <c r="I58" s="378"/>
      <c r="J58" s="558"/>
      <c r="K58" s="558"/>
      <c r="N58" s="379" t="s">
        <v>73</v>
      </c>
      <c r="O58" s="210">
        <f>IF(Macro!$H$8=1,Evaluation!P58,IF(Macro!$H$8=2,Evaluation!Q58,IF(Macro!$H$8=3,Evaluation!R58,IF(Macro!Q35=0,Q58,Macro!Q35))))</f>
        <v>174</v>
      </c>
      <c r="P58" s="896">
        <f t="shared" si="4"/>
        <v>226.20000000000002</v>
      </c>
      <c r="Q58" s="896">
        <f>0.2*1000*$T$27</f>
        <v>174</v>
      </c>
      <c r="R58" s="896">
        <f t="shared" si="5"/>
        <v>121.8</v>
      </c>
      <c r="S58" s="264" t="s">
        <v>143</v>
      </c>
      <c r="T58" t="s">
        <v>0</v>
      </c>
    </row>
    <row r="59" spans="2:20" ht="16" x14ac:dyDescent="0.2">
      <c r="B59" s="743" t="s">
        <v>74</v>
      </c>
      <c r="C59" s="430" t="e">
        <f>'R1_MEFA'!F69*O59/'R1_MEFA'!C5/1000</f>
        <v>#DIV/0!</v>
      </c>
      <c r="D59" s="431"/>
      <c r="E59" s="430" t="e">
        <f>'R2_MEFA'!F94*O59/'R2_MEFA'!C5/1000</f>
        <v>#DIV/0!</v>
      </c>
      <c r="F59" s="431"/>
      <c r="G59" s="375" t="e">
        <f>'R3_MEFA'!F116*$O59/'R3_MEFA'!$C$5/1000</f>
        <v>#DIV/0!</v>
      </c>
      <c r="H59" s="376"/>
      <c r="I59" s="378"/>
      <c r="J59" s="378"/>
      <c r="K59" s="378"/>
      <c r="L59" s="378"/>
      <c r="N59" s="379" t="s">
        <v>74</v>
      </c>
      <c r="O59" s="210">
        <f>IF(Macro!$H$8=1,Evaluation!P59,IF(Macro!$H$8=2,Evaluation!Q59,IF(Macro!$H$8=3,Evaluation!R59,IF(Macro!Q36=0,Q59,Macro!Q36))))</f>
        <v>60.9</v>
      </c>
      <c r="P59" s="896">
        <f t="shared" si="4"/>
        <v>79.17</v>
      </c>
      <c r="Q59" s="896">
        <f>0.07*1000*T27</f>
        <v>60.9</v>
      </c>
      <c r="R59" s="896">
        <f t="shared" si="5"/>
        <v>42.629999999999995</v>
      </c>
      <c r="S59" s="264" t="s">
        <v>143</v>
      </c>
      <c r="T59" s="740" t="s">
        <v>0</v>
      </c>
    </row>
    <row r="60" spans="2:20" x14ac:dyDescent="0.2">
      <c r="B60" s="208" t="s">
        <v>75</v>
      </c>
      <c r="C60" s="430"/>
      <c r="D60" s="431" t="e">
        <f>'R1_MEFA'!L68*O60/'R1_MEFA'!C5/1000</f>
        <v>#DIV/0!</v>
      </c>
      <c r="E60" s="430"/>
      <c r="F60" s="431" t="e">
        <f>'R2_MEFA'!L95*O60/'R2_MEFA'!C5/1000</f>
        <v>#DIV/0!</v>
      </c>
      <c r="G60" s="375"/>
      <c r="H60" s="376" t="e">
        <f>'R3_MEFA'!L115*$O60/'R3_MEFA'!$C$5/1000</f>
        <v>#DIV/0!</v>
      </c>
      <c r="I60" s="378"/>
      <c r="J60" s="378"/>
      <c r="K60" s="378"/>
      <c r="L60" s="378"/>
      <c r="N60" s="379" t="s">
        <v>75</v>
      </c>
      <c r="O60" s="210">
        <f>IF(Macro!$H$8=1,Evaluation!P60,IF(Macro!$H$8=2,Evaluation!Q60,IF(Macro!$H$8=3,Evaluation!R60,IF(Macro!Q37=0,Q60,Macro!Q37))))</f>
        <v>371.05500000000001</v>
      </c>
      <c r="P60" s="896">
        <f t="shared" si="4"/>
        <v>482.37150000000003</v>
      </c>
      <c r="Q60" s="896">
        <f>426.5*$T$27</f>
        <v>371.05500000000001</v>
      </c>
      <c r="R60" s="896">
        <f t="shared" si="5"/>
        <v>259.73849999999999</v>
      </c>
      <c r="S60" s="264" t="s">
        <v>165</v>
      </c>
      <c r="T60" t="s">
        <v>0</v>
      </c>
    </row>
    <row r="61" spans="2:20" x14ac:dyDescent="0.2">
      <c r="B61" s="208" t="s">
        <v>166</v>
      </c>
      <c r="C61" s="430"/>
      <c r="D61" s="431"/>
      <c r="E61" s="537" t="e">
        <f>'R2_MEFA'!F32*O61/'R2_MEFA'!C5/1000</f>
        <v>#DIV/0!</v>
      </c>
      <c r="F61" s="431"/>
      <c r="G61" s="375"/>
      <c r="H61" s="376"/>
      <c r="I61" s="378"/>
      <c r="J61" s="378"/>
      <c r="K61" s="378"/>
      <c r="L61" s="378"/>
      <c r="N61" s="592" t="s">
        <v>76</v>
      </c>
      <c r="O61" s="210">
        <f>IF(Macro!$H$8=1,Evaluation!P61,IF(Macro!$H$8=2,Evaluation!Q61,IF(Macro!$H$8=3,Evaluation!R61,IF(Macro!Q38=0,Q61,Macro!Q38))))</f>
        <v>1850</v>
      </c>
      <c r="P61" s="896">
        <f t="shared" si="4"/>
        <v>2405</v>
      </c>
      <c r="Q61" s="896">
        <v>1850</v>
      </c>
      <c r="R61" s="896">
        <f t="shared" si="5"/>
        <v>1295</v>
      </c>
      <c r="S61" s="264" t="s">
        <v>167</v>
      </c>
      <c r="T61" t="s">
        <v>0</v>
      </c>
    </row>
    <row r="62" spans="2:20" x14ac:dyDescent="0.2">
      <c r="B62" s="208" t="s">
        <v>77</v>
      </c>
      <c r="C62" s="430" t="e">
        <f>'R1_MEFA'!F78*O62/'R1_MEFA'!C5/1000</f>
        <v>#DIV/0!</v>
      </c>
      <c r="D62" s="431"/>
      <c r="E62" s="430" t="e">
        <f>'R2_MEFA'!F104*O62/'R1_MEFA'!C5/1000</f>
        <v>#DIV/0!</v>
      </c>
      <c r="F62" s="431"/>
      <c r="G62" s="430" t="e">
        <f>'R3_MEFA'!F125*$O30/'R3_MEFA'!$C$5/1000</f>
        <v>#DIV/0!</v>
      </c>
      <c r="H62" s="376"/>
      <c r="I62" t="s">
        <v>168</v>
      </c>
      <c r="J62" s="378"/>
      <c r="K62" s="378"/>
      <c r="L62" s="378"/>
      <c r="N62" s="592" t="s">
        <v>77</v>
      </c>
      <c r="O62" s="663">
        <f>IF(Macro!$H$8=1,Evaluation!P62,IF(Macro!$H$8=2,Evaluation!Q62,IF(Macro!$H$8=3,Evaluation!R62,IF(Macro!Q39=0,Q62,Macro!Q39))))</f>
        <v>1.73</v>
      </c>
      <c r="P62" s="898">
        <f t="shared" si="4"/>
        <v>2.2490000000000001</v>
      </c>
      <c r="Q62" s="898">
        <v>1.73</v>
      </c>
      <c r="R62" s="898">
        <f t="shared" si="5"/>
        <v>1.2109999999999999</v>
      </c>
      <c r="S62" s="264" t="s">
        <v>169</v>
      </c>
      <c r="T62" t="s">
        <v>0</v>
      </c>
    </row>
    <row r="63" spans="2:20" ht="16" thickBot="1" x14ac:dyDescent="0.25">
      <c r="B63" s="268" t="s">
        <v>78</v>
      </c>
      <c r="C63" s="533" t="e">
        <f>'R1_MEFA'!F72*O63/'R1_MEFA'!C5/1000</f>
        <v>#DIV/0!</v>
      </c>
      <c r="D63" s="534"/>
      <c r="E63" s="533" t="e">
        <f>'R2_MEFA'!F97*O63/'R2_MEFA'!C5/1000</f>
        <v>#DIV/0!</v>
      </c>
      <c r="F63" s="534"/>
      <c r="G63" s="533" t="e">
        <f>'R3_MEFA'!F119*$O30/'R3_MEFA'!$C$5/1000</f>
        <v>#DIV/0!</v>
      </c>
      <c r="H63" s="535"/>
      <c r="N63" s="593" t="s">
        <v>78</v>
      </c>
      <c r="O63" s="666">
        <f>IF(Macro!$H$8=1,Evaluation!P63,IF(Macro!$H$8=2,Evaluation!Q63,IF(Macro!$H$8=3,Evaluation!R63,IF(Macro!Q40=0,Q63,Macro!Q40))))</f>
        <v>600.29999999999995</v>
      </c>
      <c r="P63" s="899">
        <f t="shared" si="4"/>
        <v>780.39</v>
      </c>
      <c r="Q63" s="899">
        <f>0.69*1000*$T$27</f>
        <v>600.29999999999995</v>
      </c>
      <c r="R63" s="899">
        <f t="shared" si="5"/>
        <v>420.20999999999992</v>
      </c>
      <c r="S63" s="278" t="s">
        <v>143</v>
      </c>
      <c r="T63" t="s">
        <v>0</v>
      </c>
    </row>
    <row r="64" spans="2:20" ht="16" thickBot="1" x14ac:dyDescent="0.25">
      <c r="B64" s="675" t="s">
        <v>106</v>
      </c>
      <c r="C64" s="677" t="e">
        <f t="shared" ref="C64:F64" si="6">SUM(C29:C63)</f>
        <v>#DIV/0!</v>
      </c>
      <c r="D64" s="678" t="e">
        <f t="shared" si="6"/>
        <v>#DIV/0!</v>
      </c>
      <c r="E64" s="679" t="e">
        <f t="shared" si="6"/>
        <v>#DIV/0!</v>
      </c>
      <c r="F64" s="678" t="e">
        <f t="shared" si="6"/>
        <v>#DIV/0!</v>
      </c>
      <c r="G64" s="677" t="e">
        <f>SUM(G29:G63)</f>
        <v>#DIV/0!</v>
      </c>
      <c r="H64" s="676" t="e">
        <f>SUM(H29:H63)</f>
        <v>#DIV/0!</v>
      </c>
    </row>
    <row r="65" spans="1:20" ht="16" thickTop="1" x14ac:dyDescent="0.2">
      <c r="D65" s="378"/>
      <c r="F65" s="378"/>
    </row>
    <row r="66" spans="1:20" ht="16" thickBot="1" x14ac:dyDescent="0.25"/>
    <row r="67" spans="1:20" ht="16" thickBot="1" x14ac:dyDescent="0.25">
      <c r="B67" s="1008" t="s">
        <v>170</v>
      </c>
      <c r="C67" s="1009"/>
      <c r="D67" s="1009"/>
      <c r="E67" s="1009"/>
      <c r="F67" s="1009"/>
      <c r="G67" s="1009"/>
      <c r="H67" s="1010"/>
      <c r="N67" s="968" t="s">
        <v>171</v>
      </c>
      <c r="O67" s="970" t="s">
        <v>108</v>
      </c>
      <c r="P67" s="971"/>
      <c r="Q67" s="970" t="s">
        <v>109</v>
      </c>
      <c r="R67" s="971"/>
      <c r="S67" s="970" t="s">
        <v>110</v>
      </c>
      <c r="T67" s="1007"/>
    </row>
    <row r="68" spans="1:20" ht="21" x14ac:dyDescent="0.25">
      <c r="B68" s="600"/>
      <c r="C68" s="979" t="s">
        <v>108</v>
      </c>
      <c r="D68" s="980"/>
      <c r="E68" s="979" t="s">
        <v>109</v>
      </c>
      <c r="F68" s="980"/>
      <c r="G68" s="979" t="s">
        <v>110</v>
      </c>
      <c r="H68" s="980"/>
      <c r="N68" s="969"/>
      <c r="O68" s="789" t="s">
        <v>172</v>
      </c>
      <c r="P68" s="789" t="s">
        <v>173</v>
      </c>
      <c r="Q68" s="789" t="s">
        <v>172</v>
      </c>
      <c r="R68" s="789" t="s">
        <v>173</v>
      </c>
      <c r="S68" s="789" t="s">
        <v>172</v>
      </c>
      <c r="T68" s="789" t="s">
        <v>173</v>
      </c>
    </row>
    <row r="69" spans="1:20" ht="17" thickBot="1" x14ac:dyDescent="0.25">
      <c r="B69" s="601" t="s">
        <v>85</v>
      </c>
      <c r="C69" s="619" t="s">
        <v>1077</v>
      </c>
      <c r="D69" s="620" t="s">
        <v>173</v>
      </c>
      <c r="E69" s="619" t="s">
        <v>1077</v>
      </c>
      <c r="F69" s="620" t="s">
        <v>173</v>
      </c>
      <c r="G69" s="619" t="s">
        <v>1077</v>
      </c>
      <c r="H69" s="620" t="s">
        <v>173</v>
      </c>
      <c r="N69" s="331" t="s">
        <v>104</v>
      </c>
      <c r="O69" s="413">
        <v>0</v>
      </c>
      <c r="P69" s="427" t="e">
        <f>'R1_MEFA'!L30*1000*Substitution!E7*'CO2-Eq. invisble'!F25/('R1_MEFA'!C5*1000)</f>
        <v>#DIV/0!</v>
      </c>
      <c r="Q69" s="413">
        <v>0</v>
      </c>
      <c r="R69" s="426" t="e">
        <f>'R2_MEFA'!L20*1000*Substitution!E29*'CO2-Eq. invisble'!F25/('R2_MEFA'!C5*1000)</f>
        <v>#DIV/0!</v>
      </c>
      <c r="S69" s="416">
        <v>0</v>
      </c>
      <c r="T69" s="417" t="e">
        <f>('R3_MEFA'!L33+'R3_MEFA'!L40)*1000*Substitution!E29*'CO2-Eq. invisble'!F25/('R3_MEFA'!C5*1000)</f>
        <v>#DIV/0!</v>
      </c>
    </row>
    <row r="70" spans="1:20" ht="16" x14ac:dyDescent="0.2">
      <c r="A70" s="999" t="s">
        <v>174</v>
      </c>
      <c r="B70" s="579" t="s">
        <v>175</v>
      </c>
      <c r="C70" s="404"/>
      <c r="D70" s="589"/>
      <c r="E70" s="404"/>
      <c r="F70" s="589"/>
      <c r="G70" s="404"/>
      <c r="H70" s="589"/>
      <c r="N70" s="331" t="s">
        <v>75</v>
      </c>
      <c r="O70" s="419">
        <v>0</v>
      </c>
      <c r="P70" s="425" t="e">
        <f>'R1_MEFA'!L31*1000*Substitution!E8*'CO2-Eq. invisble'!F24/('R1_MEFA'!C5*1000)</f>
        <v>#DIV/0!</v>
      </c>
      <c r="Q70" s="419">
        <v>0</v>
      </c>
      <c r="R70" s="426" t="e">
        <f>'R2_MEFA'!L21*1000*Substitution!E30*'CO2-Eq. invisble'!F24/('R2_MEFA'!C5*1000)</f>
        <v>#DIV/0!</v>
      </c>
      <c r="S70" s="416">
        <v>0</v>
      </c>
      <c r="T70" s="417" t="e">
        <f>('R3_MEFA'!L34+'R3_MEFA'!L41)*1000*Substitution!E30*'CO2-Eq. invisble'!F24/('R3_MEFA'!C5*1000)</f>
        <v>#DIV/0!</v>
      </c>
    </row>
    <row r="71" spans="1:20" ht="16" x14ac:dyDescent="0.2">
      <c r="A71" s="1002"/>
      <c r="B71" s="263" t="s">
        <v>176</v>
      </c>
      <c r="C71" s="601"/>
      <c r="D71" s="410"/>
      <c r="E71" s="601"/>
      <c r="F71" s="410"/>
      <c r="G71" s="601"/>
      <c r="H71" s="410"/>
      <c r="N71" s="331" t="s">
        <v>105</v>
      </c>
      <c r="O71" s="413">
        <v>0</v>
      </c>
      <c r="P71" s="426" t="e">
        <f>'R1_MEFA'!L32*1000*Substitution!E9*'CO2-Eq. invisble'!F14/('R1_MEFA'!C5*1000)</f>
        <v>#DIV/0!</v>
      </c>
      <c r="Q71" s="413">
        <v>0</v>
      </c>
      <c r="R71" s="426" t="e">
        <f>'R2_MEFA'!L22*1000*Substitution!E31*'CO2-Eq. invisble'!F14/('R2_MEFA'!C5*1000)</f>
        <v>#DIV/0!</v>
      </c>
      <c r="S71" s="416">
        <v>0</v>
      </c>
      <c r="T71" s="417" t="e">
        <f>'R3_MEFA'!L35*1000*Substitution!E31*'CO2-Eq. invisble'!F14/('R3_MEFA'!C5*1000)</f>
        <v>#DIV/0!</v>
      </c>
    </row>
    <row r="72" spans="1:20" ht="16" x14ac:dyDescent="0.2">
      <c r="A72" s="1002"/>
      <c r="B72" s="263" t="s">
        <v>177</v>
      </c>
      <c r="C72" s="601"/>
      <c r="D72" s="410"/>
      <c r="E72" s="601"/>
      <c r="F72" s="410"/>
      <c r="G72" s="601"/>
      <c r="H72" s="410"/>
      <c r="N72" s="331" t="s">
        <v>178</v>
      </c>
      <c r="O72" s="413" t="e">
        <f>'R1_MEFA'!L33*1000*Substitution!D12*'CO2-Eq. invisble'!F28/('R1_MEFA'!C5*1000)</f>
        <v>#DIV/0!</v>
      </c>
      <c r="P72" s="425">
        <v>0</v>
      </c>
      <c r="Q72" s="413" t="e">
        <f>'R2_MEFA'!L23*1000*Substitution!D34*'CO2-Eq. invisble'!F28/('R2_MEFA'!C5*1000)</f>
        <v>#DIV/0!</v>
      </c>
      <c r="R72" s="426">
        <v>0</v>
      </c>
      <c r="S72" s="416" t="e">
        <f>('R3_MEFA'!L36+'R3_MEFA'!L43)*1000*Substitution!D34*'CO2-Eq. invisble'!F28/('R3_MEFA'!C5*1000)</f>
        <v>#DIV/0!</v>
      </c>
      <c r="T72" s="417">
        <v>0</v>
      </c>
    </row>
    <row r="73" spans="1:20" ht="16" x14ac:dyDescent="0.2">
      <c r="A73" s="1002"/>
      <c r="B73" s="263" t="s">
        <v>1072</v>
      </c>
      <c r="C73" s="603">
        <v>0</v>
      </c>
      <c r="D73" s="500" t="e">
        <f>'R1_MEFA'!L26*('CO2-Eq. invisble'!F39/1000)/('R1_MEFA'!C5*1000)</f>
        <v>#DIV/0!</v>
      </c>
      <c r="E73" s="603">
        <v>0</v>
      </c>
      <c r="F73" s="500" t="e">
        <f>'R2_MEFA'!L16*'CO2-Eq. invisble'!F39/1000/('R2_MEFA'!C5*1000)</f>
        <v>#DIV/0!</v>
      </c>
      <c r="G73" s="616">
        <v>0</v>
      </c>
      <c r="H73" s="414">
        <v>0</v>
      </c>
      <c r="N73" s="331" t="s">
        <v>60</v>
      </c>
      <c r="O73" s="420" t="e">
        <f>'R1_MEFA'!L34*1000*1*'CO2-Eq. invisble'!F26/('R1_MEFA'!C5*1000)</f>
        <v>#DIV/0!</v>
      </c>
      <c r="P73" s="425" t="e">
        <f>'R1_MEFA'!L34*1000*Substitution!E10*'CO2-Eq. invisble'!F14/('R1_MEFA'!C5*1000)</f>
        <v>#DIV/0!</v>
      </c>
      <c r="Q73" s="420" t="e">
        <f>'R2_MEFA'!L24*1000*1*'CO2-Eq. invisble'!F26/('R2_MEFA'!C5*1000)</f>
        <v>#DIV/0!</v>
      </c>
      <c r="R73" s="425" t="e">
        <f>'R2_MEFA'!L24*1000*Substitution!E32*'CO2-Eq. invisble'!F14/('R2_MEFA'!C5*1000)</f>
        <v>#DIV/0!</v>
      </c>
      <c r="S73" s="420" t="e">
        <f>'R3_MEFA'!L37*1000*1*'CO2-Eq. invisble'!F26/('R3_MEFA'!C5*1000)</f>
        <v>#DIV/0!</v>
      </c>
      <c r="T73" s="421" t="e">
        <f>'R3_MEFA'!L37*1000*Substitution!E32*'CO2-Eq. invisble'!F14/('R3_MEFA'!C5*1000)</f>
        <v>#DIV/0!</v>
      </c>
    </row>
    <row r="74" spans="1:20" ht="17" thickBot="1" x14ac:dyDescent="0.25">
      <c r="A74" s="1006"/>
      <c r="B74" s="746" t="s">
        <v>179</v>
      </c>
      <c r="C74" s="604">
        <v>0</v>
      </c>
      <c r="D74" s="605" t="e">
        <f>SUM(P69:P75)-SUM(O69:O75)</f>
        <v>#DIV/0!</v>
      </c>
      <c r="E74" s="604">
        <v>0</v>
      </c>
      <c r="F74" s="599" t="e">
        <f>SUM(R69:R75)-SUM(Q69:Q75)</f>
        <v>#DIV/0!</v>
      </c>
      <c r="G74" s="614">
        <v>0</v>
      </c>
      <c r="H74" s="415" t="e">
        <f>SUM(T69:T75)-SUM(S69:S75)</f>
        <v>#DIV/0!</v>
      </c>
      <c r="N74" s="331" t="s">
        <v>180</v>
      </c>
      <c r="O74" s="420">
        <v>0</v>
      </c>
      <c r="P74" s="427" t="e">
        <f>'R1_MEFA'!L35*1000*Substitution!E11*'CO2-Eq. invisble'!F23/('R1_MEFA'!C5*1000)</f>
        <v>#DIV/0!</v>
      </c>
      <c r="Q74" s="420">
        <v>0</v>
      </c>
      <c r="R74" s="425" t="e">
        <f>'R2_MEFA'!L25*1000*Substitution!E33*'CO2-Eq. invisble'!F23/('R2_MEFA'!C5*1000)</f>
        <v>#DIV/0!</v>
      </c>
      <c r="S74" s="420">
        <v>0</v>
      </c>
      <c r="T74" s="421" t="e">
        <f>('R3_MEFA'!L38+'R3_MEFA'!L42)*1000*Substitution!E33*'CO2-Eq. invisble'!F23/('R3_MEFA'!C5*1000)</f>
        <v>#DIV/0!</v>
      </c>
    </row>
    <row r="75" spans="1:20" ht="17" thickBot="1" x14ac:dyDescent="0.25">
      <c r="A75" s="999" t="s">
        <v>181</v>
      </c>
      <c r="B75" s="747" t="s">
        <v>182</v>
      </c>
      <c r="C75" s="606" t="e">
        <f>('R1_MEFA'!F41*1000*'CO2-Eq. invisble'!F32/('R1_MEFA'!C5*1000))+('R1_MEFA'!F42*1000*'CO2-Eq. invisble'!F33/('R1_MEFA'!C5*1000))+('R1_MEFA'!F44*1000*'CO2-Eq. invisble'!F37/('R1_MEFA'!C5*1000))+('R1_MEFA'!I45*'CO2-Eq. invisble'!F21/('R1_MEFA'!C5*1000))+(('R1_MEFA'!C5*(Battery!E16+Battery!E18+Battery!E19+Battery!E21+Battery!E27+Battery!E28))*1000*'CO2-Eq. invisble'!F22/('R1_MEFA'!C5*1000))</f>
        <v>#DIV/0!</v>
      </c>
      <c r="D75" s="598">
        <v>0</v>
      </c>
      <c r="E75" s="606">
        <v>0</v>
      </c>
      <c r="F75" s="598">
        <v>0</v>
      </c>
      <c r="G75" s="617">
        <v>0</v>
      </c>
      <c r="H75" s="590">
        <v>0</v>
      </c>
      <c r="N75" s="422" t="s">
        <v>183</v>
      </c>
      <c r="O75" s="423" t="e">
        <f>'R1_MEFA'!L36*1000*Substitution!D13*'CO2-Eq. invisble'!F30/('R1_MEFA'!C5*1000)</f>
        <v>#DIV/0!</v>
      </c>
      <c r="P75" s="428">
        <v>0</v>
      </c>
      <c r="Q75" s="423" t="e">
        <f>'R2_MEFA'!L26*1000*'CO2-Eq. invisble'!F30/('R2_MEFA'!C5*1000)</f>
        <v>#DIV/0!</v>
      </c>
      <c r="R75" s="429">
        <v>0</v>
      </c>
      <c r="S75" s="423" t="e">
        <f>'R3_MEFA'!L39*1000*'CO2-Eq. invisble'!F30/('R3_MEFA'!C5*1000)</f>
        <v>#DIV/0!</v>
      </c>
      <c r="T75" s="424">
        <v>0</v>
      </c>
    </row>
    <row r="76" spans="1:20" x14ac:dyDescent="0.2">
      <c r="A76" s="1002"/>
      <c r="B76" s="263" t="s">
        <v>184</v>
      </c>
      <c r="C76" s="603" t="e">
        <f>'R1_MEFA'!I51*'CO2-Eq. invisble'!F39/1000/('R1_MEFA'!C5*1000)</f>
        <v>#DIV/0!</v>
      </c>
      <c r="D76" s="500">
        <v>0</v>
      </c>
      <c r="E76" s="603">
        <v>0</v>
      </c>
      <c r="F76" s="500">
        <v>0</v>
      </c>
      <c r="G76" s="603">
        <v>0</v>
      </c>
      <c r="H76" s="500">
        <v>0</v>
      </c>
    </row>
    <row r="77" spans="1:20" x14ac:dyDescent="0.2">
      <c r="A77" s="1002"/>
      <c r="B77" s="263" t="s">
        <v>185</v>
      </c>
      <c r="C77" s="603" t="e">
        <f>'R1_MEFA'!I55*'CO2-Eq. invisble'!F39/1000/('R1_MEFA'!C5*1000)</f>
        <v>#DIV/0!</v>
      </c>
      <c r="D77" s="500">
        <v>0</v>
      </c>
      <c r="E77" s="603">
        <v>0</v>
      </c>
      <c r="F77" s="500">
        <v>0</v>
      </c>
      <c r="G77" s="616">
        <v>0</v>
      </c>
      <c r="H77" s="414">
        <v>0</v>
      </c>
    </row>
    <row r="78" spans="1:20" ht="17" thickBot="1" x14ac:dyDescent="0.25">
      <c r="A78" s="1006"/>
      <c r="B78" s="746" t="s">
        <v>186</v>
      </c>
      <c r="C78" s="607" t="e">
        <f>'R1_MEFA'!I60*'CO2-Eq. invisble'!F39/1000/('R1_MEFA'!C5*1000)</f>
        <v>#DIV/0!</v>
      </c>
      <c r="D78" s="599">
        <v>0</v>
      </c>
      <c r="E78" s="607">
        <v>0</v>
      </c>
      <c r="F78" s="599">
        <v>0</v>
      </c>
      <c r="G78" s="614">
        <v>0</v>
      </c>
      <c r="H78" s="415">
        <v>0</v>
      </c>
    </row>
    <row r="79" spans="1:20" x14ac:dyDescent="0.2">
      <c r="A79" s="999" t="s">
        <v>187</v>
      </c>
      <c r="B79" s="579" t="s">
        <v>188</v>
      </c>
      <c r="C79" s="606">
        <v>0</v>
      </c>
      <c r="D79" s="598">
        <v>0</v>
      </c>
      <c r="E79" s="946" t="e">
        <f>('R2_MEFA'!I34*'CO2-Eq. invisble'!F39/1000/('R2_MEFA'!C5*1000))+('R2_MEFA'!F32*1000*'CO2-Eq. invisble'!F11/('R2_MEFA'!C5*1000))</f>
        <v>#DIV/0!</v>
      </c>
      <c r="F79" s="598">
        <v>0</v>
      </c>
      <c r="G79" s="617">
        <v>0</v>
      </c>
      <c r="H79" s="590">
        <v>0</v>
      </c>
    </row>
    <row r="80" spans="1:20" x14ac:dyDescent="0.2">
      <c r="A80" s="1002"/>
      <c r="B80" s="263" t="s">
        <v>189</v>
      </c>
      <c r="C80" s="603">
        <v>0</v>
      </c>
      <c r="D80" s="500">
        <v>0</v>
      </c>
      <c r="E80" s="612" t="e">
        <f>'R2_MEFA'!I41*'CO2-Eq. invisble'!F39/1000/('R2_MEFA'!C5*1000)</f>
        <v>#DIV/0!</v>
      </c>
      <c r="F80" s="500">
        <v>0</v>
      </c>
      <c r="G80" s="616">
        <v>0</v>
      </c>
      <c r="H80" s="414">
        <v>0</v>
      </c>
    </row>
    <row r="81" spans="1:15" x14ac:dyDescent="0.2">
      <c r="A81" s="1002"/>
      <c r="B81" s="263" t="s">
        <v>184</v>
      </c>
      <c r="C81" s="603">
        <v>0</v>
      </c>
      <c r="D81" s="500">
        <v>0</v>
      </c>
      <c r="E81" s="612" t="e">
        <f>'R2_MEFA'!I48*'CO2-Eq. invisble'!F39/1000/('R2_MEFA'!C5*1000)</f>
        <v>#DIV/0!</v>
      </c>
      <c r="F81" s="500">
        <v>0</v>
      </c>
      <c r="G81" s="616">
        <v>0</v>
      </c>
      <c r="H81" s="414">
        <v>0</v>
      </c>
    </row>
    <row r="82" spans="1:15" x14ac:dyDescent="0.2">
      <c r="A82" s="1002"/>
      <c r="B82" s="263" t="s">
        <v>190</v>
      </c>
      <c r="C82" s="603">
        <v>0</v>
      </c>
      <c r="D82" s="500">
        <v>0</v>
      </c>
      <c r="E82" s="612">
        <f>'R2_MEFA'!I58*'CO2-Eq. invisble'!F39/1000/('R2_MEFA'!C5*1000)</f>
        <v>0</v>
      </c>
      <c r="F82" s="500" t="e">
        <f>('R2_MEFA'!L59+'R2_MEFA'!L60)*1000*'CO2-Eq. invisble'!F24/('R2_MEFA'!C5*1000)</f>
        <v>#DIV/0!</v>
      </c>
      <c r="G82" s="603">
        <v>0</v>
      </c>
      <c r="H82" s="414">
        <v>0</v>
      </c>
      <c r="O82" s="581"/>
    </row>
    <row r="83" spans="1:15" x14ac:dyDescent="0.2">
      <c r="A83" s="1002"/>
      <c r="B83" s="263" t="s">
        <v>191</v>
      </c>
      <c r="C83" s="603">
        <v>0</v>
      </c>
      <c r="D83" s="500">
        <v>0</v>
      </c>
      <c r="E83" s="612" t="e">
        <f>('R2_MEFA'!I65*'CO2-Eq. invisble'!F39/1000/('R2_MEFA'!C5*1000))+(('R2_MEFA'!L68+'R2_MEFA'!L67)*1000*'CO2-Eq. invisble'!F30/('R2_MEFA'!C5*1000))</f>
        <v>#DIV/0!</v>
      </c>
      <c r="F83" s="500" t="e">
        <f>'R2_MEFA'!L66*1000*Substitution!E37*'CO2-Eq. invisble'!F25/('R2_MEFA'!C5*1000)</f>
        <v>#DIV/0!</v>
      </c>
      <c r="G83" s="616">
        <v>0</v>
      </c>
      <c r="H83" s="414">
        <v>0</v>
      </c>
    </row>
    <row r="84" spans="1:15" x14ac:dyDescent="0.2">
      <c r="A84" s="1002"/>
      <c r="B84" s="263" t="s">
        <v>192</v>
      </c>
      <c r="C84" s="603">
        <v>0</v>
      </c>
      <c r="D84" s="500">
        <v>0</v>
      </c>
      <c r="E84" s="612" t="e">
        <f>'R2_MEFA'!I74*'CO2-Eq. invisble'!F39/1000/('R2_MEFA'!C5*1000)</f>
        <v>#DIV/0!</v>
      </c>
      <c r="F84" s="500">
        <v>0</v>
      </c>
      <c r="G84" s="616">
        <v>0</v>
      </c>
      <c r="H84" s="414">
        <v>0</v>
      </c>
    </row>
    <row r="85" spans="1:15" x14ac:dyDescent="0.2">
      <c r="A85" s="1002"/>
      <c r="B85" s="263" t="s">
        <v>1060</v>
      </c>
      <c r="C85" s="603">
        <v>0</v>
      </c>
      <c r="D85" s="500">
        <v>0</v>
      </c>
      <c r="E85" s="612" t="e">
        <f>'R2_MEFA'!I79*'CO2-Eq. invisble'!F39/1000/('R2_MEFA'!C5*1000)</f>
        <v>#DIV/0!</v>
      </c>
      <c r="F85" s="500">
        <v>0</v>
      </c>
      <c r="G85" s="616">
        <v>0</v>
      </c>
      <c r="H85" s="414">
        <v>0</v>
      </c>
    </row>
    <row r="86" spans="1:15" x14ac:dyDescent="0.2">
      <c r="A86" s="1002"/>
      <c r="B86" s="263" t="s">
        <v>191</v>
      </c>
      <c r="C86" s="603">
        <v>0</v>
      </c>
      <c r="D86" s="500">
        <v>0</v>
      </c>
      <c r="E86" s="612" t="e">
        <f>('R2_MEFA'!I85*'CO2-Eq. invisble'!F39/1000/('R2_MEFA'!C5*1000))+('R2_MEFA'!L88*1000*'CO2-Eq. invisble'!F30/('R2_MEFA'!C5*1000))</f>
        <v>#DIV/0!</v>
      </c>
      <c r="F86" s="500" t="e">
        <f>('R2_MEFA'!L86*1000*Substitution!E40*'CO2-Eq. invisble'!F25/('R2_MEFA'!C5*1000))+('R2_MEFA'!L87*1000*Substitution!E41*'CO2-Eq. invisble'!F14/('R2_MEFA'!C5*1000))</f>
        <v>#DIV/0!</v>
      </c>
      <c r="G86" s="616">
        <v>0</v>
      </c>
      <c r="H86" s="414">
        <v>0</v>
      </c>
    </row>
    <row r="87" spans="1:15" ht="16" thickBot="1" x14ac:dyDescent="0.25">
      <c r="A87" s="1006"/>
      <c r="B87" s="602" t="s">
        <v>193</v>
      </c>
      <c r="C87" s="607">
        <v>0</v>
      </c>
      <c r="D87" s="599">
        <v>0</v>
      </c>
      <c r="E87" s="613">
        <f>'R2_MEFA'!I53*'CO2-Eq. invisble'!F39/1000/('R2_MEFA'!C5*1000)</f>
        <v>0</v>
      </c>
      <c r="F87" s="599">
        <f>'R2_MEFA'!L100*1000*'CO2-Eq. invisble'!F36/('R2_MEFA'!C5*1000)</f>
        <v>0</v>
      </c>
      <c r="G87" s="614">
        <v>0</v>
      </c>
      <c r="H87" s="415">
        <v>0</v>
      </c>
    </row>
    <row r="88" spans="1:15" x14ac:dyDescent="0.2">
      <c r="A88" s="999" t="s">
        <v>194</v>
      </c>
      <c r="B88" s="270" t="s">
        <v>195</v>
      </c>
      <c r="C88" s="606" t="s">
        <v>196</v>
      </c>
      <c r="D88" s="598" t="s">
        <v>196</v>
      </c>
      <c r="E88" s="615" t="s">
        <v>196</v>
      </c>
      <c r="F88" s="598" t="s">
        <v>196</v>
      </c>
      <c r="G88" s="705" t="e">
        <f>('R3_MEFA'!I49*'CO2-Eq. invisble'!F39/1000/('R3_MEFA'!$C$5*1000))</f>
        <v>#DIV/0!</v>
      </c>
      <c r="H88" s="590">
        <v>0</v>
      </c>
    </row>
    <row r="89" spans="1:15" ht="17" thickBot="1" x14ac:dyDescent="0.25">
      <c r="A89" s="1006"/>
      <c r="B89" s="748" t="s">
        <v>197</v>
      </c>
      <c r="C89" s="607" t="s">
        <v>196</v>
      </c>
      <c r="D89" s="599" t="s">
        <v>196</v>
      </c>
      <c r="E89" s="613" t="s">
        <v>196</v>
      </c>
      <c r="F89" s="599" t="s">
        <v>196</v>
      </c>
      <c r="G89" s="618" t="e">
        <f>('R3_MEFA'!I55*'CO2-Eq. invisble'!F39/1000/('R3_MEFA'!$C$5*1000))</f>
        <v>#DIV/0!</v>
      </c>
      <c r="H89" s="415">
        <v>0</v>
      </c>
    </row>
    <row r="90" spans="1:15" x14ac:dyDescent="0.2">
      <c r="A90" s="999" t="s">
        <v>198</v>
      </c>
      <c r="B90" s="270" t="s">
        <v>199</v>
      </c>
      <c r="C90" s="606" t="s">
        <v>196</v>
      </c>
      <c r="D90" s="598" t="s">
        <v>196</v>
      </c>
      <c r="E90" s="615" t="s">
        <v>196</v>
      </c>
      <c r="F90" s="598" t="s">
        <v>196</v>
      </c>
      <c r="G90" s="617" t="e">
        <f>('R3_MEFA'!I62*'CO2-Eq. invisble'!F39/1000/('R3_MEFA'!$C$5*1000))</f>
        <v>#DIV/0!</v>
      </c>
      <c r="H90" s="590" t="s">
        <v>196</v>
      </c>
    </row>
    <row r="91" spans="1:15" x14ac:dyDescent="0.2">
      <c r="A91" s="1000"/>
      <c r="B91" t="s">
        <v>190</v>
      </c>
      <c r="C91" s="603" t="s">
        <v>196</v>
      </c>
      <c r="D91" s="500" t="s">
        <v>196</v>
      </c>
      <c r="E91" s="612" t="s">
        <v>196</v>
      </c>
      <c r="F91" s="500" t="s">
        <v>196</v>
      </c>
      <c r="G91" s="616" t="s">
        <v>196</v>
      </c>
      <c r="H91" s="414" t="e">
        <f>'R3_MEFA'!L68*1000*'CO2-Eq. invisble'!F24/('R3_MEFA'!C5*1000)</f>
        <v>#DIV/0!</v>
      </c>
    </row>
    <row r="92" spans="1:15" x14ac:dyDescent="0.2">
      <c r="A92" s="1000"/>
      <c r="B92" t="s">
        <v>1060</v>
      </c>
      <c r="C92" s="603" t="s">
        <v>196</v>
      </c>
      <c r="D92" s="500" t="s">
        <v>196</v>
      </c>
      <c r="E92" s="612" t="s">
        <v>196</v>
      </c>
      <c r="F92" s="500" t="s">
        <v>196</v>
      </c>
      <c r="G92" s="616" t="e">
        <f>('R3_MEFA'!I73*'CO2-Eq. invisble'!F39/1000/('R3_MEFA'!$C$5*1000))</f>
        <v>#DIV/0!</v>
      </c>
      <c r="H92" s="414" t="s">
        <v>196</v>
      </c>
    </row>
    <row r="93" spans="1:15" ht="17" thickBot="1" x14ac:dyDescent="0.25">
      <c r="A93" s="1001"/>
      <c r="B93" s="749" t="s">
        <v>200</v>
      </c>
      <c r="C93" s="607" t="s">
        <v>196</v>
      </c>
      <c r="D93" s="599" t="s">
        <v>196</v>
      </c>
      <c r="E93" s="613" t="s">
        <v>196</v>
      </c>
      <c r="F93" s="599" t="s">
        <v>196</v>
      </c>
      <c r="G93" s="618" t="e">
        <f>('R3_MEFA'!I79*'CO2-Eq. invisble'!F39/1000/('R3_MEFA'!$C$5*1000))+('R3_MEFA'!L82*1000*'CO2-Eq. invisble'!F30/('R3_MEFA'!C5*1000))</f>
        <v>#DIV/0!</v>
      </c>
      <c r="H93" s="415" t="e">
        <f>('R3_MEFA'!L80*1000*Substitution!E40*'CO2-Eq. invisble'!F25/('R3_MEFA'!C5*1000))+('R3_MEFA'!L81*1000*Substitution!E41*'CO2-Eq. invisble'!F14/('R3_MEFA'!C5*1000))</f>
        <v>#DIV/0!</v>
      </c>
    </row>
    <row r="94" spans="1:15" x14ac:dyDescent="0.2">
      <c r="A94" s="999" t="s">
        <v>201</v>
      </c>
      <c r="B94" s="579" t="s">
        <v>202</v>
      </c>
      <c r="C94" s="606" t="s">
        <v>196</v>
      </c>
      <c r="D94" s="598" t="s">
        <v>196</v>
      </c>
      <c r="E94" s="606" t="s">
        <v>196</v>
      </c>
      <c r="F94" s="598" t="s">
        <v>196</v>
      </c>
      <c r="G94" s="705" t="e">
        <f>('R3_MEFA'!F88*1000*'CO2-Eq. invisble'!F32/('R3_MEFA'!C5*1000))+('R3_MEFA'!F89*1000*'CO2-Eq. invisble'!F33/('R3_MEFA'!C5*1000))+('R3_MEFA'!F91*1000*'CO2-Eq. invisble'!F37/('R3_MEFA'!C5*1000))+('R3_MEFA'!I92*'CO2-Eq. invisble'!F21/('R3_MEFA'!C5*1000))+(('R3_MEFA'!C5*(Battery!E16+Battery!E18+Battery!E21)-'R3_MEFA'!L82)*1000*'CO2-Eq. invisble'!F22/('R3_MEFA'!C5*1000))</f>
        <v>#DIV/0!</v>
      </c>
      <c r="H94" s="590">
        <v>0</v>
      </c>
    </row>
    <row r="95" spans="1:15" x14ac:dyDescent="0.2">
      <c r="A95" s="1002"/>
      <c r="B95" s="263" t="s">
        <v>184</v>
      </c>
      <c r="C95" s="603" t="s">
        <v>196</v>
      </c>
      <c r="D95" s="500" t="s">
        <v>196</v>
      </c>
      <c r="E95" s="603" t="s">
        <v>196</v>
      </c>
      <c r="F95" s="500" t="s">
        <v>196</v>
      </c>
      <c r="G95" s="603" t="e">
        <f>'R3_MEFA'!I98*'CO2-Eq. invisble'!F39/1000/('R3_MEFA'!C5*1000)</f>
        <v>#DIV/0!</v>
      </c>
      <c r="H95" s="500">
        <v>0</v>
      </c>
    </row>
    <row r="96" spans="1:15" x14ac:dyDescent="0.2">
      <c r="A96" s="1002"/>
      <c r="B96" s="263" t="s">
        <v>185</v>
      </c>
      <c r="C96" s="603" t="s">
        <v>196</v>
      </c>
      <c r="D96" s="500" t="s">
        <v>196</v>
      </c>
      <c r="E96" s="603" t="s">
        <v>196</v>
      </c>
      <c r="F96" s="500" t="s">
        <v>196</v>
      </c>
      <c r="G96" s="616" t="e">
        <f>'R3_MEFA'!I102*'CO2-Eq. invisble'!F39/1000/('R3_MEFA'!C5*1000)</f>
        <v>#DIV/0!</v>
      </c>
      <c r="H96" s="414">
        <v>0</v>
      </c>
    </row>
    <row r="97" spans="1:8" ht="16" thickBot="1" x14ac:dyDescent="0.25">
      <c r="A97" s="1006"/>
      <c r="B97" s="602" t="s">
        <v>186</v>
      </c>
      <c r="C97" s="607" t="s">
        <v>196</v>
      </c>
      <c r="D97" s="599" t="s">
        <v>196</v>
      </c>
      <c r="E97" s="607" t="s">
        <v>196</v>
      </c>
      <c r="F97" s="599" t="s">
        <v>196</v>
      </c>
      <c r="G97" s="614" t="e">
        <f>'R3_MEFA'!I107*'CO2-Eq. invisble'!F39/1000/('R3_MEFA'!C5*1000)</f>
        <v>#DIV/0!</v>
      </c>
      <c r="H97" s="415">
        <v>0</v>
      </c>
    </row>
    <row r="98" spans="1:8" x14ac:dyDescent="0.2">
      <c r="A98" s="999" t="s">
        <v>203</v>
      </c>
      <c r="B98" s="579" t="s">
        <v>216</v>
      </c>
      <c r="C98" s="606" t="e">
        <f>('R1_Hydro_MEFA'!I17*'CO2-Eq. invisble'!F39/1000/('R1_MEFA'!C5*1000))+('R1_Hydro_MEFA'!F16*1000*'CO2-Eq. invisble'!F7/('R1_MEFA'!C5*1000))</f>
        <v>#DIV/0!</v>
      </c>
      <c r="D98" s="598">
        <v>0</v>
      </c>
      <c r="E98" s="615">
        <v>0</v>
      </c>
      <c r="F98" s="598">
        <v>0</v>
      </c>
      <c r="G98" s="617">
        <v>0</v>
      </c>
      <c r="H98" s="590">
        <v>0</v>
      </c>
    </row>
    <row r="99" spans="1:8" ht="16" x14ac:dyDescent="0.2">
      <c r="A99" s="1002"/>
      <c r="B99" s="750" t="s">
        <v>217</v>
      </c>
      <c r="C99" s="603" t="e">
        <f>('R1_Hydro_MEFA'!I24*'CO2-Eq. invisble'!F39/1000/('R1_MEFA'!C5*1000))</f>
        <v>#DIV/0!</v>
      </c>
      <c r="D99" s="500">
        <v>0</v>
      </c>
      <c r="E99" s="612">
        <v>0</v>
      </c>
      <c r="F99" s="500">
        <v>0</v>
      </c>
      <c r="G99" s="616">
        <v>0</v>
      </c>
      <c r="H99" s="414">
        <v>0</v>
      </c>
    </row>
    <row r="100" spans="1:8" x14ac:dyDescent="0.2">
      <c r="A100" s="1002"/>
      <c r="B100" s="263" t="s">
        <v>204</v>
      </c>
      <c r="C100" s="603" t="e">
        <f>('R1_Hydro_MEFA'!F30*1000*'CO2-Eq. invisble'!F24/('R1_MEFA'!C5*1000))+'R1_Hydro_MEFA'!I31*'CO2-Eq. invisble'!F39/1000/('R1_MEFA'!C5*1000)</f>
        <v>#DIV/0!</v>
      </c>
      <c r="D100" s="500">
        <v>0</v>
      </c>
      <c r="E100" s="612">
        <v>0</v>
      </c>
      <c r="F100" s="500">
        <v>0</v>
      </c>
      <c r="G100" s="616">
        <v>0</v>
      </c>
      <c r="H100" s="414">
        <v>0</v>
      </c>
    </row>
    <row r="101" spans="1:8" x14ac:dyDescent="0.2">
      <c r="A101" s="1002"/>
      <c r="B101" s="263" t="s">
        <v>205</v>
      </c>
      <c r="C101" s="603" t="e">
        <f>('R1_Hydro_MEFA'!I37*'CO2-Eq. invisble'!F39/1000/('R1_MEFA'!C5*1000))</f>
        <v>#DIV/0!</v>
      </c>
      <c r="D101" s="500" t="e">
        <f>'R1_Hydro_MEFA'!L38*1000*Substitution!E14*'CO2-Eq. invisble'!F14/('R1_MEFA'!C5*1000)</f>
        <v>#DIV/0!</v>
      </c>
      <c r="E101" s="612">
        <v>0</v>
      </c>
      <c r="F101" s="500">
        <v>0</v>
      </c>
      <c r="G101" s="616">
        <v>0</v>
      </c>
      <c r="H101" s="414">
        <v>0</v>
      </c>
    </row>
    <row r="102" spans="1:8" ht="16" x14ac:dyDescent="0.2">
      <c r="A102" s="1002"/>
      <c r="B102" s="750" t="s">
        <v>357</v>
      </c>
      <c r="C102" s="611" t="e">
        <f>('R1_Hydro_MEFA'!F45*1000*'CO2-Eq. invisble'!F9/('R1_MEFA'!C5*1000))+('R1_Hydro_MEFA'!I46*'CO2-Eq. invisble'!F39/1000/('R1_MEFA'!C5*1000))</f>
        <v>#DIV/0!</v>
      </c>
      <c r="D102" s="500">
        <v>0</v>
      </c>
      <c r="E102" s="612">
        <v>0</v>
      </c>
      <c r="F102" s="500">
        <v>0</v>
      </c>
      <c r="G102" s="616">
        <v>0</v>
      </c>
      <c r="H102" s="414">
        <v>0</v>
      </c>
    </row>
    <row r="103" spans="1:8" x14ac:dyDescent="0.2">
      <c r="A103" s="1002"/>
      <c r="B103" s="263" t="s">
        <v>1076</v>
      </c>
      <c r="C103" s="603" t="e">
        <f>(('R1_Hydro_MEFA'!I53+'R1_Hydro_MEFA'!I59)*'CO2-Eq. invisble'!F39/1000/('R1_MEFA'!C5*1000))+('R1_Hydro_MEFA'!F52*1000*'CO2-Eq. invisble'!F8/('R1_MEFA'!C5*1000))</f>
        <v>#DIV/0!</v>
      </c>
      <c r="D103" s="500" t="e">
        <f>'R1_Hydro_MEFA'!L62*1000*Substitution!E20*'CO2-Eq. invisble'!F24/9.98/('R1_MEFA'!C5*1000)</f>
        <v>#DIV/0!</v>
      </c>
      <c r="E103" s="612">
        <v>0</v>
      </c>
      <c r="F103" s="500">
        <v>0</v>
      </c>
      <c r="G103" s="616">
        <v>0</v>
      </c>
      <c r="H103" s="414">
        <v>0</v>
      </c>
    </row>
    <row r="104" spans="1:8" x14ac:dyDescent="0.2">
      <c r="A104" s="1002"/>
      <c r="B104" s="263" t="s">
        <v>484</v>
      </c>
      <c r="C104" s="603" t="e">
        <f>('R1_Hydro_MEFA'!F68*1000*'CO2-Eq. invisble'!F12/('R1_MEFA'!C5*1000))+(('R1_Hydro_MEFA'!I69+'R1_Hydro_MEFA'!I77+'R1_Hydro_MEFA'!I83)*'CO2-Eq. invisble'!F39/1000/('R1_MEFA'!C5*1000))+('R1_Hydro_MEFA'!F82*1000*'CO2-Eq. invisble'!F7/('R1_MEFA'!C5*1000))</f>
        <v>#DIV/0!</v>
      </c>
      <c r="D104" s="500">
        <v>0</v>
      </c>
      <c r="E104" s="612">
        <v>0</v>
      </c>
      <c r="F104" s="500">
        <v>0</v>
      </c>
      <c r="G104" s="616">
        <v>0</v>
      </c>
      <c r="H104" s="414">
        <v>0</v>
      </c>
    </row>
    <row r="105" spans="1:8" ht="16" x14ac:dyDescent="0.2">
      <c r="A105" s="1002"/>
      <c r="B105" s="750" t="s">
        <v>206</v>
      </c>
      <c r="C105" s="603" t="e">
        <f>('R1_Hydro_MEFA'!I91*'CO2-Eq. invisble'!F39/1000/('R1_MEFA'!C5*1000))</f>
        <v>#DIV/0!</v>
      </c>
      <c r="D105" s="500" t="e">
        <f>'R1_Hydro_MEFA'!L92*1000*Substitution!E16*'CO2-Eq. invisble'!F17/('R1_MEFA'!C5*1000)</f>
        <v>#DIV/0!</v>
      </c>
      <c r="E105" s="612">
        <v>0</v>
      </c>
      <c r="F105" s="500">
        <v>0</v>
      </c>
      <c r="G105" s="616">
        <v>0</v>
      </c>
      <c r="H105" s="414">
        <v>0</v>
      </c>
    </row>
    <row r="106" spans="1:8" ht="16" thickBot="1" x14ac:dyDescent="0.25">
      <c r="A106" s="1002"/>
      <c r="B106" s="263" t="s">
        <v>207</v>
      </c>
      <c r="C106" s="603" t="e">
        <f>('R1_Hydro_MEFA'!I97*'CO2-Eq. invisble'!F39/1000/('R1_MEFA'!C5*1000))</f>
        <v>#DIV/0!</v>
      </c>
      <c r="D106" s="500" t="e">
        <f>'R1_Hydro_MEFA'!L98*1000*Substitution!E17*'CO2-Eq. invisble'!F19/('R1_MEFA'!C5*1000)</f>
        <v>#DIV/0!</v>
      </c>
      <c r="E106" s="612">
        <v>0</v>
      </c>
      <c r="F106" s="500">
        <v>0</v>
      </c>
      <c r="G106" s="616">
        <v>0</v>
      </c>
      <c r="H106" s="414">
        <v>0</v>
      </c>
    </row>
    <row r="107" spans="1:8" x14ac:dyDescent="0.2">
      <c r="A107" s="999" t="s">
        <v>208</v>
      </c>
      <c r="B107" s="269" t="s">
        <v>1061</v>
      </c>
      <c r="C107" s="606" t="e">
        <f>('R1_Hydro_MEFA'!I115*'CO2-Eq. invisble'!F39/1000/('R1_MEFA'!C5*1000))+('R1_Hydro_MEFA'!F114*1000*'CO2-Eq. invisble'!F7/('R1_MEFA'!C5*1000))</f>
        <v>#DIV/0!</v>
      </c>
      <c r="D107" s="598">
        <v>0</v>
      </c>
      <c r="E107" s="615">
        <v>0</v>
      </c>
      <c r="F107" s="598">
        <v>0</v>
      </c>
      <c r="G107" s="615">
        <v>0</v>
      </c>
      <c r="H107" s="598">
        <v>0</v>
      </c>
    </row>
    <row r="108" spans="1:8" ht="16" x14ac:dyDescent="0.2">
      <c r="A108" s="1002"/>
      <c r="B108" s="751" t="s">
        <v>1062</v>
      </c>
      <c r="C108" s="603" t="e">
        <f>('R1_Hydro_MEFA'!I122*'CO2-Eq. invisble'!F39/1000/('R1_MEFA'!C5*1000))</f>
        <v>#DIV/0!</v>
      </c>
      <c r="D108" s="500">
        <v>0</v>
      </c>
      <c r="E108" s="612">
        <v>0</v>
      </c>
      <c r="F108" s="500">
        <v>0</v>
      </c>
      <c r="G108" s="612">
        <v>0</v>
      </c>
      <c r="H108" s="500">
        <v>0</v>
      </c>
    </row>
    <row r="109" spans="1:8" x14ac:dyDescent="0.2">
      <c r="A109" s="1002"/>
      <c r="B109" s="288" t="s">
        <v>1073</v>
      </c>
      <c r="C109" s="603" t="e">
        <f>('R1_Hydro_MEFA'!I128*'CO2-Eq. invisble'!F39/1000/('R1_MEFA'!C5*1000))+('R1_Hydro_MEFA'!L129*1000*'CO2-Eq. invisble'!F38/('R1_MEFA'!C5*1000))</f>
        <v>#DIV/0!</v>
      </c>
      <c r="D109" s="500" t="e">
        <f>('R1_Hydro_MEFA'!L130*1000*Substitution!E19*'CO2-Eq. invisble'!F33/('R1_MEFA'!C5*1000))</f>
        <v>#DIV/0!</v>
      </c>
      <c r="E109" s="612">
        <v>0</v>
      </c>
      <c r="F109" s="500">
        <v>0</v>
      </c>
      <c r="G109" s="612">
        <v>0</v>
      </c>
      <c r="H109" s="500">
        <v>0</v>
      </c>
    </row>
    <row r="110" spans="1:8" x14ac:dyDescent="0.2">
      <c r="A110" s="1002"/>
      <c r="B110" s="288" t="s">
        <v>210</v>
      </c>
      <c r="C110" s="603" t="e">
        <f>('R1_Hydro_MEFA'!F137*1000*'CO2-Eq. invisble'!F9/('R1_MEFA'!C5*1000))+('R1_Hydro_MEFA'!I138*'CO2-Eq. invisble'!F39/1000/('R1_MEFA'!C5*1000))</f>
        <v>#DIV/0!</v>
      </c>
      <c r="D110" s="500">
        <v>0</v>
      </c>
      <c r="E110" s="612">
        <v>0</v>
      </c>
      <c r="F110" s="500">
        <v>0</v>
      </c>
      <c r="G110" s="612">
        <v>0</v>
      </c>
      <c r="H110" s="500">
        <v>0</v>
      </c>
    </row>
    <row r="111" spans="1:8" x14ac:dyDescent="0.2">
      <c r="A111" s="1002"/>
      <c r="B111" s="288" t="s">
        <v>211</v>
      </c>
      <c r="C111" s="603" t="e">
        <f>(('R1_Hydro_MEFA'!I145+'R1_Hydro_MEFA'!I151)*'CO2-Eq. invisble'!F39/1000/('R1_MEFA'!C5*1000))+('R1_Hydro_MEFA'!F144*1000*'CO2-Eq. invisble'!F8/('R1_MEFA'!C5*1000))</f>
        <v>#DIV/0!</v>
      </c>
      <c r="D111" s="500" t="e">
        <f>('R1_Hydro_MEFA'!L152*1000*Substitution!E20*'CO2-Eq. invisble'!F24/9.98/('R1_MEFA'!C5*1000))+('R1_Hydro_MEFA'!L153*1000*Substitution!E21*'CO2-Eq. invisble'!F13/('R1_MEFA'!C5*1000))</f>
        <v>#DIV/0!</v>
      </c>
      <c r="E111" s="612">
        <v>0</v>
      </c>
      <c r="F111" s="500">
        <v>0</v>
      </c>
      <c r="G111" s="612">
        <v>0</v>
      </c>
      <c r="H111" s="500">
        <v>0</v>
      </c>
    </row>
    <row r="112" spans="1:8" ht="16" x14ac:dyDescent="0.2">
      <c r="A112" s="1002"/>
      <c r="B112" s="750" t="s">
        <v>1066</v>
      </c>
      <c r="C112" s="603" t="e">
        <f>(('R1_Hydro_MEFA'!I162+'R1_Hydro_MEFA'!I170+'R1_Hydro_MEFA'!I176)*'CO2-Eq. invisble'!F39/1000/('R1_MEFA'!C5*1000))+('R1_Hydro_MEFA'!F161*1000*'CO2-Eq. invisble'!F12/('R1_MEFA'!C5*1000))+('R1_Hydro_MEFA'!F175*1000*'CO2-Eq. invisble'!F7/('R1_MEFA'!C5*1000))</f>
        <v>#DIV/0!</v>
      </c>
      <c r="D112" s="500"/>
      <c r="E112" s="612">
        <v>0</v>
      </c>
      <c r="F112" s="500">
        <v>0</v>
      </c>
      <c r="G112" s="612">
        <v>0</v>
      </c>
      <c r="H112" s="500">
        <v>0</v>
      </c>
    </row>
    <row r="113" spans="1:8" x14ac:dyDescent="0.2">
      <c r="A113" s="1002"/>
      <c r="B113" s="288" t="s">
        <v>1074</v>
      </c>
      <c r="C113" s="603" t="e">
        <f>('R1_Hydro_MEFA'!I184*'CO2-Eq. invisble'!F39/1000/('R1_MEFA'!C5*1000))</f>
        <v>#DIV/0!</v>
      </c>
      <c r="D113" s="708" t="e">
        <f>'R1_Hydro_MEFA'!L185*1000*Substitution!E22*'CO2-Eq. invisble'!F16/('R1_MEFA'!C5*1000)</f>
        <v>#DIV/0!</v>
      </c>
      <c r="E113" s="612">
        <v>0</v>
      </c>
      <c r="F113" s="500">
        <v>0</v>
      </c>
      <c r="G113" s="612">
        <v>0</v>
      </c>
      <c r="H113" s="500">
        <v>0</v>
      </c>
    </row>
    <row r="114" spans="1:8" ht="16" x14ac:dyDescent="0.2">
      <c r="A114" s="1002"/>
      <c r="B114" s="751" t="s">
        <v>1078</v>
      </c>
      <c r="C114" s="603" t="e">
        <f>('R1_Hydro_MEFA'!I190*'CO2-Eq. invisble'!F39/1000/('R1_MEFA'!C5*1000))</f>
        <v>#DIV/0!</v>
      </c>
      <c r="D114" s="609">
        <v>0</v>
      </c>
      <c r="E114" s="612">
        <v>0</v>
      </c>
      <c r="F114" s="500">
        <v>0</v>
      </c>
      <c r="G114" s="612">
        <v>0</v>
      </c>
      <c r="H114" s="500">
        <v>0</v>
      </c>
    </row>
    <row r="115" spans="1:8" ht="17" thickBot="1" x14ac:dyDescent="0.25">
      <c r="A115" s="1002"/>
      <c r="B115" s="751" t="s">
        <v>1075</v>
      </c>
      <c r="C115" s="603" t="e">
        <f>('R1_Hydro_MEFA'!F197*1000*'CO2-Eq. invisble'!F34/('R1_MEFA'!C5*1000))+(('R1_Hydro_MEFA'!I198+'R1_Hydro_MEFA'!I204)*'CO2-Eq. invisble'!F39/1000/('R1_MEFA'!C5*1000))</f>
        <v>#DIV/0!</v>
      </c>
      <c r="D115" s="499" t="e">
        <f>'R1_Hydro_MEFA'!L205*1000*Substitution!E23*'CO2-Eq. invisble'!F20/('R1_MEFA'!C5*1000)</f>
        <v>#DIV/0!</v>
      </c>
      <c r="E115" s="612">
        <v>0</v>
      </c>
      <c r="F115" s="500">
        <v>0</v>
      </c>
      <c r="G115" s="612">
        <v>0</v>
      </c>
      <c r="H115" s="500">
        <v>0</v>
      </c>
    </row>
    <row r="116" spans="1:8" x14ac:dyDescent="0.2">
      <c r="A116" s="999" t="s">
        <v>215</v>
      </c>
      <c r="B116" s="270" t="s">
        <v>216</v>
      </c>
      <c r="C116" s="610">
        <v>0</v>
      </c>
      <c r="D116" s="596">
        <v>0</v>
      </c>
      <c r="E116" s="610" t="e">
        <f>('R2_Hydro_MEFA'!F20*1000*'CO2-Eq. invisble'!F7/('R2_MEFA'!C5*1000))+('R2_Hydro_MEFA'!I21*'CO2-Eq. invisble'!F39/1000/('R2_MEFA'!C5*1000))</f>
        <v>#DIV/0!</v>
      </c>
      <c r="F116" s="596">
        <v>0</v>
      </c>
      <c r="G116" s="610">
        <v>0</v>
      </c>
      <c r="H116" s="596">
        <v>0</v>
      </c>
    </row>
    <row r="117" spans="1:8" ht="16" x14ac:dyDescent="0.2">
      <c r="A117" s="1002"/>
      <c r="B117" s="122" t="s">
        <v>217</v>
      </c>
      <c r="C117" s="611">
        <v>0</v>
      </c>
      <c r="D117" s="499">
        <v>0</v>
      </c>
      <c r="E117" s="611" t="e">
        <f>('R2_Hydro_MEFA'!I28*'CO2-Eq. invisble'!F39/1000/('R2_MEFA'!C5*1000))</f>
        <v>#DIV/0!</v>
      </c>
      <c r="F117" s="499">
        <v>0</v>
      </c>
      <c r="G117" s="612">
        <v>0</v>
      </c>
      <c r="H117" s="500">
        <v>0</v>
      </c>
    </row>
    <row r="118" spans="1:8" ht="16" x14ac:dyDescent="0.2">
      <c r="A118" s="1002"/>
      <c r="B118" s="122" t="s">
        <v>218</v>
      </c>
      <c r="C118" s="611">
        <v>0</v>
      </c>
      <c r="D118" s="499">
        <v>0</v>
      </c>
      <c r="E118" s="611" t="e">
        <f>'R2_Hydro_MEFA'!I34*'CO2-Eq. invisble'!F39/1000/('R2_MEFA'!C5*1000)+('R2_Hydro_MEFA'!I41*'CO2-Eq. invisble'!F39/1000/('R2_MEFA'!C5*1000))</f>
        <v>#DIV/0!</v>
      </c>
      <c r="F118" s="499" t="e">
        <f>'R2_Hydro_MEFA'!L42*1000*Substitution!E43*'CO2-Eq. invisble'!F15/('R2_MEFA'!C5*1000)</f>
        <v>#DIV/0!</v>
      </c>
      <c r="G118" s="612">
        <v>0</v>
      </c>
      <c r="H118" s="500">
        <v>0</v>
      </c>
    </row>
    <row r="119" spans="1:8" x14ac:dyDescent="0.2">
      <c r="A119" s="1002"/>
      <c r="B119" t="s">
        <v>219</v>
      </c>
      <c r="C119" s="612">
        <v>0</v>
      </c>
      <c r="D119" s="500">
        <v>0</v>
      </c>
      <c r="E119" s="611" t="e">
        <f>(('R2_Hydro_MEFA'!I48+'R2_Hydro_MEFA'!I54)*'CO2-Eq. invisble'!F39/1000/('R2_MEFA'!C5*1000))+('R2_Hydro_MEFA'!F47*1000*'CO2-Eq. invisble'!F24/('R2_MEFA'!C5*1000))</f>
        <v>#DIV/0!</v>
      </c>
      <c r="F119" s="499" t="e">
        <f>'R2_Hydro_MEFA'!L55*1000*Substitution!E44*'CO2-Eq. invisble'!F14/('R2_MEFA'!C5*1000)</f>
        <v>#DIV/0!</v>
      </c>
      <c r="G119" s="612">
        <v>0</v>
      </c>
      <c r="H119" s="500">
        <v>0</v>
      </c>
    </row>
    <row r="120" spans="1:8" x14ac:dyDescent="0.2">
      <c r="A120" s="1002"/>
      <c r="B120" t="s">
        <v>220</v>
      </c>
      <c r="C120" s="612">
        <v>0</v>
      </c>
      <c r="D120" s="500">
        <v>0</v>
      </c>
      <c r="E120" s="611" t="e">
        <f>('R2_Hydro_MEFA'!F61*1000*'CO2-Eq. invisble'!F9/('R2_MEFA'!C5*1000))+('R2_Hydro_MEFA'!I63*'CO2-Eq. invisble'!F39/1000/('R2_MEFA'!C5*1000))</f>
        <v>#DIV/0!</v>
      </c>
      <c r="F120" s="499">
        <v>0</v>
      </c>
      <c r="G120" s="612">
        <v>0</v>
      </c>
      <c r="H120" s="500">
        <v>0</v>
      </c>
    </row>
    <row r="121" spans="1:8" x14ac:dyDescent="0.2">
      <c r="A121" s="1002"/>
      <c r="B121" t="s">
        <v>221</v>
      </c>
      <c r="C121" s="612">
        <v>0</v>
      </c>
      <c r="D121" s="500">
        <v>0</v>
      </c>
      <c r="E121" s="611" t="e">
        <f>('R2_Hydro_MEFA'!F69*1000*'CO2-Eq. invisble'!F8/('R2_MEFA'!C5*1000))+(('R2_Hydro_MEFA'!I70+'R2_Hydro_MEFA'!I76)*'CO2-Eq. invisble'!F39/1000/('R2_MEFA'!C5*1000))</f>
        <v>#DIV/0!</v>
      </c>
      <c r="F121" s="499" t="e">
        <f>('R2_Hydro_MEFA'!L79*1000*Substitution!E45*'CO2-Eq. invisble'!F24/9.98/('R2_MEFA'!C5*1000))+('R2_Hydro_MEFA'!L80*1000*Substitution!E46*'CO2-Eq. invisble'!F13/('R2_MEFA'!C5*1000))</f>
        <v>#DIV/0!</v>
      </c>
      <c r="G121" s="611">
        <v>0</v>
      </c>
      <c r="H121" s="499">
        <v>0</v>
      </c>
    </row>
    <row r="122" spans="1:8" ht="16" x14ac:dyDescent="0.2">
      <c r="A122" s="1002"/>
      <c r="B122" s="750" t="s">
        <v>1079</v>
      </c>
      <c r="C122" s="612">
        <v>0</v>
      </c>
      <c r="D122" s="500">
        <v>0</v>
      </c>
      <c r="E122" s="611" t="e">
        <f>('R2_Hydro_MEFA'!F86*1000*'CO2-Eq. invisble'!F12/('R2_MEFA'!C5*1000))+(('R2_Hydro_MEFA'!I87+'R2_Hydro_MEFA'!I96+'R2_Hydro_MEFA'!I102)*'CO2-Eq. invisble'!F39/1000/('R2_MEFA'!C5*1000))+('R2_Hydro_MEFA'!F101*1000*'CO2-Eq. invisble'!F7/('R2_MEFA'!C5*1000))</f>
        <v>#DIV/0!</v>
      </c>
      <c r="F122" s="499">
        <v>0</v>
      </c>
      <c r="G122" s="611">
        <v>0</v>
      </c>
      <c r="H122" s="499">
        <v>0</v>
      </c>
    </row>
    <row r="123" spans="1:8" x14ac:dyDescent="0.2">
      <c r="A123" s="1002"/>
      <c r="B123" s="263" t="s">
        <v>484</v>
      </c>
      <c r="C123" s="612">
        <v>0</v>
      </c>
      <c r="D123" s="500">
        <v>0</v>
      </c>
      <c r="E123" s="611" t="e">
        <f>('R2_Hydro_MEFA'!F112*1000*'CO2-Eq. invisble'!F12/('R2_MEFA'!C5*1000))+(('R2_Hydro_MEFA'!I113+'R2_Hydro_MEFA'!I121+'R2_Hydro_MEFA'!I127)*'CO2-Eq. invisble'!F39/1000/('R2_MEFA'!C5*1000))+('R2_Hydro_MEFA'!F126*1000*'CO2-Eq. invisble'!F7/('R2_MEFA'!C5*1000))</f>
        <v>#DIV/0!</v>
      </c>
      <c r="F123" s="499">
        <v>0</v>
      </c>
      <c r="G123" s="611">
        <v>0</v>
      </c>
      <c r="H123" s="499">
        <v>0</v>
      </c>
    </row>
    <row r="124" spans="1:8" ht="16" x14ac:dyDescent="0.2">
      <c r="A124" s="1002"/>
      <c r="B124" s="122" t="s">
        <v>206</v>
      </c>
      <c r="C124" s="612">
        <v>0</v>
      </c>
      <c r="D124" s="500">
        <v>0</v>
      </c>
      <c r="E124" s="611" t="e">
        <f>('R2_Hydro_MEFA'!I135*'CO2-Eq. invisble'!F39/1000/('R2_MEFA'!C5*1000))</f>
        <v>#DIV/0!</v>
      </c>
      <c r="F124" s="499" t="e">
        <f>'R2_Hydro_MEFA'!L136*1000*Substitution!E47*'CO2-Eq. invisble'!F17/('R2_MEFA'!C5*1000)</f>
        <v>#DIV/0!</v>
      </c>
      <c r="G124" s="611">
        <v>0</v>
      </c>
      <c r="H124" s="499">
        <v>0</v>
      </c>
    </row>
    <row r="125" spans="1:8" x14ac:dyDescent="0.2">
      <c r="A125" s="1002"/>
      <c r="B125" t="s">
        <v>207</v>
      </c>
      <c r="C125" s="612">
        <v>0</v>
      </c>
      <c r="D125" s="500">
        <v>0</v>
      </c>
      <c r="E125" s="611" t="e">
        <f>('R2_Hydro_MEFA'!I141*'CO2-Eq. invisble'!F39/1000/('R2_MEFA'!C5*1000))</f>
        <v>#DIV/0!</v>
      </c>
      <c r="F125" s="499" t="e">
        <f>'R2_Hydro_MEFA'!L142*1000*Substitution!E48*'CO2-Eq. invisble'!F19/('R2_MEFA'!C5*1000)</f>
        <v>#DIV/0!</v>
      </c>
      <c r="G125" s="611">
        <v>0</v>
      </c>
      <c r="H125" s="499">
        <v>0</v>
      </c>
    </row>
    <row r="126" spans="1:8" x14ac:dyDescent="0.2">
      <c r="A126" s="1002"/>
      <c r="B126" s="263" t="s">
        <v>405</v>
      </c>
      <c r="C126" s="612">
        <v>0</v>
      </c>
      <c r="D126" s="500">
        <v>0</v>
      </c>
      <c r="E126" s="611" t="e">
        <f>('R2_Hydro_MEFA'!F149*1000*'CO2-Eq. invisble'!F12/('R2_MEFA'!C5*1000)+(('R2_Hydro_MEFA'!I150+'R2_Hydro_MEFA'!I157+'R2_Hydro_MEFA'!I163)*'CO2-Eq. invisble'!F39/1000/('R2_MEFA'!C5*1000))+('R2_Hydro_MEFA'!F162*1000*'CO2-Eq. invisble'!F7/('R2_MEFA'!C5*1000)))</f>
        <v>#DIV/0!</v>
      </c>
      <c r="F126" s="499">
        <v>0</v>
      </c>
      <c r="G126" s="611">
        <v>0</v>
      </c>
      <c r="H126" s="499">
        <v>0</v>
      </c>
    </row>
    <row r="127" spans="1:8" ht="16" x14ac:dyDescent="0.2">
      <c r="A127" s="1002"/>
      <c r="B127" s="122" t="s">
        <v>212</v>
      </c>
      <c r="C127" s="612">
        <v>0</v>
      </c>
      <c r="D127" s="500">
        <v>0</v>
      </c>
      <c r="E127" s="611" t="e">
        <f>('R2_Hydro_MEFA'!I171*'CO2-Eq. invisble'!F39/1000/('R2_MEFA'!C5*1000))</f>
        <v>#DIV/0!</v>
      </c>
      <c r="F127" s="499" t="e">
        <f>'R2_Hydro_MEFA'!L172*1000*Substitution!E49*'CO2-Eq. invisble'!F16/('R2_MEFA'!C5*1000)</f>
        <v>#DIV/0!</v>
      </c>
      <c r="G127" s="611">
        <v>0</v>
      </c>
      <c r="H127" s="499">
        <v>0</v>
      </c>
    </row>
    <row r="128" spans="1:8" x14ac:dyDescent="0.2">
      <c r="A128" s="1002"/>
      <c r="B128" t="s">
        <v>213</v>
      </c>
      <c r="C128" s="612">
        <v>0</v>
      </c>
      <c r="D128" s="500">
        <v>0</v>
      </c>
      <c r="E128" s="611" t="e">
        <f>('R2_Hydro_MEFA'!I178*'CO2-Eq. invisble'!F39/1000/('R2_MEFA'!C5*1000))</f>
        <v>#DIV/0!</v>
      </c>
      <c r="F128" s="499">
        <v>0</v>
      </c>
      <c r="G128" s="611">
        <v>0</v>
      </c>
      <c r="H128" s="499">
        <v>0</v>
      </c>
    </row>
    <row r="129" spans="1:15" ht="16" thickBot="1" x14ac:dyDescent="0.25">
      <c r="A129" s="1002"/>
      <c r="B129" t="s">
        <v>214</v>
      </c>
      <c r="C129" s="612">
        <v>0</v>
      </c>
      <c r="D129" s="500">
        <v>0</v>
      </c>
      <c r="E129" s="611" t="e">
        <f>('R2_Hydro_MEFA'!F185*1000*'CO2-Eq. invisble'!F34/('R2_MEFA'!C5*1000))+(('R2_Hydro_MEFA'!I186+'R2_Hydro_MEFA'!I192)*'CO2-Eq. invisble'!F39/1000/('R2_MEFA'!C5*1000))</f>
        <v>#DIV/0!</v>
      </c>
      <c r="F129" s="499" t="e">
        <f>'R2_Hydro_MEFA'!L193*1000*Substitution!E50*'CO2-Eq. invisble'!F20/('R2_MEFA'!C5*1000)</f>
        <v>#DIV/0!</v>
      </c>
      <c r="G129" s="611">
        <v>0</v>
      </c>
      <c r="H129" s="499">
        <v>0</v>
      </c>
    </row>
    <row r="130" spans="1:15" x14ac:dyDescent="0.2">
      <c r="A130" s="999" t="s">
        <v>222</v>
      </c>
      <c r="B130" s="753" t="s">
        <v>216</v>
      </c>
      <c r="C130" s="615">
        <v>0</v>
      </c>
      <c r="D130" s="598">
        <v>0</v>
      </c>
      <c r="E130" s="615">
        <v>0</v>
      </c>
      <c r="F130" s="598">
        <v>0</v>
      </c>
      <c r="G130" s="610" t="e">
        <f>('R3_Hydro_MEFA'!I17*'CO2-Eq. invisble'!F39/1000/('R3_MEFA'!C5*1000))+('R3_Hydro_MEFA'!F16*1000*'CO2-Eq. invisble'!F7/('R3_MEFA'!C5*1000))</f>
        <v>#DIV/0!</v>
      </c>
      <c r="H130" s="596">
        <v>0</v>
      </c>
    </row>
    <row r="131" spans="1:15" x14ac:dyDescent="0.2">
      <c r="A131" s="1000"/>
      <c r="B131" s="706" t="s">
        <v>217</v>
      </c>
      <c r="C131" s="612">
        <v>0</v>
      </c>
      <c r="D131" s="500">
        <v>0</v>
      </c>
      <c r="E131" s="612">
        <v>0</v>
      </c>
      <c r="F131" s="500">
        <v>0</v>
      </c>
      <c r="G131" s="611" t="e">
        <f>('R3_Hydro_MEFA'!I24*'CO2-Eq. invisble'!F39/1000/('R3_MEFA'!C5*1000))</f>
        <v>#DIV/0!</v>
      </c>
      <c r="H131" s="499">
        <v>0</v>
      </c>
    </row>
    <row r="132" spans="1:15" ht="16" x14ac:dyDescent="0.2">
      <c r="A132" s="1000"/>
      <c r="B132" s="752" t="s">
        <v>223</v>
      </c>
      <c r="C132" s="612">
        <v>0</v>
      </c>
      <c r="D132" s="500">
        <v>0</v>
      </c>
      <c r="E132" s="612">
        <v>0</v>
      </c>
      <c r="F132" s="500">
        <v>0</v>
      </c>
      <c r="G132" s="611" t="e">
        <f>('R3_Hydro_MEFA'!F30*1000*'CO2-Eq. invisble'!F24/('R3_MEFA'!C5*1000))+'R3_Hydro_MEFA'!I31*'CO2-Eq. invisble'!F39/1000/('R3_MEFA'!C5*1000)</f>
        <v>#DIV/0!</v>
      </c>
      <c r="H132" s="499">
        <v>0</v>
      </c>
    </row>
    <row r="133" spans="1:15" x14ac:dyDescent="0.2">
      <c r="A133" s="1000"/>
      <c r="B133" s="706" t="s">
        <v>224</v>
      </c>
      <c r="C133" s="612">
        <v>0</v>
      </c>
      <c r="D133" s="500">
        <v>0</v>
      </c>
      <c r="E133" s="612">
        <v>0</v>
      </c>
      <c r="F133" s="500">
        <v>0</v>
      </c>
      <c r="G133" s="611" t="e">
        <f>('R3_Hydro_MEFA'!I37*'CO2-Eq. invisble'!F39/1000/('R3_MEFA'!C5*1000))</f>
        <v>#DIV/0!</v>
      </c>
      <c r="H133" s="499" t="e">
        <f>'R3_Hydro_MEFA'!L38*1000*Substitution!E14*'CO2-Eq. invisble'!F14/('R3_MEFA'!C5*1000)</f>
        <v>#DIV/0!</v>
      </c>
      <c r="O133" s="717"/>
    </row>
    <row r="134" spans="1:15" x14ac:dyDescent="0.2">
      <c r="A134" s="1000"/>
      <c r="B134" s="706" t="s">
        <v>357</v>
      </c>
      <c r="C134" s="612">
        <v>0</v>
      </c>
      <c r="D134" s="500">
        <v>0</v>
      </c>
      <c r="E134" s="612">
        <v>0</v>
      </c>
      <c r="F134" s="500">
        <v>0</v>
      </c>
      <c r="G134" s="611" t="e">
        <f>('R3_Hydro_MEFA'!F45*1000*'CO2-Eq. invisble'!F9/('R3_MEFA'!C5*1000))+('R3_Hydro_MEFA'!I46*'CO2-Eq. invisble'!F39/1000/('R3_MEFA'!C5*1000))</f>
        <v>#DIV/0!</v>
      </c>
      <c r="H134" s="499">
        <v>0</v>
      </c>
    </row>
    <row r="135" spans="1:15" x14ac:dyDescent="0.2">
      <c r="A135" s="1000"/>
      <c r="B135" s="706" t="s">
        <v>1076</v>
      </c>
      <c r="C135" s="612">
        <v>0</v>
      </c>
      <c r="D135" s="500">
        <v>0</v>
      </c>
      <c r="E135" s="612">
        <v>0</v>
      </c>
      <c r="F135" s="500">
        <v>0</v>
      </c>
      <c r="G135" s="611" t="e">
        <f>(('R3_Hydro_MEFA'!I53+'R3_Hydro_MEFA'!I59)*'CO2-Eq. invisble'!F39/1000/('R3_MEFA'!C5*1000))+('R3_Hydro_MEFA'!F52*1000*'CO2-Eq. invisble'!F8/('R3_MEFA'!C5*1000))</f>
        <v>#DIV/0!</v>
      </c>
      <c r="H135" s="499" t="e">
        <f>'R3_Hydro_MEFA'!L62*1000*Substitution!E20*'CO2-Eq. invisble'!F24/9.98/('R3_MEFA'!C5*1000)</f>
        <v>#DIV/0!</v>
      </c>
    </row>
    <row r="136" spans="1:15" x14ac:dyDescent="0.2">
      <c r="A136" s="1000"/>
      <c r="B136" s="706" t="s">
        <v>484</v>
      </c>
      <c r="C136" s="612">
        <v>0</v>
      </c>
      <c r="D136" s="500">
        <v>0</v>
      </c>
      <c r="E136" s="612">
        <v>0</v>
      </c>
      <c r="F136" s="500">
        <v>0</v>
      </c>
      <c r="G136" s="611" t="e">
        <f>('R3_Hydro_MEFA'!F68*1000*'CO2-Eq. invisble'!F12/('R3_MEFA'!C5*1000))+(('R3_Hydro_MEFA'!I69+'R3_Hydro_MEFA'!I77+'R3_Hydro_MEFA'!I83)*'CO2-Eq. invisble'!F39/1000/('R3_MEFA'!C5*1000))+('R3_Hydro_MEFA'!F82*1000*'CO2-Eq. invisble'!F7/('R3_MEFA'!C5*1000))</f>
        <v>#DIV/0!</v>
      </c>
      <c r="H136" s="499">
        <v>0</v>
      </c>
    </row>
    <row r="137" spans="1:15" x14ac:dyDescent="0.2">
      <c r="A137" s="1000"/>
      <c r="B137" s="706" t="s">
        <v>206</v>
      </c>
      <c r="C137" s="612">
        <v>0</v>
      </c>
      <c r="D137" s="500">
        <v>0</v>
      </c>
      <c r="E137" s="612">
        <v>0</v>
      </c>
      <c r="F137" s="500">
        <v>0</v>
      </c>
      <c r="G137" s="611" t="e">
        <f>('R3_Hydro_MEFA'!I91*'CO2-Eq. invisble'!F39/1000/('R3_MEFA'!C5*1000))</f>
        <v>#DIV/0!</v>
      </c>
      <c r="H137" s="499" t="e">
        <f>'R3_Hydro_MEFA'!L92*1000*Substitution!E16*'CO2-Eq. invisble'!F17/('R3_MEFA'!C5*1000)</f>
        <v>#DIV/0!</v>
      </c>
    </row>
    <row r="138" spans="1:15" ht="16" thickBot="1" x14ac:dyDescent="0.25">
      <c r="A138" s="1001"/>
      <c r="B138" s="707" t="s">
        <v>207</v>
      </c>
      <c r="C138" s="613">
        <v>0</v>
      </c>
      <c r="D138" s="599">
        <v>0</v>
      </c>
      <c r="E138" s="613">
        <v>0</v>
      </c>
      <c r="F138" s="599">
        <v>0</v>
      </c>
      <c r="G138" s="618" t="e">
        <f>('R3_Hydro_MEFA'!I97*'CO2-Eq. invisble'!F39/1000/('R3_MEFA'!C5*1000))</f>
        <v>#DIV/0!</v>
      </c>
      <c r="H138" s="594" t="e">
        <f>'R3_Hydro_MEFA'!L98*1000*Substitution!E17*'CO2-Eq. invisble'!F19/('R3_MEFA'!C5*1000)</f>
        <v>#DIV/0!</v>
      </c>
    </row>
    <row r="139" spans="1:15" x14ac:dyDescent="0.2">
      <c r="A139" s="999" t="s">
        <v>225</v>
      </c>
      <c r="B139" s="269" t="s">
        <v>1061</v>
      </c>
      <c r="C139" s="615">
        <v>0</v>
      </c>
      <c r="D139" s="598">
        <v>0</v>
      </c>
      <c r="E139" s="615">
        <v>0</v>
      </c>
      <c r="F139" s="598">
        <v>0</v>
      </c>
      <c r="G139" s="610" t="e">
        <f>('R3_Hydro_MEFA'!I115*'CO2-Eq. invisble'!F39/1000/('R3_MEFA'!C5*1000))+('R3_Hydro_MEFA'!F114*1000*'CO2-Eq. invisble'!F7/('R3_MEFA'!C5*1000))</f>
        <v>#DIV/0!</v>
      </c>
      <c r="H139" s="596">
        <v>0</v>
      </c>
    </row>
    <row r="140" spans="1:15" ht="16" x14ac:dyDescent="0.2">
      <c r="A140" s="1000"/>
      <c r="B140" s="751" t="s">
        <v>1062</v>
      </c>
      <c r="C140" s="612">
        <v>0</v>
      </c>
      <c r="D140" s="500">
        <v>0</v>
      </c>
      <c r="E140" s="612">
        <v>0</v>
      </c>
      <c r="F140" s="500">
        <v>0</v>
      </c>
      <c r="G140" s="611" t="e">
        <f>('R3_Hydro_MEFA'!I122*'CO2-Eq. invisble'!F39/1000/('R3_MEFA'!C5*1000))</f>
        <v>#DIV/0!</v>
      </c>
      <c r="H140" s="499">
        <v>0</v>
      </c>
    </row>
    <row r="141" spans="1:15" x14ac:dyDescent="0.2">
      <c r="A141" s="1000"/>
      <c r="B141" s="288" t="s">
        <v>1073</v>
      </c>
      <c r="C141" s="612">
        <v>0</v>
      </c>
      <c r="D141" s="500">
        <v>0</v>
      </c>
      <c r="E141" s="612">
        <v>0</v>
      </c>
      <c r="F141" s="500">
        <v>0</v>
      </c>
      <c r="G141" s="611" t="e">
        <f>('R3_Hydro_MEFA'!I128*'CO2-Eq. invisble'!F39/1000/('R3_MEFA'!C5*1000))+('R3_Hydro_MEFA'!L129*1000*'CO2-Eq. invisble'!F38/('R3_MEFA'!C5*1000))</f>
        <v>#DIV/0!</v>
      </c>
      <c r="H141" s="499" t="e">
        <f>('R3_Hydro_MEFA'!L130*1000*Substitution!E19*'CO2-Eq. invisble'!F33/('R3_MEFA'!C5*1000))</f>
        <v>#DIV/0!</v>
      </c>
    </row>
    <row r="142" spans="1:15" ht="15" customHeight="1" x14ac:dyDescent="0.2">
      <c r="A142" s="1000"/>
      <c r="B142" s="288" t="s">
        <v>1066</v>
      </c>
      <c r="C142" s="612">
        <v>0</v>
      </c>
      <c r="D142" s="500">
        <v>0</v>
      </c>
      <c r="E142" s="612">
        <v>0</v>
      </c>
      <c r="F142" s="500">
        <v>0</v>
      </c>
      <c r="G142" s="611" t="e">
        <f>(('R3_Hydro_MEFA'!I162+'R3_Hydro_MEFA'!I170+'R3_Hydro_MEFA'!I176)*'CO2-Eq. invisble'!F39/1000/('R3_MEFA'!C5*1000))+('R3_Hydro_MEFA'!F161*1000*'CO2-Eq. invisble'!F12/('R3_MEFA'!C5*1000))+('R3_Hydro_MEFA'!F175*1000*'CO2-Eq. invisble'!F7/('R3_MEFA'!C5*1000))</f>
        <v>#DIV/0!</v>
      </c>
      <c r="H142" s="499">
        <v>0</v>
      </c>
    </row>
    <row r="143" spans="1:15" ht="16" x14ac:dyDescent="0.2">
      <c r="A143" s="1000"/>
      <c r="B143" s="751" t="s">
        <v>1074</v>
      </c>
      <c r="C143" s="612">
        <v>0</v>
      </c>
      <c r="D143" s="500">
        <v>0</v>
      </c>
      <c r="E143" s="612">
        <v>0</v>
      </c>
      <c r="F143" s="500">
        <v>0</v>
      </c>
      <c r="G143" s="611" t="e">
        <f>('R3_Hydro_MEFA'!I184*'CO2-Eq. invisble'!F39/1000/('R3_MEFA'!C5*1000))</f>
        <v>#DIV/0!</v>
      </c>
      <c r="H143" s="499" t="e">
        <f>'R3_Hydro_MEFA'!L185*1000*Substitution!E22*'CO2-Eq. invisble'!F16/('R3_MEFA'!C5*1000)</f>
        <v>#DIV/0!</v>
      </c>
    </row>
    <row r="144" spans="1:15" ht="16" thickBot="1" x14ac:dyDescent="0.25">
      <c r="A144" s="1000"/>
      <c r="B144" s="288" t="s">
        <v>1075</v>
      </c>
      <c r="C144" s="612">
        <v>0</v>
      </c>
      <c r="D144" s="500">
        <v>0</v>
      </c>
      <c r="E144" s="612">
        <v>0</v>
      </c>
      <c r="F144" s="500">
        <v>0</v>
      </c>
      <c r="G144" s="611" t="e">
        <f>('R3_Hydro_MEFA'!F190*1000*'CO2-Eq. invisble'!F34/('R3_MEFA'!C5*1000))+(('R3_Hydro_MEFA'!I191+'R3_Hydro_MEFA'!I197)*'CO2-Eq. invisble'!F39/1000/('R3_MEFA'!C5*1000))</f>
        <v>#DIV/0!</v>
      </c>
      <c r="H144" s="499" t="e">
        <f>'R3_Hydro_MEFA'!L198*1000*Substitution!E23*'CO2-Eq. invisble'!F20/('R3_MEFA'!C5*1000)</f>
        <v>#DIV/0!</v>
      </c>
    </row>
    <row r="145" spans="1:17" x14ac:dyDescent="0.2">
      <c r="A145" s="1003" t="s">
        <v>226</v>
      </c>
      <c r="B145" s="269" t="s">
        <v>227</v>
      </c>
      <c r="C145" s="610" t="e">
        <f>('R1_MEFA'!F78*1000*'CO2-Eq. invisble'!F6)/('R1_MEFA'!C5*1000)</f>
        <v>#DIV/0!</v>
      </c>
      <c r="D145" s="598" t="s">
        <v>196</v>
      </c>
      <c r="E145" s="610" t="e">
        <f>('R2_MEFA'!F104*1000*'CO2-Eq. invisble'!F6)/('R1_MEFA'!C5*1000)</f>
        <v>#DIV/0!</v>
      </c>
      <c r="F145" s="598" t="s">
        <v>196</v>
      </c>
      <c r="G145" s="610" t="e">
        <f>('R3_MEFA'!F125*1000*'CO2-Eq. invisble'!F6)/('R1_MEFA'!C5*1000)</f>
        <v>#DIV/0!</v>
      </c>
      <c r="H145" s="596" t="s">
        <v>196</v>
      </c>
      <c r="I145" t="s">
        <v>228</v>
      </c>
    </row>
    <row r="146" spans="1:17" x14ac:dyDescent="0.2">
      <c r="A146" s="1004"/>
      <c r="B146" s="735" t="s">
        <v>139</v>
      </c>
      <c r="C146" s="603" t="e">
        <f>('R1_MEFA'!L87*1000*'CO2-Eq. invisble'!F35)/('R1_MEFA'!C5*1000)</f>
        <v>#DIV/0!</v>
      </c>
      <c r="D146" s="500">
        <v>0</v>
      </c>
      <c r="E146" s="603" t="e">
        <f>('R2_MEFA'!L115*1000*'CO2-Eq. invisble'!F35)/('R1_MEFA'!C5*1000)</f>
        <v>#DIV/0!</v>
      </c>
      <c r="F146" s="500">
        <v>0</v>
      </c>
      <c r="G146" s="611" t="e">
        <f>('R3_MEFA'!L134*1000*'CO2-Eq. invisble'!F35)/('R1_MEFA'!C5*1000)</f>
        <v>#DIV/0!</v>
      </c>
      <c r="H146" s="499">
        <v>0</v>
      </c>
      <c r="I146" t="s">
        <v>229</v>
      </c>
    </row>
    <row r="147" spans="1:17" ht="16" thickBot="1" x14ac:dyDescent="0.25">
      <c r="A147" s="1005"/>
      <c r="B147" s="723" t="s">
        <v>141</v>
      </c>
      <c r="C147" s="607" t="e">
        <f>('R1_MEFA'!L78*1000*'CO2-Eq. invisble'!F31)/('R1_MEFA'!C5*1000)</f>
        <v>#DIV/0!</v>
      </c>
      <c r="D147" s="599" t="s">
        <v>196</v>
      </c>
      <c r="E147" s="607" t="e">
        <f>('R2_MEFA'!L114*1000*'CO2-Eq. invisble'!F31/('R2_MEFA'!C5*1000))</f>
        <v>#DIV/0!</v>
      </c>
      <c r="F147" s="599" t="s">
        <v>196</v>
      </c>
      <c r="G147" s="618" t="e">
        <f>('R3_MEFA'!L125*1000*'CO2-Eq. invisble'!F31/('R3_MEFA'!C5*1000))</f>
        <v>#DIV/0!</v>
      </c>
      <c r="H147" s="722" t="s">
        <v>196</v>
      </c>
      <c r="J147" s="717"/>
      <c r="K147" s="717"/>
    </row>
    <row r="148" spans="1:17" ht="16" thickBot="1" x14ac:dyDescent="0.25">
      <c r="A148" s="595"/>
      <c r="B148" s="289"/>
      <c r="C148" s="603"/>
      <c r="D148" s="609"/>
      <c r="E148" s="608"/>
      <c r="F148" s="609"/>
      <c r="G148" s="611"/>
      <c r="H148" s="499"/>
    </row>
    <row r="149" spans="1:17" ht="16" thickBot="1" x14ac:dyDescent="0.25">
      <c r="B149" s="671" t="s">
        <v>106</v>
      </c>
      <c r="C149" s="668" t="e">
        <f>SUM(C73:C148)</f>
        <v>#DIV/0!</v>
      </c>
      <c r="D149" s="669" t="e">
        <f t="shared" ref="D149:H149" si="7">SUM(D73:D148)</f>
        <v>#DIV/0!</v>
      </c>
      <c r="E149" s="668" t="e">
        <f t="shared" si="7"/>
        <v>#DIV/0!</v>
      </c>
      <c r="F149" s="669" t="e">
        <f t="shared" si="7"/>
        <v>#DIV/0!</v>
      </c>
      <c r="G149" s="668" t="e">
        <f t="shared" si="7"/>
        <v>#DIV/0!</v>
      </c>
      <c r="H149" s="670" t="e">
        <f t="shared" si="7"/>
        <v>#DIV/0!</v>
      </c>
    </row>
    <row r="150" spans="1:17" ht="17" thickTop="1" thickBot="1" x14ac:dyDescent="0.25">
      <c r="B150" s="672" t="s">
        <v>230</v>
      </c>
      <c r="C150" s="993" t="e">
        <f>C149-D149</f>
        <v>#DIV/0!</v>
      </c>
      <c r="D150" s="994"/>
      <c r="E150" s="995" t="e">
        <f>E149-F149</f>
        <v>#DIV/0!</v>
      </c>
      <c r="F150" s="996"/>
      <c r="G150" s="997" t="e">
        <f>G149-H149</f>
        <v>#DIV/0!</v>
      </c>
      <c r="H150" s="998"/>
      <c r="I150" s="299"/>
    </row>
    <row r="151" spans="1:17" ht="16" thickTop="1" x14ac:dyDescent="0.2">
      <c r="D151" s="581"/>
      <c r="F151" s="581"/>
      <c r="H151" s="581"/>
    </row>
    <row r="153" spans="1:17" x14ac:dyDescent="0.2">
      <c r="J153" s="122"/>
      <c r="K153" s="122"/>
      <c r="L153" s="710"/>
      <c r="M153" s="459"/>
      <c r="N153" s="710"/>
      <c r="O153" s="459"/>
      <c r="P153" s="710"/>
      <c r="Q153" s="711"/>
    </row>
    <row r="154" spans="1:17" x14ac:dyDescent="0.2">
      <c r="J154" s="122"/>
      <c r="K154" s="122"/>
      <c r="L154" s="710"/>
      <c r="N154" s="710"/>
      <c r="P154" s="710"/>
    </row>
    <row r="155" spans="1:17" x14ac:dyDescent="0.2">
      <c r="H155" s="247"/>
      <c r="J155" s="122"/>
      <c r="K155" s="122"/>
      <c r="L155" s="721"/>
      <c r="M155" s="721"/>
      <c r="N155" s="721"/>
      <c r="O155" s="721"/>
      <c r="P155" s="721"/>
    </row>
  </sheetData>
  <mergeCells count="33">
    <mergeCell ref="A79:A87"/>
    <mergeCell ref="E68:F68"/>
    <mergeCell ref="A88:A89"/>
    <mergeCell ref="A94:A97"/>
    <mergeCell ref="S67:T67"/>
    <mergeCell ref="A70:A74"/>
    <mergeCell ref="A75:A78"/>
    <mergeCell ref="G68:H68"/>
    <mergeCell ref="B67:H67"/>
    <mergeCell ref="C150:D150"/>
    <mergeCell ref="E150:F150"/>
    <mergeCell ref="G150:H150"/>
    <mergeCell ref="A90:A93"/>
    <mergeCell ref="A139:A144"/>
    <mergeCell ref="A130:A138"/>
    <mergeCell ref="A98:A106"/>
    <mergeCell ref="A107:A115"/>
    <mergeCell ref="A116:A129"/>
    <mergeCell ref="A145:A147"/>
    <mergeCell ref="O2:R2"/>
    <mergeCell ref="B26:H26"/>
    <mergeCell ref="B2:M2"/>
    <mergeCell ref="B8:M8"/>
    <mergeCell ref="B14:M14"/>
    <mergeCell ref="B20:M20"/>
    <mergeCell ref="C27:D27"/>
    <mergeCell ref="N67:N68"/>
    <mergeCell ref="O67:P67"/>
    <mergeCell ref="Q67:R67"/>
    <mergeCell ref="E27:F27"/>
    <mergeCell ref="N26:S27"/>
    <mergeCell ref="G27:H27"/>
    <mergeCell ref="C68:D68"/>
  </mergeCells>
  <pageMargins left="0.7" right="0.7" top="0.78740157499999996" bottom="0.78740157499999996" header="0.3" footer="0.3"/>
  <pageSetup paperSize="9"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41">
    <tabColor theme="0" tint="-0.499984740745262"/>
    <pageSetUpPr fitToPage="1"/>
  </sheetPr>
  <dimension ref="A1:J55"/>
  <sheetViews>
    <sheetView tabSelected="1" workbookViewId="0">
      <selection activeCell="C2" sqref="C2"/>
    </sheetView>
  </sheetViews>
  <sheetFormatPr baseColWidth="10" defaultColWidth="12.5" defaultRowHeight="14" x14ac:dyDescent="0.15"/>
  <cols>
    <col min="1" max="1" width="3.6640625" style="26" customWidth="1"/>
    <col min="2" max="2" width="28.33203125" style="26" customWidth="1"/>
    <col min="3" max="3" width="37.6640625" style="26" customWidth="1"/>
    <col min="4" max="4" width="15.33203125" style="26" bestFit="1" customWidth="1"/>
    <col min="5" max="5" width="14.5" style="26" customWidth="1"/>
    <col min="6" max="6" width="10.83203125" style="26" customWidth="1"/>
    <col min="7" max="16384" width="12.5" style="26"/>
  </cols>
  <sheetData>
    <row r="1" spans="1:10" ht="15" thickBot="1" x14ac:dyDescent="0.2">
      <c r="A1" s="24"/>
      <c r="B1" s="1018" t="s">
        <v>231</v>
      </c>
      <c r="C1" s="1019"/>
      <c r="D1" s="1019"/>
      <c r="E1" s="1020"/>
      <c r="F1" s="25"/>
      <c r="G1" s="793"/>
      <c r="H1" s="793"/>
      <c r="I1" s="793"/>
      <c r="J1" s="793"/>
    </row>
    <row r="2" spans="1:10" ht="15" x14ac:dyDescent="0.15">
      <c r="A2" s="27"/>
      <c r="B2" s="767" t="s">
        <v>232</v>
      </c>
      <c r="C2" s="873"/>
      <c r="D2" s="28" t="s">
        <v>233</v>
      </c>
      <c r="E2" s="29"/>
      <c r="F2" s="30"/>
      <c r="G2" s="794"/>
      <c r="H2" s="794"/>
      <c r="I2" s="794"/>
      <c r="J2" s="794"/>
    </row>
    <row r="3" spans="1:10" x14ac:dyDescent="0.15">
      <c r="A3" s="27"/>
      <c r="B3" s="31" t="s">
        <v>234</v>
      </c>
      <c r="C3" s="943"/>
      <c r="D3" s="32" t="s">
        <v>96</v>
      </c>
      <c r="E3" s="29"/>
      <c r="F3" s="30"/>
      <c r="G3" s="794"/>
      <c r="H3" s="794"/>
      <c r="I3" s="794"/>
      <c r="J3" s="794"/>
    </row>
    <row r="4" spans="1:10" ht="15" x14ac:dyDescent="0.15">
      <c r="A4" s="27"/>
      <c r="B4" s="768" t="s">
        <v>235</v>
      </c>
      <c r="C4" s="874"/>
      <c r="D4" s="32"/>
      <c r="E4" s="29"/>
      <c r="F4" s="30"/>
      <c r="G4" s="794"/>
      <c r="H4" s="794"/>
      <c r="I4" s="794"/>
      <c r="J4" s="794"/>
    </row>
    <row r="5" spans="1:10" ht="15" x14ac:dyDescent="0.15">
      <c r="A5" s="27"/>
      <c r="B5" s="768" t="s">
        <v>236</v>
      </c>
      <c r="C5" s="874"/>
      <c r="D5" s="32" t="s">
        <v>237</v>
      </c>
      <c r="E5" s="29"/>
      <c r="F5" s="30"/>
      <c r="G5" s="794"/>
      <c r="H5" s="794"/>
      <c r="I5" s="794"/>
      <c r="J5" s="794"/>
    </row>
    <row r="6" spans="1:10" ht="15" thickBot="1" x14ac:dyDescent="0.2">
      <c r="A6" s="27"/>
      <c r="B6" s="33" t="s">
        <v>238</v>
      </c>
      <c r="C6" s="875"/>
      <c r="D6" s="34" t="s">
        <v>237</v>
      </c>
      <c r="E6" s="29"/>
      <c r="F6" s="30"/>
      <c r="G6" s="794"/>
      <c r="H6" s="794"/>
      <c r="I6" s="794"/>
      <c r="J6" s="794"/>
    </row>
    <row r="7" spans="1:10" ht="16" thickBot="1" x14ac:dyDescent="0.2">
      <c r="A7" s="27"/>
      <c r="B7" s="769" t="s">
        <v>239</v>
      </c>
      <c r="C7" s="35" t="s">
        <v>129</v>
      </c>
      <c r="D7" s="36" t="s">
        <v>240</v>
      </c>
      <c r="E7" s="770" t="s">
        <v>241</v>
      </c>
      <c r="F7" s="27"/>
    </row>
    <row r="8" spans="1:10" ht="15" thickBot="1" x14ac:dyDescent="0.2">
      <c r="A8" s="27"/>
      <c r="B8" s="37" t="s">
        <v>242</v>
      </c>
      <c r="C8" s="38"/>
      <c r="D8" s="39">
        <f>SUM(D9:D23)</f>
        <v>0</v>
      </c>
      <c r="E8" s="40" t="e">
        <f>SUM(E9:E23)</f>
        <v>#DIV/0!</v>
      </c>
      <c r="F8" s="51"/>
      <c r="G8" s="926"/>
    </row>
    <row r="9" spans="1:10" ht="15" thickTop="1" x14ac:dyDescent="0.15">
      <c r="A9" s="24"/>
      <c r="B9" s="1021" t="s">
        <v>243</v>
      </c>
      <c r="C9" s="41" t="s">
        <v>1082</v>
      </c>
      <c r="D9" s="876"/>
      <c r="E9" s="42" t="e">
        <f>D9/$D$43</f>
        <v>#DIV/0!</v>
      </c>
      <c r="F9" s="51"/>
      <c r="G9" s="925"/>
    </row>
    <row r="10" spans="1:10" x14ac:dyDescent="0.15">
      <c r="A10" s="24"/>
      <c r="B10" s="1022"/>
      <c r="C10" s="43" t="s">
        <v>101</v>
      </c>
      <c r="D10" s="877"/>
      <c r="E10" s="44" t="e">
        <f t="shared" ref="E10:E23" si="0">D10/$D$43</f>
        <v>#DIV/0!</v>
      </c>
      <c r="F10" s="51"/>
      <c r="G10" s="925"/>
      <c r="I10" s="45"/>
    </row>
    <row r="11" spans="1:10" x14ac:dyDescent="0.15">
      <c r="A11" s="24"/>
      <c r="B11" s="1022"/>
      <c r="C11" s="43" t="s">
        <v>100</v>
      </c>
      <c r="D11" s="877"/>
      <c r="E11" s="44" t="e">
        <f t="shared" si="0"/>
        <v>#DIV/0!</v>
      </c>
      <c r="F11" s="51"/>
      <c r="G11" s="925"/>
    </row>
    <row r="12" spans="1:10" ht="15" x14ac:dyDescent="0.15">
      <c r="A12" s="24"/>
      <c r="B12" s="1022"/>
      <c r="C12" s="54" t="s">
        <v>103</v>
      </c>
      <c r="D12" s="877"/>
      <c r="E12" s="44" t="e">
        <f t="shared" si="0"/>
        <v>#DIV/0!</v>
      </c>
      <c r="F12" s="51"/>
      <c r="G12" s="927"/>
    </row>
    <row r="13" spans="1:10" x14ac:dyDescent="0.15">
      <c r="A13" s="24"/>
      <c r="B13" s="1022"/>
      <c r="C13" s="43" t="s">
        <v>102</v>
      </c>
      <c r="D13" s="877"/>
      <c r="E13" s="44" t="e">
        <f t="shared" si="0"/>
        <v>#DIV/0!</v>
      </c>
      <c r="F13" s="51"/>
      <c r="G13" s="925"/>
    </row>
    <row r="14" spans="1:10" x14ac:dyDescent="0.15">
      <c r="A14" s="24"/>
      <c r="B14" s="1022"/>
      <c r="C14" s="43"/>
      <c r="D14" s="879"/>
      <c r="E14" s="44" t="e">
        <f t="shared" si="0"/>
        <v>#DIV/0!</v>
      </c>
      <c r="F14" s="51"/>
      <c r="G14" s="925"/>
      <c r="I14" s="697"/>
    </row>
    <row r="15" spans="1:10" ht="15" x14ac:dyDescent="0.15">
      <c r="A15" s="24"/>
      <c r="B15" s="1022" t="s">
        <v>244</v>
      </c>
      <c r="C15" s="54" t="s">
        <v>1083</v>
      </c>
      <c r="D15" s="877"/>
      <c r="E15" s="44" t="e">
        <f t="shared" si="0"/>
        <v>#DIV/0!</v>
      </c>
      <c r="F15" s="51"/>
      <c r="G15" s="925"/>
    </row>
    <row r="16" spans="1:10" x14ac:dyDescent="0.15">
      <c r="A16" s="24"/>
      <c r="B16" s="1022"/>
      <c r="C16" s="43" t="s">
        <v>59</v>
      </c>
      <c r="D16" s="877"/>
      <c r="E16" s="44" t="e">
        <f t="shared" si="0"/>
        <v>#DIV/0!</v>
      </c>
      <c r="F16" s="51"/>
      <c r="G16" s="925"/>
    </row>
    <row r="17" spans="1:8" ht="15" x14ac:dyDescent="0.15">
      <c r="A17" s="24"/>
      <c r="B17" s="771" t="s">
        <v>246</v>
      </c>
      <c r="C17" s="43" t="s">
        <v>1081</v>
      </c>
      <c r="D17" s="877"/>
      <c r="E17" s="44" t="e">
        <f t="shared" si="0"/>
        <v>#DIV/0!</v>
      </c>
      <c r="F17" s="51"/>
      <c r="G17" s="925"/>
    </row>
    <row r="18" spans="1:8" x14ac:dyDescent="0.15">
      <c r="A18" s="24"/>
      <c r="B18" s="941" t="s">
        <v>247</v>
      </c>
      <c r="C18" s="43" t="s">
        <v>180</v>
      </c>
      <c r="D18" s="877"/>
      <c r="E18" s="44" t="e">
        <f t="shared" si="0"/>
        <v>#DIV/0!</v>
      </c>
      <c r="F18" s="51"/>
      <c r="G18" s="925"/>
    </row>
    <row r="19" spans="1:8" x14ac:dyDescent="0.15">
      <c r="A19" s="24"/>
      <c r="B19" s="941" t="s">
        <v>54</v>
      </c>
      <c r="C19" s="43" t="s">
        <v>54</v>
      </c>
      <c r="D19" s="877"/>
      <c r="E19" s="44" t="e">
        <f t="shared" si="0"/>
        <v>#DIV/0!</v>
      </c>
      <c r="F19" s="51"/>
      <c r="G19" s="925"/>
    </row>
    <row r="20" spans="1:8" x14ac:dyDescent="0.15">
      <c r="A20" s="24"/>
      <c r="B20" s="941"/>
      <c r="C20" s="43" t="s">
        <v>75</v>
      </c>
      <c r="D20" s="877"/>
      <c r="E20" s="44" t="e">
        <f>D20/$D$43</f>
        <v>#DIV/0!</v>
      </c>
      <c r="F20" s="51"/>
      <c r="G20" s="925"/>
    </row>
    <row r="21" spans="1:8" x14ac:dyDescent="0.15">
      <c r="A21" s="24"/>
      <c r="B21" s="46"/>
      <c r="C21" s="43" t="s">
        <v>248</v>
      </c>
      <c r="D21" s="877"/>
      <c r="E21" s="44" t="e">
        <f>D21/$D$43</f>
        <v>#DIV/0!</v>
      </c>
      <c r="F21" s="51"/>
      <c r="G21" s="925"/>
      <c r="H21" s="925"/>
    </row>
    <row r="22" spans="1:8" x14ac:dyDescent="0.15">
      <c r="A22" s="24"/>
      <c r="B22" s="46"/>
      <c r="C22" s="43"/>
      <c r="D22" s="879"/>
      <c r="E22" s="44" t="e">
        <f>D22/$D$43</f>
        <v>#DIV/0!</v>
      </c>
      <c r="F22" s="51"/>
      <c r="G22" s="925"/>
    </row>
    <row r="23" spans="1:8" ht="15" thickBot="1" x14ac:dyDescent="0.2">
      <c r="A23" s="24"/>
      <c r="B23" s="47"/>
      <c r="C23" s="48"/>
      <c r="D23" s="880"/>
      <c r="E23" s="49" t="e">
        <f t="shared" si="0"/>
        <v>#DIV/0!</v>
      </c>
      <c r="F23" s="51"/>
      <c r="G23" s="925"/>
    </row>
    <row r="24" spans="1:8" ht="16" thickBot="1" x14ac:dyDescent="0.2">
      <c r="A24" s="27"/>
      <c r="B24" s="772" t="s">
        <v>249</v>
      </c>
      <c r="C24" s="38"/>
      <c r="D24" s="39">
        <f>SUM(D25:D32)</f>
        <v>0</v>
      </c>
      <c r="E24" s="50" t="e">
        <f>SUM(E25:E32)</f>
        <v>#DIV/0!</v>
      </c>
      <c r="F24" s="51"/>
      <c r="G24" s="926"/>
    </row>
    <row r="25" spans="1:8" ht="14.25" customHeight="1" thickTop="1" x14ac:dyDescent="0.15">
      <c r="A25" s="24"/>
      <c r="B25" s="1011" t="s">
        <v>250</v>
      </c>
      <c r="C25" s="41" t="s">
        <v>1081</v>
      </c>
      <c r="D25" s="876"/>
      <c r="E25" s="42" t="e">
        <f>D25/$D$43</f>
        <v>#DIV/0!</v>
      </c>
    </row>
    <row r="26" spans="1:8" ht="15" customHeight="1" x14ac:dyDescent="0.15">
      <c r="A26" s="24"/>
      <c r="B26" s="1012"/>
      <c r="C26" s="43" t="s">
        <v>75</v>
      </c>
      <c r="D26" s="877"/>
      <c r="E26" s="44" t="e">
        <f t="shared" ref="E26:E32" si="1">D26/$D$43</f>
        <v>#DIV/0!</v>
      </c>
      <c r="G26" s="925"/>
    </row>
    <row r="27" spans="1:8" ht="15" customHeight="1" x14ac:dyDescent="0.15">
      <c r="A27" s="24"/>
      <c r="B27" s="1013"/>
      <c r="C27" s="43" t="s">
        <v>180</v>
      </c>
      <c r="D27" s="877"/>
      <c r="E27" s="44" t="e">
        <f t="shared" si="1"/>
        <v>#DIV/0!</v>
      </c>
      <c r="F27" s="51"/>
      <c r="G27" s="925"/>
    </row>
    <row r="28" spans="1:8" ht="15" customHeight="1" x14ac:dyDescent="0.15">
      <c r="A28" s="24"/>
      <c r="B28" s="1013"/>
      <c r="C28" s="48" t="s">
        <v>178</v>
      </c>
      <c r="D28" s="878"/>
      <c r="E28" s="49" t="e">
        <f t="shared" si="1"/>
        <v>#DIV/0!</v>
      </c>
      <c r="F28" s="51"/>
      <c r="G28" s="925"/>
    </row>
    <row r="29" spans="1:8" ht="15" customHeight="1" x14ac:dyDescent="0.15">
      <c r="A29" s="24"/>
      <c r="B29" s="1013"/>
      <c r="C29" s="48"/>
      <c r="D29" s="881"/>
      <c r="E29" s="49" t="e">
        <f t="shared" si="1"/>
        <v>#DIV/0!</v>
      </c>
      <c r="F29" s="51"/>
      <c r="G29" s="925"/>
    </row>
    <row r="30" spans="1:8" ht="15" customHeight="1" x14ac:dyDescent="0.15">
      <c r="A30" s="24"/>
      <c r="B30" s="1013"/>
      <c r="C30" s="48"/>
      <c r="D30" s="881"/>
      <c r="E30" s="49" t="e">
        <f t="shared" si="1"/>
        <v>#DIV/0!</v>
      </c>
      <c r="F30" s="51"/>
      <c r="G30" s="925"/>
    </row>
    <row r="31" spans="1:8" ht="15" customHeight="1" x14ac:dyDescent="0.15">
      <c r="A31" s="24"/>
      <c r="B31" s="1013"/>
      <c r="C31" s="48"/>
      <c r="D31" s="880"/>
      <c r="E31" s="49" t="e">
        <f t="shared" si="1"/>
        <v>#DIV/0!</v>
      </c>
      <c r="F31" s="51"/>
      <c r="G31" s="925"/>
    </row>
    <row r="32" spans="1:8" ht="15" customHeight="1" thickBot="1" x14ac:dyDescent="0.2">
      <c r="A32" s="24"/>
      <c r="B32" s="1013"/>
      <c r="C32" s="48"/>
      <c r="D32" s="880"/>
      <c r="E32" s="49" t="e">
        <f t="shared" si="1"/>
        <v>#DIV/0!</v>
      </c>
      <c r="F32" s="51"/>
      <c r="G32" s="925"/>
    </row>
    <row r="33" spans="1:7" ht="16" thickBot="1" x14ac:dyDescent="0.2">
      <c r="A33" s="52"/>
      <c r="B33" s="772" t="s">
        <v>251</v>
      </c>
      <c r="C33" s="38"/>
      <c r="D33" s="39">
        <f>SUM(D34:D42)</f>
        <v>0</v>
      </c>
      <c r="E33" s="50" t="e">
        <f>SUM(E34:E42)</f>
        <v>#DIV/0!</v>
      </c>
    </row>
    <row r="34" spans="1:7" ht="16" thickTop="1" x14ac:dyDescent="0.15">
      <c r="A34" s="24"/>
      <c r="B34" s="1011" t="s">
        <v>252</v>
      </c>
      <c r="C34" s="53" t="s">
        <v>300</v>
      </c>
      <c r="D34" s="876"/>
      <c r="E34" s="42" t="e">
        <f>D34/$D$43</f>
        <v>#DIV/0!</v>
      </c>
      <c r="F34" s="51"/>
      <c r="G34" s="925"/>
    </row>
    <row r="35" spans="1:7" ht="15" x14ac:dyDescent="0.15">
      <c r="A35" s="24"/>
      <c r="B35" s="1012"/>
      <c r="C35" s="54" t="s">
        <v>75</v>
      </c>
      <c r="D35" s="877"/>
      <c r="E35" s="44" t="e">
        <f t="shared" ref="E35:E42" si="2">D35/$D$43</f>
        <v>#DIV/0!</v>
      </c>
      <c r="F35" s="51"/>
      <c r="G35" s="925"/>
    </row>
    <row r="36" spans="1:7" ht="15" x14ac:dyDescent="0.15">
      <c r="A36" s="24"/>
      <c r="B36" s="1012"/>
      <c r="C36" s="54" t="s">
        <v>253</v>
      </c>
      <c r="D36" s="877"/>
      <c r="E36" s="44" t="e">
        <f t="shared" si="2"/>
        <v>#DIV/0!</v>
      </c>
      <c r="F36" s="51"/>
      <c r="G36" s="925"/>
    </row>
    <row r="37" spans="1:7" ht="15" x14ac:dyDescent="0.15">
      <c r="A37" s="24"/>
      <c r="B37" s="1012"/>
      <c r="C37" s="54" t="s">
        <v>178</v>
      </c>
      <c r="D37" s="877"/>
      <c r="E37" s="44" t="e">
        <f t="shared" si="2"/>
        <v>#DIV/0!</v>
      </c>
      <c r="F37" s="51"/>
      <c r="G37" s="925"/>
    </row>
    <row r="38" spans="1:7" ht="15" x14ac:dyDescent="0.15">
      <c r="A38" s="24"/>
      <c r="B38" s="1013"/>
      <c r="C38" s="55" t="s">
        <v>254</v>
      </c>
      <c r="D38" s="878"/>
      <c r="E38" s="49" t="e">
        <f t="shared" si="2"/>
        <v>#DIV/0!</v>
      </c>
      <c r="F38" s="51"/>
      <c r="G38" s="925"/>
    </row>
    <row r="39" spans="1:7" ht="15" x14ac:dyDescent="0.15">
      <c r="A39" s="24"/>
      <c r="B39" s="1013"/>
      <c r="C39" s="55" t="s">
        <v>180</v>
      </c>
      <c r="D39" s="878"/>
      <c r="E39" s="49" t="e">
        <f t="shared" si="2"/>
        <v>#DIV/0!</v>
      </c>
      <c r="F39" s="51"/>
      <c r="G39" s="925"/>
    </row>
    <row r="40" spans="1:7" ht="15" x14ac:dyDescent="0.15">
      <c r="A40" s="24"/>
      <c r="B40" s="1013"/>
      <c r="C40" s="55" t="s">
        <v>255</v>
      </c>
      <c r="D40" s="878"/>
      <c r="E40" s="49" t="e">
        <f t="shared" si="2"/>
        <v>#DIV/0!</v>
      </c>
      <c r="F40" s="51"/>
      <c r="G40" s="925"/>
    </row>
    <row r="41" spans="1:7" x14ac:dyDescent="0.15">
      <c r="A41" s="24"/>
      <c r="B41" s="1013"/>
      <c r="C41" s="55"/>
      <c r="D41" s="880"/>
      <c r="E41" s="49" t="e">
        <f t="shared" si="2"/>
        <v>#DIV/0!</v>
      </c>
      <c r="F41" s="51"/>
      <c r="G41" s="925"/>
    </row>
    <row r="42" spans="1:7" ht="15" thickBot="1" x14ac:dyDescent="0.2">
      <c r="A42" s="24"/>
      <c r="B42" s="1014"/>
      <c r="C42" s="56"/>
      <c r="D42" s="882"/>
      <c r="E42" s="57" t="e">
        <f t="shared" si="2"/>
        <v>#DIV/0!</v>
      </c>
      <c r="F42" s="51"/>
      <c r="G42" s="925"/>
    </row>
    <row r="43" spans="1:7" ht="15" customHeight="1" thickBot="1" x14ac:dyDescent="0.2">
      <c r="A43" s="58"/>
      <c r="B43" s="1015" t="s">
        <v>256</v>
      </c>
      <c r="C43" s="1016"/>
      <c r="D43" s="59">
        <f>SUM(D33,D24,D8)</f>
        <v>0</v>
      </c>
      <c r="E43" s="60" t="e">
        <f>E33+E24+E8</f>
        <v>#DIV/0!</v>
      </c>
      <c r="F43" s="51"/>
      <c r="G43" s="61"/>
    </row>
    <row r="44" spans="1:7" ht="15" customHeight="1" x14ac:dyDescent="0.15">
      <c r="A44" s="58"/>
      <c r="B44" s="58"/>
      <c r="C44" s="58"/>
      <c r="D44" s="62"/>
      <c r="E44" s="58"/>
      <c r="F44" s="58"/>
      <c r="G44" s="61"/>
    </row>
    <row r="45" spans="1:7" ht="15" customHeight="1" x14ac:dyDescent="0.15">
      <c r="A45" s="58"/>
      <c r="B45" s="58"/>
      <c r="C45" s="58"/>
      <c r="D45" s="62"/>
      <c r="E45" s="58"/>
      <c r="F45" s="58"/>
      <c r="G45" s="61"/>
    </row>
    <row r="46" spans="1:7" ht="15" customHeight="1" x14ac:dyDescent="0.15">
      <c r="A46" s="58"/>
      <c r="B46" s="58"/>
      <c r="C46" s="58"/>
      <c r="D46" s="62"/>
      <c r="E46" s="58"/>
      <c r="F46" s="58"/>
      <c r="G46" s="61"/>
    </row>
    <row r="47" spans="1:7" ht="15" customHeight="1" x14ac:dyDescent="0.15"/>
    <row r="48" spans="1:7" ht="15" customHeight="1" x14ac:dyDescent="0.15"/>
    <row r="49" spans="4:9" ht="14.25" customHeight="1" x14ac:dyDescent="0.15"/>
    <row r="50" spans="4:9" ht="20" customHeight="1" x14ac:dyDescent="0.15"/>
    <row r="51" spans="4:9" ht="30" customHeight="1" x14ac:dyDescent="0.15"/>
    <row r="52" spans="4:9" ht="14.25" customHeight="1" x14ac:dyDescent="0.15">
      <c r="I52" s="63"/>
    </row>
    <row r="53" spans="4:9" ht="14.25" customHeight="1" x14ac:dyDescent="0.15"/>
    <row r="55" spans="4:9" x14ac:dyDescent="0.15">
      <c r="D55" s="1017"/>
      <c r="E55" s="1017"/>
    </row>
  </sheetData>
  <mergeCells count="7">
    <mergeCell ref="B34:B42"/>
    <mergeCell ref="B43:C43"/>
    <mergeCell ref="D55:E55"/>
    <mergeCell ref="B1:E1"/>
    <mergeCell ref="B9:B14"/>
    <mergeCell ref="B15:B16"/>
    <mergeCell ref="B25:B32"/>
  </mergeCells>
  <pageMargins left="0.74803149606299213" right="0.47244094488188981" top="1.4173228346456694" bottom="0.55118110236220474" header="0.47244094488188981" footer="0.39370078740157483"/>
  <pageSetup paperSize="9" scale="24" fitToHeight="0"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9">
    <tabColor theme="0" tint="-0.499984740745262"/>
  </sheetPr>
  <dimension ref="A1:S112"/>
  <sheetViews>
    <sheetView topLeftCell="A43" zoomScale="90" zoomScaleNormal="90" workbookViewId="0">
      <selection activeCell="E52" sqref="E52"/>
    </sheetView>
  </sheetViews>
  <sheetFormatPr baseColWidth="10" defaultColWidth="11.5" defaultRowHeight="15" x14ac:dyDescent="0.2"/>
  <cols>
    <col min="1" max="1" width="21" style="71" customWidth="1"/>
    <col min="2" max="2" width="20.5" style="71" customWidth="1"/>
    <col min="3" max="3" width="13.6640625" style="71" customWidth="1"/>
    <col min="4" max="4" width="12.6640625" style="71" customWidth="1"/>
    <col min="5" max="5" width="20.5" style="71" bestFit="1" customWidth="1"/>
    <col min="6" max="6" width="17.6640625" style="71" customWidth="1"/>
    <col min="7" max="7" width="13.5" style="71" customWidth="1"/>
    <col min="8" max="8" width="16.33203125" style="71" customWidth="1"/>
    <col min="9" max="9" width="15.33203125" style="71" customWidth="1"/>
    <col min="10" max="10" width="17" style="71" customWidth="1"/>
    <col min="11" max="11" width="23.5" style="71" customWidth="1"/>
    <col min="12" max="12" width="19.33203125" style="71" customWidth="1"/>
    <col min="13" max="13" width="10.6640625" style="71" customWidth="1"/>
    <col min="14" max="14" width="33" style="71" customWidth="1"/>
    <col min="15" max="15" width="12.83203125" style="71" customWidth="1"/>
    <col min="16" max="16" width="27.5" style="71" customWidth="1"/>
    <col min="17" max="17" width="17.6640625" style="71" customWidth="1"/>
    <col min="18" max="18" width="20.33203125" style="71" customWidth="1"/>
    <col min="19" max="19" width="13.83203125" style="71" customWidth="1"/>
    <col min="20" max="20" width="24" style="71" customWidth="1"/>
    <col min="21" max="21" width="11.5" style="71"/>
    <col min="22" max="22" width="13.83203125" style="71" customWidth="1"/>
    <col min="23" max="16384" width="11.5" style="71"/>
  </cols>
  <sheetData>
    <row r="1" spans="1:19" s="65" customFormat="1" ht="21" x14ac:dyDescent="0.2">
      <c r="A1" s="64" t="s">
        <v>257</v>
      </c>
    </row>
    <row r="2" spans="1:19" s="65" customFormat="1" ht="13.25" customHeight="1" thickBot="1" x14ac:dyDescent="0.25">
      <c r="B2" s="66"/>
    </row>
    <row r="3" spans="1:19" s="65" customFormat="1" ht="19" x14ac:dyDescent="0.2">
      <c r="A3" s="67" t="s">
        <v>258</v>
      </c>
      <c r="B3" s="68" t="s">
        <v>259</v>
      </c>
      <c r="C3" s="69"/>
      <c r="D3" s="70"/>
      <c r="E3" s="71"/>
      <c r="F3" s="68" t="s">
        <v>260</v>
      </c>
      <c r="G3" s="69"/>
      <c r="H3" s="70"/>
      <c r="I3" s="71"/>
      <c r="J3" s="97"/>
      <c r="N3" s="97"/>
      <c r="R3" s="97"/>
    </row>
    <row r="4" spans="1:19" ht="15" customHeight="1" x14ac:dyDescent="0.2">
      <c r="B4" s="73" t="s">
        <v>261</v>
      </c>
      <c r="C4" s="74" t="s">
        <v>262</v>
      </c>
      <c r="D4" s="75" t="s">
        <v>263</v>
      </c>
      <c r="F4" s="73" t="s">
        <v>261</v>
      </c>
      <c r="G4" s="74" t="s">
        <v>262</v>
      </c>
      <c r="H4" s="75" t="s">
        <v>263</v>
      </c>
    </row>
    <row r="5" spans="1:19" ht="32" x14ac:dyDescent="0.2">
      <c r="B5" s="73" t="s">
        <v>264</v>
      </c>
      <c r="C5" s="477">
        <f>IF(Macro!$D$8=1,2500,IF(Macro!$D$8=2,25000,75000))</f>
        <v>25000</v>
      </c>
      <c r="D5" s="75" t="s">
        <v>265</v>
      </c>
      <c r="F5" s="73" t="s">
        <v>266</v>
      </c>
      <c r="G5" s="809">
        <v>3</v>
      </c>
      <c r="H5" s="75" t="s">
        <v>267</v>
      </c>
      <c r="K5" s="339"/>
      <c r="M5" s="237"/>
      <c r="S5" s="95"/>
    </row>
    <row r="6" spans="1:19" ht="27.5" customHeight="1" x14ac:dyDescent="0.2">
      <c r="B6" s="73" t="s">
        <v>268</v>
      </c>
      <c r="C6" s="477" t="e">
        <f>C5*1000/Battery!C3</f>
        <v>#DIV/0!</v>
      </c>
      <c r="D6" s="75" t="s">
        <v>196</v>
      </c>
      <c r="F6" s="73" t="s">
        <v>269</v>
      </c>
      <c r="G6" s="810">
        <v>0.5</v>
      </c>
      <c r="H6" s="75" t="s">
        <v>270</v>
      </c>
      <c r="K6" s="362"/>
      <c r="S6" s="92"/>
    </row>
    <row r="7" spans="1:19" ht="32" x14ac:dyDescent="0.2">
      <c r="B7" s="73" t="s">
        <v>271</v>
      </c>
      <c r="C7" s="807">
        <v>5</v>
      </c>
      <c r="D7" s="75" t="s">
        <v>272</v>
      </c>
      <c r="F7" s="73" t="s">
        <v>273</v>
      </c>
      <c r="G7" s="811" t="e">
        <f>SUM(C40,F41,F42)</f>
        <v>#DIV/0!</v>
      </c>
      <c r="H7" s="75" t="s">
        <v>274</v>
      </c>
      <c r="K7" s="92"/>
      <c r="S7" s="343"/>
    </row>
    <row r="8" spans="1:19" ht="18.5" customHeight="1" thickBot="1" x14ac:dyDescent="0.25">
      <c r="B8" s="79" t="s">
        <v>275</v>
      </c>
      <c r="C8" s="808">
        <v>2</v>
      </c>
      <c r="D8" s="80" t="s">
        <v>276</v>
      </c>
      <c r="F8" s="73" t="s">
        <v>277</v>
      </c>
      <c r="G8" s="812" t="e">
        <f>G7/G5</f>
        <v>#DIV/0!</v>
      </c>
      <c r="H8" s="75" t="s">
        <v>196</v>
      </c>
      <c r="K8" s="342"/>
      <c r="S8" s="95"/>
    </row>
    <row r="9" spans="1:19" ht="16" x14ac:dyDescent="0.2">
      <c r="C9" s="82"/>
      <c r="F9" s="73" t="s">
        <v>278</v>
      </c>
      <c r="G9" s="810">
        <v>9.968</v>
      </c>
      <c r="H9" s="75" t="s">
        <v>279</v>
      </c>
      <c r="S9" s="92"/>
    </row>
    <row r="10" spans="1:19" ht="16" x14ac:dyDescent="0.2">
      <c r="C10" s="82"/>
      <c r="F10" s="73" t="s">
        <v>280</v>
      </c>
      <c r="G10" s="810">
        <v>1.429</v>
      </c>
      <c r="H10" s="75" t="s">
        <v>281</v>
      </c>
      <c r="S10" s="92"/>
    </row>
    <row r="11" spans="1:19" x14ac:dyDescent="0.2">
      <c r="C11" s="82"/>
      <c r="F11" s="83"/>
      <c r="G11" s="84"/>
      <c r="H11" s="85"/>
      <c r="S11" s="92"/>
    </row>
    <row r="12" spans="1:19" ht="16" x14ac:dyDescent="0.2">
      <c r="C12" s="82"/>
      <c r="F12" s="89" t="s">
        <v>282</v>
      </c>
      <c r="G12" s="90" t="s">
        <v>262</v>
      </c>
      <c r="H12" s="91" t="s">
        <v>263</v>
      </c>
      <c r="J12" s="237" t="s">
        <v>283</v>
      </c>
      <c r="K12" s="92"/>
    </row>
    <row r="13" spans="1:19" ht="32" x14ac:dyDescent="0.2">
      <c r="A13" s="93"/>
      <c r="C13" s="82"/>
      <c r="F13" s="73" t="s">
        <v>284</v>
      </c>
      <c r="G13" s="813">
        <v>61</v>
      </c>
      <c r="H13" s="75" t="s">
        <v>285</v>
      </c>
      <c r="K13" s="82"/>
      <c r="S13" s="82"/>
    </row>
    <row r="14" spans="1:19" ht="16" x14ac:dyDescent="0.2">
      <c r="C14" s="82"/>
      <c r="F14" s="73" t="s">
        <v>286</v>
      </c>
      <c r="G14" s="813">
        <v>25.7</v>
      </c>
      <c r="H14" s="75" t="s">
        <v>285</v>
      </c>
      <c r="K14" s="338"/>
      <c r="O14" s="338"/>
      <c r="S14" s="92"/>
    </row>
    <row r="15" spans="1:19" ht="16" x14ac:dyDescent="0.2">
      <c r="C15" s="82"/>
      <c r="F15" s="73" t="s">
        <v>287</v>
      </c>
      <c r="G15" s="813">
        <v>13.3</v>
      </c>
      <c r="H15" s="75" t="s">
        <v>285</v>
      </c>
      <c r="K15" s="338"/>
      <c r="O15" s="338"/>
      <c r="S15" s="92"/>
    </row>
    <row r="16" spans="1:19" ht="16" x14ac:dyDescent="0.2">
      <c r="C16" s="82"/>
      <c r="F16" s="73" t="s">
        <v>73</v>
      </c>
      <c r="G16" s="813">
        <v>422</v>
      </c>
      <c r="H16" s="75" t="s">
        <v>288</v>
      </c>
      <c r="K16" s="338"/>
      <c r="O16" s="338"/>
      <c r="S16" s="92"/>
    </row>
    <row r="17" spans="1:19" ht="16" x14ac:dyDescent="0.2">
      <c r="C17" s="82"/>
      <c r="F17" s="73" t="s">
        <v>57</v>
      </c>
      <c r="G17" s="813">
        <v>410</v>
      </c>
      <c r="H17" s="75" t="s">
        <v>288</v>
      </c>
      <c r="K17" s="338"/>
      <c r="O17" s="338"/>
      <c r="S17" s="218"/>
    </row>
    <row r="18" spans="1:19" ht="16" x14ac:dyDescent="0.2">
      <c r="C18" s="82"/>
      <c r="F18" s="73" t="s">
        <v>289</v>
      </c>
      <c r="G18" s="813">
        <v>21.2</v>
      </c>
      <c r="H18" s="75" t="s">
        <v>285</v>
      </c>
      <c r="K18" s="338"/>
      <c r="O18" s="338"/>
    </row>
    <row r="19" spans="1:19" ht="16" x14ac:dyDescent="0.2">
      <c r="C19" s="82"/>
      <c r="F19" s="73" t="s">
        <v>107</v>
      </c>
      <c r="G19" s="814">
        <v>58.2</v>
      </c>
      <c r="H19" s="75" t="s">
        <v>285</v>
      </c>
      <c r="K19" s="95"/>
      <c r="O19" s="338"/>
    </row>
    <row r="20" spans="1:19" ht="17" thickBot="1" x14ac:dyDescent="0.25">
      <c r="F20" s="79" t="s">
        <v>290</v>
      </c>
      <c r="G20" s="815">
        <v>1.9</v>
      </c>
      <c r="H20" s="80" t="s">
        <v>285</v>
      </c>
      <c r="O20" s="338"/>
    </row>
    <row r="21" spans="1:19" x14ac:dyDescent="0.2">
      <c r="O21" s="338"/>
    </row>
    <row r="22" spans="1:19" ht="16" x14ac:dyDescent="0.2">
      <c r="A22" s="754" t="s">
        <v>291</v>
      </c>
    </row>
    <row r="23" spans="1:19" s="105" customFormat="1" ht="16" x14ac:dyDescent="0.2">
      <c r="A23" s="98" t="s">
        <v>292</v>
      </c>
      <c r="B23" s="99" t="s">
        <v>13</v>
      </c>
      <c r="C23" s="99" t="s">
        <v>262</v>
      </c>
      <c r="D23" s="99" t="s">
        <v>263</v>
      </c>
      <c r="E23" s="100" t="s">
        <v>293</v>
      </c>
      <c r="F23" s="100" t="s">
        <v>262</v>
      </c>
      <c r="G23" s="101" t="s">
        <v>263</v>
      </c>
      <c r="H23" s="102" t="s">
        <v>294</v>
      </c>
      <c r="I23" s="102" t="s">
        <v>262</v>
      </c>
      <c r="J23" s="102" t="s">
        <v>263</v>
      </c>
      <c r="K23" s="103" t="s">
        <v>295</v>
      </c>
      <c r="L23" s="103" t="s">
        <v>262</v>
      </c>
      <c r="M23" s="104" t="s">
        <v>263</v>
      </c>
      <c r="N23" s="98" t="s">
        <v>296</v>
      </c>
      <c r="P23" s="106"/>
    </row>
    <row r="24" spans="1:19" s="105" customFormat="1" ht="16" x14ac:dyDescent="0.2">
      <c r="A24" s="107" t="s">
        <v>297</v>
      </c>
      <c r="B24" s="87"/>
      <c r="C24" s="87"/>
      <c r="D24" s="87"/>
      <c r="E24" s="87"/>
      <c r="F24" s="87"/>
      <c r="G24" s="87"/>
      <c r="H24" s="87"/>
      <c r="I24" s="87"/>
      <c r="J24" s="87"/>
      <c r="K24" s="87"/>
      <c r="L24" s="87"/>
      <c r="M24" s="108"/>
      <c r="N24" s="87"/>
      <c r="P24" s="106"/>
    </row>
    <row r="25" spans="1:19" s="105" customFormat="1" ht="16" x14ac:dyDescent="0.2">
      <c r="A25" s="109"/>
      <c r="B25" s="109" t="s">
        <v>298</v>
      </c>
      <c r="C25" s="344">
        <f>C5</f>
        <v>25000</v>
      </c>
      <c r="D25" s="110" t="s">
        <v>299</v>
      </c>
      <c r="E25" s="111"/>
      <c r="F25" s="111"/>
      <c r="G25" s="111"/>
      <c r="H25" s="111"/>
      <c r="I25" s="111"/>
      <c r="J25" s="111"/>
      <c r="K25" s="111"/>
      <c r="L25" s="111"/>
      <c r="M25" s="112"/>
      <c r="N25" s="111"/>
      <c r="P25" s="106"/>
    </row>
    <row r="26" spans="1:19" s="105" customFormat="1" ht="16" x14ac:dyDescent="0.2">
      <c r="A26" s="109"/>
      <c r="B26" s="109"/>
      <c r="C26" s="344"/>
      <c r="D26" s="110"/>
      <c r="E26" s="111"/>
      <c r="F26" s="111"/>
      <c r="G26" s="111"/>
      <c r="H26" s="111"/>
      <c r="I26" s="111"/>
      <c r="J26" s="111"/>
      <c r="K26" s="111" t="s">
        <v>52</v>
      </c>
      <c r="L26" s="344" t="e">
        <f>C6*C7</f>
        <v>#DIV/0!</v>
      </c>
      <c r="M26" s="113" t="s">
        <v>233</v>
      </c>
      <c r="N26" s="111"/>
      <c r="P26" s="106"/>
    </row>
    <row r="27" spans="1:19" s="105" customFormat="1" x14ac:dyDescent="0.2">
      <c r="A27" s="114"/>
      <c r="B27" s="114"/>
      <c r="C27" s="345"/>
      <c r="D27" s="115"/>
      <c r="E27" s="94"/>
      <c r="F27" s="94"/>
      <c r="G27" s="94"/>
      <c r="H27" s="94"/>
      <c r="I27" s="94"/>
      <c r="J27" s="94"/>
      <c r="K27" s="94"/>
      <c r="L27" s="345"/>
      <c r="M27" s="116"/>
      <c r="N27" s="94"/>
      <c r="P27" s="106"/>
    </row>
    <row r="28" spans="1:19" s="105" customFormat="1" ht="16" x14ac:dyDescent="0.2">
      <c r="A28" s="109" t="s">
        <v>259</v>
      </c>
      <c r="B28" s="87"/>
      <c r="C28" s="347"/>
      <c r="D28" s="71"/>
      <c r="E28" s="111"/>
      <c r="F28" s="111"/>
      <c r="G28" s="111"/>
      <c r="H28" s="111"/>
      <c r="I28" s="111"/>
      <c r="J28" s="111"/>
      <c r="K28" s="111"/>
      <c r="L28" s="281"/>
      <c r="M28" s="112"/>
      <c r="N28" s="111"/>
      <c r="P28" s="106"/>
    </row>
    <row r="29" spans="1:19" ht="16" x14ac:dyDescent="0.2">
      <c r="A29" s="109"/>
      <c r="B29" s="109" t="s">
        <v>298</v>
      </c>
      <c r="C29" s="344">
        <f>C25</f>
        <v>25000</v>
      </c>
      <c r="D29" s="110" t="s">
        <v>299</v>
      </c>
      <c r="E29" s="111"/>
      <c r="F29" s="111"/>
      <c r="G29" s="111"/>
      <c r="H29" s="111"/>
      <c r="I29" s="111"/>
      <c r="J29" s="111"/>
      <c r="K29" s="111"/>
      <c r="L29" s="281"/>
      <c r="M29" s="112"/>
      <c r="N29" s="111"/>
    </row>
    <row r="30" spans="1:19" ht="32" x14ac:dyDescent="0.2">
      <c r="A30" s="109"/>
      <c r="B30" s="109"/>
      <c r="C30" s="344"/>
      <c r="D30" s="110"/>
      <c r="E30" s="111"/>
      <c r="F30" s="111"/>
      <c r="G30" s="111"/>
      <c r="H30" s="111"/>
      <c r="I30" s="111"/>
      <c r="J30" s="111"/>
      <c r="K30" s="111" t="s">
        <v>300</v>
      </c>
      <c r="L30" s="344" t="e">
        <f>$C$5*Battery!E34*Efficiencies!E6</f>
        <v>#DIV/0!</v>
      </c>
      <c r="M30" s="113" t="s">
        <v>299</v>
      </c>
      <c r="N30" s="111" t="s">
        <v>301</v>
      </c>
      <c r="P30" s="92"/>
      <c r="Q30" s="219"/>
      <c r="S30" s="237"/>
    </row>
    <row r="31" spans="1:19" ht="16" x14ac:dyDescent="0.2">
      <c r="A31" s="109"/>
      <c r="B31" s="109"/>
      <c r="C31" s="281"/>
      <c r="D31" s="111"/>
      <c r="E31" s="111"/>
      <c r="F31" s="111"/>
      <c r="G31" s="111"/>
      <c r="H31" s="111"/>
      <c r="I31" s="111"/>
      <c r="J31" s="111"/>
      <c r="K31" s="111" t="s">
        <v>75</v>
      </c>
      <c r="L31" s="344" t="e">
        <f>$C$5*Battery!E35*Efficiencies!E6</f>
        <v>#DIV/0!</v>
      </c>
      <c r="M31" s="113" t="s">
        <v>299</v>
      </c>
      <c r="N31" s="111"/>
    </row>
    <row r="32" spans="1:19" ht="16" x14ac:dyDescent="0.2">
      <c r="A32" s="109"/>
      <c r="B32" s="109"/>
      <c r="C32" s="281"/>
      <c r="D32" s="111"/>
      <c r="E32" s="111"/>
      <c r="F32" s="111"/>
      <c r="G32" s="111"/>
      <c r="H32" s="111"/>
      <c r="I32" s="111"/>
      <c r="J32" s="111"/>
      <c r="K32" s="111" t="s">
        <v>253</v>
      </c>
      <c r="L32" s="344" t="e">
        <f>$C$5*Battery!E36*Efficiencies!E6</f>
        <v>#DIV/0!</v>
      </c>
      <c r="M32" s="113" t="s">
        <v>299</v>
      </c>
      <c r="N32" s="111"/>
      <c r="P32" s="92"/>
      <c r="S32" s="237"/>
    </row>
    <row r="33" spans="1:17" ht="32" x14ac:dyDescent="0.2">
      <c r="A33" s="109"/>
      <c r="B33" s="109"/>
      <c r="C33" s="281"/>
      <c r="D33" s="111"/>
      <c r="E33" s="111"/>
      <c r="F33" s="111"/>
      <c r="G33" s="111"/>
      <c r="H33" s="111"/>
      <c r="I33" s="111"/>
      <c r="J33" s="111"/>
      <c r="K33" s="111" t="s">
        <v>302</v>
      </c>
      <c r="L33" s="344" t="e">
        <f>$C$5*Battery!E37*Efficiencies!E6</f>
        <v>#DIV/0!</v>
      </c>
      <c r="M33" s="113" t="s">
        <v>299</v>
      </c>
      <c r="N33" s="111" t="s">
        <v>303</v>
      </c>
      <c r="P33" s="92"/>
    </row>
    <row r="34" spans="1:17" ht="32" x14ac:dyDescent="0.2">
      <c r="A34" s="109"/>
      <c r="B34" s="109"/>
      <c r="C34" s="281"/>
      <c r="D34" s="111"/>
      <c r="E34" s="111"/>
      <c r="F34" s="111"/>
      <c r="G34" s="111"/>
      <c r="H34" s="111"/>
      <c r="I34" s="111"/>
      <c r="J34" s="111"/>
      <c r="K34" s="111" t="s">
        <v>254</v>
      </c>
      <c r="L34" s="344" t="e">
        <f>$C$5*Battery!E38*Efficiencies!E6</f>
        <v>#DIV/0!</v>
      </c>
      <c r="M34" s="113" t="s">
        <v>299</v>
      </c>
      <c r="N34" s="111" t="s">
        <v>304</v>
      </c>
      <c r="P34" s="92"/>
      <c r="Q34" s="350"/>
    </row>
    <row r="35" spans="1:17" ht="16" x14ac:dyDescent="0.2">
      <c r="A35" s="109"/>
      <c r="B35" s="109"/>
      <c r="C35" s="281"/>
      <c r="D35" s="111"/>
      <c r="E35" s="111"/>
      <c r="F35" s="111"/>
      <c r="G35" s="111"/>
      <c r="H35" s="111"/>
      <c r="I35" s="111"/>
      <c r="J35" s="111"/>
      <c r="K35" s="111" t="s">
        <v>180</v>
      </c>
      <c r="L35" s="344" t="e">
        <f>$C$5*Battery!E39*Efficiencies!E6</f>
        <v>#DIV/0!</v>
      </c>
      <c r="M35" s="113" t="s">
        <v>299</v>
      </c>
      <c r="N35" s="111" t="s">
        <v>305</v>
      </c>
      <c r="P35" s="92"/>
    </row>
    <row r="36" spans="1:17" ht="32" x14ac:dyDescent="0.2">
      <c r="A36" s="94"/>
      <c r="B36" s="114"/>
      <c r="C36" s="354"/>
      <c r="D36" s="94"/>
      <c r="E36" s="94"/>
      <c r="F36" s="94"/>
      <c r="G36" s="114"/>
      <c r="H36" s="94"/>
      <c r="I36" s="94"/>
      <c r="J36" s="94"/>
      <c r="K36" s="114" t="s">
        <v>306</v>
      </c>
      <c r="L36" s="345" t="e">
        <f>$C$5*Battery!E40*Efficiencies!E6</f>
        <v>#DIV/0!</v>
      </c>
      <c r="M36" s="116" t="s">
        <v>299</v>
      </c>
      <c r="N36" s="94" t="s">
        <v>307</v>
      </c>
      <c r="P36" s="92"/>
      <c r="Q36" s="350"/>
    </row>
    <row r="37" spans="1:17" x14ac:dyDescent="0.2">
      <c r="C37" s="348"/>
      <c r="L37" s="348"/>
      <c r="P37" s="92"/>
      <c r="Q37" s="352"/>
    </row>
    <row r="38" spans="1:17" ht="32" x14ac:dyDescent="0.2">
      <c r="A38" s="754" t="s">
        <v>308</v>
      </c>
      <c r="C38" s="348"/>
      <c r="L38" s="348"/>
    </row>
    <row r="39" spans="1:17" ht="16" x14ac:dyDescent="0.2">
      <c r="A39" s="98" t="s">
        <v>292</v>
      </c>
      <c r="B39" s="99" t="s">
        <v>13</v>
      </c>
      <c r="C39" s="363" t="s">
        <v>262</v>
      </c>
      <c r="D39" s="99" t="s">
        <v>263</v>
      </c>
      <c r="E39" s="100" t="s">
        <v>293</v>
      </c>
      <c r="F39" s="100" t="s">
        <v>262</v>
      </c>
      <c r="G39" s="101" t="s">
        <v>263</v>
      </c>
      <c r="H39" s="102" t="s">
        <v>294</v>
      </c>
      <c r="I39" s="102" t="s">
        <v>262</v>
      </c>
      <c r="J39" s="102" t="s">
        <v>263</v>
      </c>
      <c r="K39" s="103" t="s">
        <v>295</v>
      </c>
      <c r="L39" s="349" t="s">
        <v>262</v>
      </c>
      <c r="M39" s="104" t="s">
        <v>263</v>
      </c>
      <c r="N39" s="98" t="s">
        <v>296</v>
      </c>
      <c r="O39" s="74" t="s">
        <v>309</v>
      </c>
    </row>
    <row r="40" spans="1:17" ht="16" x14ac:dyDescent="0.2">
      <c r="A40" s="107" t="s">
        <v>182</v>
      </c>
      <c r="B40" s="87" t="s">
        <v>310</v>
      </c>
      <c r="C40" s="364" t="e">
        <f>C5-SUM(L30:L36)</f>
        <v>#DIV/0!</v>
      </c>
      <c r="D40" s="87" t="s">
        <v>299</v>
      </c>
      <c r="E40" s="87"/>
      <c r="F40" s="87"/>
      <c r="G40" s="87"/>
      <c r="H40" s="87"/>
      <c r="I40" s="87"/>
      <c r="J40" s="87"/>
      <c r="K40" s="87"/>
      <c r="L40" s="347"/>
      <c r="M40" s="87"/>
      <c r="N40" s="87"/>
      <c r="O40" s="111"/>
    </row>
    <row r="41" spans="1:17" ht="16" x14ac:dyDescent="0.2">
      <c r="A41" s="109" t="s">
        <v>311</v>
      </c>
      <c r="B41" s="111"/>
      <c r="C41" s="281"/>
      <c r="D41" s="111"/>
      <c r="E41" s="111" t="s">
        <v>61</v>
      </c>
      <c r="F41" s="337" t="e">
        <f>C40/G13*G14</f>
        <v>#DIV/0!</v>
      </c>
      <c r="G41" s="111" t="s">
        <v>299</v>
      </c>
      <c r="H41" s="111"/>
      <c r="I41" s="111"/>
      <c r="J41" s="111"/>
      <c r="K41" s="111"/>
      <c r="L41" s="281"/>
      <c r="M41" s="111"/>
      <c r="N41" s="111"/>
      <c r="O41" s="111"/>
    </row>
    <row r="42" spans="1:17" ht="16" x14ac:dyDescent="0.2">
      <c r="A42" s="109"/>
      <c r="B42" s="111"/>
      <c r="C42" s="281"/>
      <c r="D42" s="111"/>
      <c r="E42" s="111" t="s">
        <v>72</v>
      </c>
      <c r="F42" s="337" t="e">
        <f>C40/G13*G15</f>
        <v>#DIV/0!</v>
      </c>
      <c r="G42" s="111" t="s">
        <v>299</v>
      </c>
      <c r="H42" s="111"/>
      <c r="I42" s="111"/>
      <c r="J42" s="111"/>
      <c r="K42" s="111"/>
      <c r="L42" s="281"/>
      <c r="M42" s="111"/>
      <c r="N42" s="111"/>
      <c r="O42" s="111"/>
    </row>
    <row r="43" spans="1:17" ht="16" x14ac:dyDescent="0.2">
      <c r="A43" s="109"/>
      <c r="B43" s="111"/>
      <c r="C43" s="281"/>
      <c r="D43" s="111"/>
      <c r="E43" s="111" t="s">
        <v>73</v>
      </c>
      <c r="F43" s="353" t="e">
        <f>G16*G6*G8</f>
        <v>#DIV/0!</v>
      </c>
      <c r="G43" s="111" t="s">
        <v>312</v>
      </c>
      <c r="H43" s="111"/>
      <c r="I43" s="111"/>
      <c r="J43" s="111"/>
      <c r="K43" s="111"/>
      <c r="L43" s="281"/>
      <c r="M43" s="111"/>
      <c r="N43" s="111"/>
      <c r="O43" s="111"/>
    </row>
    <row r="44" spans="1:17" ht="16" x14ac:dyDescent="0.2">
      <c r="A44" s="109"/>
      <c r="B44" s="111"/>
      <c r="C44" s="281"/>
      <c r="D44" s="111"/>
      <c r="E44" s="112" t="s">
        <v>73</v>
      </c>
      <c r="F44" s="353" t="e">
        <f>G16*G6*G8*G10/1000</f>
        <v>#DIV/0!</v>
      </c>
      <c r="G44" s="111" t="s">
        <v>299</v>
      </c>
      <c r="H44" s="111"/>
      <c r="I44" s="111"/>
      <c r="J44" s="111"/>
      <c r="K44" s="111"/>
      <c r="L44" s="281"/>
      <c r="M44" s="111"/>
      <c r="N44" s="111" t="s">
        <v>313</v>
      </c>
      <c r="O44" s="111"/>
    </row>
    <row r="45" spans="1:17" ht="16" x14ac:dyDescent="0.2">
      <c r="A45" s="109"/>
      <c r="B45" s="111"/>
      <c r="C45" s="281"/>
      <c r="D45" s="111"/>
      <c r="E45" s="111"/>
      <c r="F45" s="281"/>
      <c r="G45" s="111"/>
      <c r="H45" s="111" t="s">
        <v>57</v>
      </c>
      <c r="I45" s="351" t="e">
        <f>G17*G6*G8</f>
        <v>#DIV/0!</v>
      </c>
      <c r="J45" s="111" t="s">
        <v>312</v>
      </c>
      <c r="K45" s="111"/>
      <c r="L45" s="281"/>
      <c r="M45" s="111"/>
      <c r="N45" s="111" t="s">
        <v>314</v>
      </c>
      <c r="O45" s="111"/>
    </row>
    <row r="46" spans="1:17" ht="16" x14ac:dyDescent="0.2">
      <c r="A46" s="109"/>
      <c r="B46" s="111"/>
      <c r="C46" s="281"/>
      <c r="D46" s="111"/>
      <c r="E46" s="111"/>
      <c r="F46" s="281"/>
      <c r="G46" s="111"/>
      <c r="H46" s="111"/>
      <c r="I46" s="111"/>
      <c r="J46" s="111"/>
      <c r="K46" s="111" t="s">
        <v>289</v>
      </c>
      <c r="L46" s="281" t="e">
        <f>'R1_Hydro_MEFA'!B11</f>
        <v>#DIV/0!</v>
      </c>
      <c r="M46" s="111" t="s">
        <v>299</v>
      </c>
      <c r="N46" s="111" t="s">
        <v>315</v>
      </c>
      <c r="O46" s="111"/>
    </row>
    <row r="47" spans="1:17" ht="16" x14ac:dyDescent="0.2">
      <c r="A47" s="109"/>
      <c r="B47" s="111"/>
      <c r="C47" s="281"/>
      <c r="D47" s="111"/>
      <c r="E47" s="111"/>
      <c r="F47" s="281"/>
      <c r="G47" s="111"/>
      <c r="H47" s="111"/>
      <c r="I47" s="111"/>
      <c r="J47" s="111"/>
      <c r="K47" s="111" t="s">
        <v>107</v>
      </c>
      <c r="L47" s="281" t="e">
        <f>'R1_Hydro_MEFA'!T120</f>
        <v>#DIV/0!</v>
      </c>
      <c r="M47" s="111" t="s">
        <v>299</v>
      </c>
      <c r="N47" s="111" t="s">
        <v>316</v>
      </c>
      <c r="O47" s="111"/>
    </row>
    <row r="48" spans="1:17" ht="32" x14ac:dyDescent="0.2">
      <c r="A48" s="109"/>
      <c r="B48" s="111"/>
      <c r="C48" s="281"/>
      <c r="D48" s="111"/>
      <c r="E48" s="111"/>
      <c r="F48" s="111"/>
      <c r="G48" s="111"/>
      <c r="H48" s="111"/>
      <c r="I48" s="111"/>
      <c r="J48" s="111"/>
      <c r="K48" s="111" t="s">
        <v>290</v>
      </c>
      <c r="L48" s="281" t="e">
        <f>G7*G20/100</f>
        <v>#DIV/0!</v>
      </c>
      <c r="M48" s="111" t="s">
        <v>299</v>
      </c>
      <c r="N48" s="111" t="s">
        <v>317</v>
      </c>
      <c r="O48" s="111"/>
    </row>
    <row r="49" spans="1:15" ht="42" customHeight="1" x14ac:dyDescent="0.2">
      <c r="A49" s="114"/>
      <c r="B49" s="94"/>
      <c r="C49" s="354"/>
      <c r="D49" s="94"/>
      <c r="E49" s="94"/>
      <c r="F49" s="94"/>
      <c r="G49" s="94"/>
      <c r="H49" s="94"/>
      <c r="I49" s="94"/>
      <c r="J49" s="94"/>
      <c r="K49" s="94" t="s">
        <v>318</v>
      </c>
      <c r="L49" s="354" t="e">
        <f>G7-SUM(L46:L48)</f>
        <v>#DIV/0!</v>
      </c>
      <c r="M49" s="94" t="s">
        <v>299</v>
      </c>
      <c r="N49" s="94" t="s">
        <v>319</v>
      </c>
      <c r="O49" s="111"/>
    </row>
    <row r="50" spans="1:15" ht="16" x14ac:dyDescent="0.2">
      <c r="A50" s="109" t="s">
        <v>197</v>
      </c>
      <c r="B50" s="109" t="s">
        <v>320</v>
      </c>
      <c r="C50" s="344" t="e">
        <f>L49/O50</f>
        <v>#DIV/0!</v>
      </c>
      <c r="D50" s="111" t="s">
        <v>312</v>
      </c>
      <c r="E50" s="111"/>
      <c r="F50" s="111"/>
      <c r="G50" s="111"/>
      <c r="H50" s="111"/>
      <c r="I50" s="111"/>
      <c r="J50" s="111"/>
      <c r="K50" s="109"/>
      <c r="L50" s="281"/>
      <c r="M50" s="111"/>
      <c r="N50" s="111" t="s">
        <v>321</v>
      </c>
      <c r="O50" s="806">
        <v>1.98E-3</v>
      </c>
    </row>
    <row r="51" spans="1:15" ht="16" x14ac:dyDescent="0.2">
      <c r="A51" s="109"/>
      <c r="B51" s="109"/>
      <c r="C51" s="281"/>
      <c r="D51" s="111"/>
      <c r="E51" s="111"/>
      <c r="F51" s="111"/>
      <c r="G51" s="111"/>
      <c r="H51" s="111" t="s">
        <v>52</v>
      </c>
      <c r="I51" s="281" t="e">
        <f>Energy!O11</f>
        <v>#DIV/0!</v>
      </c>
      <c r="J51" s="111" t="s">
        <v>233</v>
      </c>
      <c r="K51" s="109"/>
      <c r="L51" s="281"/>
      <c r="M51" s="111"/>
      <c r="N51" s="111"/>
      <c r="O51" s="111"/>
    </row>
    <row r="52" spans="1:15" ht="16" x14ac:dyDescent="0.2">
      <c r="A52" s="109"/>
      <c r="B52" s="109"/>
      <c r="C52" s="281"/>
      <c r="D52" s="111"/>
      <c r="E52" s="111"/>
      <c r="F52" s="111"/>
      <c r="G52" s="111"/>
      <c r="H52" s="111"/>
      <c r="I52" s="111"/>
      <c r="J52" s="111"/>
      <c r="K52" s="109" t="s">
        <v>320</v>
      </c>
      <c r="L52" s="281" t="e">
        <f>C50</f>
        <v>#DIV/0!</v>
      </c>
      <c r="M52" s="111" t="s">
        <v>312</v>
      </c>
      <c r="N52" s="111"/>
      <c r="O52" s="94"/>
    </row>
    <row r="53" spans="1:15" ht="16" x14ac:dyDescent="0.2">
      <c r="A53" s="107" t="s">
        <v>322</v>
      </c>
      <c r="B53" s="107"/>
      <c r="C53" s="347"/>
      <c r="D53" s="87"/>
      <c r="E53" s="87"/>
      <c r="F53" s="87"/>
      <c r="G53" s="87"/>
      <c r="H53" s="87"/>
      <c r="I53" s="87"/>
      <c r="J53" s="87"/>
      <c r="K53" s="107"/>
      <c r="L53" s="347"/>
      <c r="M53" s="87"/>
      <c r="N53" s="87"/>
      <c r="O53" s="111"/>
    </row>
    <row r="54" spans="1:15" ht="16" x14ac:dyDescent="0.2">
      <c r="A54" s="109"/>
      <c r="B54" s="109" t="s">
        <v>289</v>
      </c>
      <c r="C54" s="281" t="e">
        <f>L46</f>
        <v>#DIV/0!</v>
      </c>
      <c r="D54" s="111" t="s">
        <v>299</v>
      </c>
      <c r="E54" s="111"/>
      <c r="F54" s="111"/>
      <c r="G54" s="111"/>
      <c r="H54" s="111"/>
      <c r="I54" s="111"/>
      <c r="J54" s="111"/>
      <c r="K54" s="109"/>
      <c r="L54" s="281"/>
      <c r="M54" s="111"/>
      <c r="N54" s="111"/>
      <c r="O54" s="111"/>
    </row>
    <row r="55" spans="1:15" ht="16" x14ac:dyDescent="0.2">
      <c r="A55" s="109"/>
      <c r="B55" s="109"/>
      <c r="C55" s="281"/>
      <c r="D55" s="111"/>
      <c r="E55" s="111"/>
      <c r="F55" s="111"/>
      <c r="G55" s="111"/>
      <c r="H55" s="111" t="s">
        <v>52</v>
      </c>
      <c r="I55" s="344" t="e">
        <f>Energy!O12</f>
        <v>#DIV/0!</v>
      </c>
      <c r="J55" s="111" t="s">
        <v>233</v>
      </c>
      <c r="K55" s="109"/>
      <c r="L55" s="281"/>
      <c r="M55" s="111"/>
      <c r="N55" s="111"/>
      <c r="O55" s="111"/>
    </row>
    <row r="56" spans="1:15" ht="16" x14ac:dyDescent="0.2">
      <c r="A56" s="109"/>
      <c r="B56" s="109"/>
      <c r="C56" s="281"/>
      <c r="D56" s="111"/>
      <c r="E56" s="111"/>
      <c r="F56" s="111"/>
      <c r="G56" s="111"/>
      <c r="H56" s="111"/>
      <c r="I56" s="111"/>
      <c r="J56" s="111"/>
      <c r="K56" s="109" t="s">
        <v>289</v>
      </c>
      <c r="L56" s="281" t="e">
        <f>C54</f>
        <v>#DIV/0!</v>
      </c>
      <c r="M56" s="111" t="s">
        <v>299</v>
      </c>
      <c r="N56" s="111"/>
      <c r="O56" s="111"/>
    </row>
    <row r="57" spans="1:15" x14ac:dyDescent="0.2">
      <c r="A57" s="114"/>
      <c r="B57" s="114"/>
      <c r="C57" s="354"/>
      <c r="D57" s="94"/>
      <c r="E57" s="94"/>
      <c r="F57" s="94"/>
      <c r="G57" s="94"/>
      <c r="H57" s="94"/>
      <c r="I57" s="94"/>
      <c r="J57" s="94"/>
      <c r="K57" s="114"/>
      <c r="L57" s="354"/>
      <c r="M57" s="94"/>
      <c r="N57" s="94"/>
      <c r="O57" s="111"/>
    </row>
    <row r="58" spans="1:15" ht="16" x14ac:dyDescent="0.2">
      <c r="A58" s="109" t="s">
        <v>323</v>
      </c>
      <c r="B58" s="109"/>
      <c r="C58" s="281"/>
      <c r="D58" s="111"/>
      <c r="E58" s="111"/>
      <c r="F58" s="111"/>
      <c r="G58" s="111"/>
      <c r="H58" s="111"/>
      <c r="I58" s="111"/>
      <c r="J58" s="111"/>
      <c r="K58" s="109"/>
      <c r="L58" s="281"/>
      <c r="M58" s="111"/>
      <c r="N58" s="111"/>
      <c r="O58" s="87"/>
    </row>
    <row r="59" spans="1:15" ht="16" x14ac:dyDescent="0.2">
      <c r="A59" s="109"/>
      <c r="B59" s="109" t="s">
        <v>107</v>
      </c>
      <c r="C59" s="281" t="e">
        <f>L47</f>
        <v>#DIV/0!</v>
      </c>
      <c r="D59" s="111" t="s">
        <v>299</v>
      </c>
      <c r="E59" s="111"/>
      <c r="F59" s="111"/>
      <c r="G59" s="111"/>
      <c r="H59" s="111"/>
      <c r="I59" s="111"/>
      <c r="J59" s="111"/>
      <c r="K59" s="109"/>
      <c r="L59" s="281"/>
      <c r="M59" s="111"/>
      <c r="N59" s="111"/>
      <c r="O59" s="111"/>
    </row>
    <row r="60" spans="1:15" ht="16" x14ac:dyDescent="0.2">
      <c r="A60" s="109"/>
      <c r="B60" s="109"/>
      <c r="C60" s="281"/>
      <c r="D60" s="111"/>
      <c r="E60" s="111"/>
      <c r="F60" s="111"/>
      <c r="G60" s="111"/>
      <c r="H60" s="111" t="s">
        <v>52</v>
      </c>
      <c r="I60" s="281" t="e">
        <f>IF(Macro!D10=TRUE,Energy!O13,0)</f>
        <v>#DIV/0!</v>
      </c>
      <c r="J60" s="111" t="s">
        <v>233</v>
      </c>
      <c r="K60" s="109"/>
      <c r="L60" s="281"/>
      <c r="M60" s="111"/>
      <c r="N60" s="111"/>
      <c r="O60" s="111"/>
    </row>
    <row r="61" spans="1:15" ht="16" x14ac:dyDescent="0.2">
      <c r="A61" s="109"/>
      <c r="B61" s="109"/>
      <c r="C61" s="281"/>
      <c r="D61" s="111"/>
      <c r="E61" s="111"/>
      <c r="F61" s="111"/>
      <c r="G61" s="111"/>
      <c r="H61" s="111"/>
      <c r="I61" s="111"/>
      <c r="J61" s="111"/>
      <c r="K61" s="109" t="s">
        <v>107</v>
      </c>
      <c r="L61" s="281" t="e">
        <f>C59</f>
        <v>#DIV/0!</v>
      </c>
      <c r="M61" s="111" t="s">
        <v>299</v>
      </c>
      <c r="N61" s="111"/>
      <c r="O61" s="111"/>
    </row>
    <row r="62" spans="1:15" x14ac:dyDescent="0.2">
      <c r="A62" s="114"/>
      <c r="B62" s="114"/>
      <c r="C62" s="94"/>
      <c r="D62" s="94"/>
      <c r="E62" s="94"/>
      <c r="F62" s="94"/>
      <c r="G62" s="94"/>
      <c r="H62" s="94"/>
      <c r="I62" s="94"/>
      <c r="J62" s="94"/>
      <c r="K62" s="114"/>
      <c r="L62" s="94"/>
      <c r="M62" s="94"/>
      <c r="N62" s="94"/>
      <c r="O62" s="94"/>
    </row>
    <row r="64" spans="1:15" x14ac:dyDescent="0.2">
      <c r="A64" s="97" t="s">
        <v>324</v>
      </c>
      <c r="C64" s="348"/>
      <c r="L64" s="348"/>
    </row>
    <row r="65" spans="1:15" ht="16" x14ac:dyDescent="0.2">
      <c r="A65" s="98" t="s">
        <v>292</v>
      </c>
      <c r="B65" s="99" t="s">
        <v>13</v>
      </c>
      <c r="C65" s="363" t="s">
        <v>262</v>
      </c>
      <c r="D65" s="99" t="s">
        <v>263</v>
      </c>
      <c r="E65" s="100" t="s">
        <v>293</v>
      </c>
      <c r="F65" s="100" t="s">
        <v>262</v>
      </c>
      <c r="G65" s="101" t="s">
        <v>263</v>
      </c>
      <c r="H65" s="102" t="s">
        <v>294</v>
      </c>
      <c r="I65" s="102" t="s">
        <v>262</v>
      </c>
      <c r="J65" s="102" t="s">
        <v>263</v>
      </c>
      <c r="K65" s="103" t="s">
        <v>295</v>
      </c>
      <c r="L65" s="349" t="s">
        <v>262</v>
      </c>
      <c r="M65" s="104" t="s">
        <v>263</v>
      </c>
      <c r="N65" s="368"/>
      <c r="O65" s="369"/>
    </row>
    <row r="66" spans="1:15" ht="16" x14ac:dyDescent="0.2">
      <c r="A66" s="87"/>
      <c r="B66" s="87" t="str">
        <f>B25</f>
        <v>C-BEV-System</v>
      </c>
      <c r="C66" s="364">
        <f>C25</f>
        <v>25000</v>
      </c>
      <c r="D66" s="87" t="str">
        <f>D25</f>
        <v>t</v>
      </c>
      <c r="E66" s="87" t="str">
        <f>E41</f>
        <v>Limestone (CaO)</v>
      </c>
      <c r="F66" s="366" t="e">
        <f>F41</f>
        <v>#DIV/0!</v>
      </c>
      <c r="G66" s="87" t="s">
        <v>299</v>
      </c>
      <c r="H66" s="87" t="str">
        <f>H45</f>
        <v>Natural gas (CH4)</v>
      </c>
      <c r="I66" s="365" t="e">
        <f>I45</f>
        <v>#DIV/0!</v>
      </c>
      <c r="J66" s="87" t="str">
        <f t="shared" ref="J66" si="0">J45</f>
        <v>m³</v>
      </c>
      <c r="K66" s="87" t="str">
        <f>K26</f>
        <v>Electricity</v>
      </c>
      <c r="L66" s="366" t="e">
        <f t="shared" ref="L66" si="1">L26</f>
        <v>#DIV/0!</v>
      </c>
      <c r="M66" s="87" t="s">
        <v>233</v>
      </c>
      <c r="N66" s="371"/>
      <c r="O66" s="370"/>
    </row>
    <row r="67" spans="1:15" ht="16" x14ac:dyDescent="0.2">
      <c r="A67" s="111"/>
      <c r="B67" s="111"/>
      <c r="C67" s="281"/>
      <c r="D67" s="111"/>
      <c r="E67" s="111" t="str">
        <f>E42</f>
        <v>Sand (SiO2)</v>
      </c>
      <c r="F67" s="367" t="e">
        <f>F42</f>
        <v>#DIV/0!</v>
      </c>
      <c r="G67" s="111" t="s">
        <v>299</v>
      </c>
      <c r="H67" s="111" t="str">
        <f>H55</f>
        <v>Electricity</v>
      </c>
      <c r="I67" s="351" t="e">
        <f>I51+I55+I60+SUMIF('R1_Hydro_MEFA'!H:H,'R1_MEFA'!H67,'R1_Hydro_MEFA'!I:I)</f>
        <v>#DIV/0!</v>
      </c>
      <c r="J67" s="111" t="str">
        <f>J55</f>
        <v>kWh</v>
      </c>
      <c r="K67" s="111" t="s">
        <v>104</v>
      </c>
      <c r="L67" s="367" t="e">
        <f>L30</f>
        <v>#DIV/0!</v>
      </c>
      <c r="M67" s="281" t="s">
        <v>299</v>
      </c>
      <c r="N67" s="373"/>
      <c r="O67" s="372"/>
    </row>
    <row r="68" spans="1:15" ht="16" x14ac:dyDescent="0.2">
      <c r="A68" s="111"/>
      <c r="B68" s="111"/>
      <c r="C68" s="281"/>
      <c r="D68" s="111"/>
      <c r="E68" s="111" t="str">
        <f>E44</f>
        <v>Oxygen</v>
      </c>
      <c r="F68" s="367" t="e">
        <f t="shared" ref="F68" si="2">F44</f>
        <v>#DIV/0!</v>
      </c>
      <c r="G68" s="111" t="s">
        <v>299</v>
      </c>
      <c r="H68" s="111"/>
      <c r="I68" s="351"/>
      <c r="J68" s="111"/>
      <c r="K68" s="111" t="str">
        <f>K31</f>
        <v>Steel</v>
      </c>
      <c r="L68" s="367" t="e">
        <f t="shared" ref="L68" si="3">L31</f>
        <v>#DIV/0!</v>
      </c>
      <c r="M68" s="281" t="s">
        <v>299</v>
      </c>
      <c r="N68" s="373"/>
      <c r="O68" s="372"/>
    </row>
    <row r="69" spans="1:15" ht="16" x14ac:dyDescent="0.2">
      <c r="A69" s="111"/>
      <c r="B69" s="111"/>
      <c r="C69" s="281"/>
      <c r="D69" s="111"/>
      <c r="E69" s="111" t="s">
        <v>74</v>
      </c>
      <c r="F69" s="367" t="e">
        <f>SUMIF('R1_Hydro_MEFA'!E:E,'R1_MEFA'!E69,'R1_Hydro_MEFA'!F:F)</f>
        <v>#DIV/0!</v>
      </c>
      <c r="G69" s="111" t="s">
        <v>299</v>
      </c>
      <c r="H69" s="111"/>
      <c r="I69" s="111"/>
      <c r="J69" s="111"/>
      <c r="K69" s="111" t="s">
        <v>105</v>
      </c>
      <c r="L69" s="367" t="e">
        <f>L32+'R1_Hydro_MEFA'!L38</f>
        <v>#DIV/0!</v>
      </c>
      <c r="M69" s="281" t="s">
        <v>299</v>
      </c>
      <c r="N69" s="373"/>
      <c r="O69" s="372"/>
    </row>
    <row r="70" spans="1:15" ht="16" x14ac:dyDescent="0.2">
      <c r="A70" s="111"/>
      <c r="B70" s="111"/>
      <c r="C70" s="281"/>
      <c r="D70" s="111"/>
      <c r="E70" s="111" t="s">
        <v>226</v>
      </c>
      <c r="F70" s="367" t="e">
        <f>SUMIF('R1_Hydro_MEFA'!E:E,'R1_MEFA'!E70,'R1_Hydro_MEFA'!F:F)</f>
        <v>#DIV/0!</v>
      </c>
      <c r="G70" s="111" t="s">
        <v>299</v>
      </c>
      <c r="H70" s="111"/>
      <c r="I70" s="111"/>
      <c r="J70" s="111"/>
      <c r="K70" s="111" t="s">
        <v>56</v>
      </c>
      <c r="L70" s="367" t="e">
        <f>L33</f>
        <v>#DIV/0!</v>
      </c>
      <c r="M70" s="281" t="s">
        <v>299</v>
      </c>
      <c r="N70" s="373"/>
      <c r="O70" s="372"/>
    </row>
    <row r="71" spans="1:15" ht="16" x14ac:dyDescent="0.2">
      <c r="A71" s="111"/>
      <c r="B71" s="111"/>
      <c r="C71" s="281"/>
      <c r="D71" s="111"/>
      <c r="E71" s="111" t="s">
        <v>49</v>
      </c>
      <c r="F71" s="367" t="e">
        <f>SUMIF('R1_Hydro_MEFA'!E:E,'R1_MEFA'!E71,'R1_Hydro_MEFA'!F:F)</f>
        <v>#DIV/0!</v>
      </c>
      <c r="G71" s="111" t="s">
        <v>299</v>
      </c>
      <c r="H71" s="111"/>
      <c r="I71" s="111"/>
      <c r="J71" s="111"/>
      <c r="K71" s="111" t="s">
        <v>60</v>
      </c>
      <c r="L71" s="367" t="e">
        <f>L34</f>
        <v>#DIV/0!</v>
      </c>
      <c r="M71" s="281" t="s">
        <v>299</v>
      </c>
      <c r="N71" s="373"/>
      <c r="O71" s="372"/>
    </row>
    <row r="72" spans="1:15" ht="16" x14ac:dyDescent="0.2">
      <c r="A72" s="111"/>
      <c r="B72" s="111"/>
      <c r="C72" s="281"/>
      <c r="D72" s="111"/>
      <c r="E72" s="111" t="s">
        <v>78</v>
      </c>
      <c r="F72" s="367" t="e">
        <f>SUMIF('R1_Hydro_MEFA'!E:E,'R1_MEFA'!E72,'R1_Hydro_MEFA'!F:F)</f>
        <v>#DIV/0!</v>
      </c>
      <c r="G72" s="111" t="s">
        <v>299</v>
      </c>
      <c r="H72" s="111"/>
      <c r="I72" s="111"/>
      <c r="J72" s="111"/>
      <c r="K72" s="111" t="s">
        <v>19</v>
      </c>
      <c r="L72" s="367" t="e">
        <f>L35+L36</f>
        <v>#DIV/0!</v>
      </c>
      <c r="M72" s="281" t="s">
        <v>299</v>
      </c>
      <c r="N72" s="373"/>
      <c r="O72" s="372"/>
    </row>
    <row r="73" spans="1:15" ht="16" x14ac:dyDescent="0.2">
      <c r="A73" s="111"/>
      <c r="B73" s="111"/>
      <c r="C73" s="281"/>
      <c r="D73" s="111"/>
      <c r="E73" s="111" t="s">
        <v>70</v>
      </c>
      <c r="F73" s="367" t="e">
        <f>SUMIF('R1_Hydro_MEFA'!E:E,'R1_MEFA'!E73,'R1_Hydro_MEFA'!F:F)</f>
        <v>#DIV/0!</v>
      </c>
      <c r="G73" s="111" t="s">
        <v>299</v>
      </c>
      <c r="H73" s="111"/>
      <c r="I73" s="111"/>
      <c r="J73" s="111"/>
      <c r="K73" s="111" t="s">
        <v>50</v>
      </c>
      <c r="L73" s="367" t="e">
        <f>SUMIF('R1_Hydro_MEFA'!$K$13:$K$252,'R1_MEFA'!K73,'R1_Hydro_MEFA'!$L$13:$L$252)</f>
        <v>#DIV/0!</v>
      </c>
      <c r="M73" s="281" t="s">
        <v>299</v>
      </c>
      <c r="N73" s="790"/>
      <c r="O73" s="372"/>
    </row>
    <row r="74" spans="1:15" ht="16" x14ac:dyDescent="0.2">
      <c r="A74" s="111"/>
      <c r="B74" s="111"/>
      <c r="C74" s="281"/>
      <c r="D74" s="111"/>
      <c r="E74" s="111" t="s">
        <v>63</v>
      </c>
      <c r="F74" s="690" t="e">
        <f>SUMIF('R1_Hydro_MEFA'!E:E,'R1_MEFA'!E74,'R1_Hydro_MEFA'!F:F)</f>
        <v>#DIV/0!</v>
      </c>
      <c r="G74" s="111" t="s">
        <v>299</v>
      </c>
      <c r="H74" s="111"/>
      <c r="I74" s="111"/>
      <c r="J74" s="111"/>
      <c r="K74" s="111" t="s">
        <v>63</v>
      </c>
      <c r="L74" s="367" t="e">
        <f>SUMIF('R1_Hydro_MEFA'!$K$13:$K$252,'R1_MEFA'!K74,'R1_Hydro_MEFA'!$L$13:$L$252)</f>
        <v>#DIV/0!</v>
      </c>
      <c r="M74" s="281" t="s">
        <v>299</v>
      </c>
      <c r="N74" s="791" t="s">
        <v>325</v>
      </c>
      <c r="O74" s="372"/>
    </row>
    <row r="75" spans="1:15" ht="16" x14ac:dyDescent="0.2">
      <c r="A75" s="111"/>
      <c r="B75" s="111"/>
      <c r="C75" s="281"/>
      <c r="D75" s="111"/>
      <c r="E75" s="111" t="s">
        <v>326</v>
      </c>
      <c r="F75" s="690" t="e">
        <f>SUMIF('R1_Hydro_MEFA'!E:E,"Cyanex 272 compensation loss",'R1_Hydro_MEFA'!F:F)+SUMIF('R1_Hydro_MEFA'!E:E,"Cyanex 272 (Circulation)",'R1_Hydro_MEFA'!F:F)</f>
        <v>#DIV/0!</v>
      </c>
      <c r="G75" s="111" t="s">
        <v>299</v>
      </c>
      <c r="H75" s="111"/>
      <c r="I75" s="111"/>
      <c r="J75" s="111"/>
      <c r="K75" s="111" t="s">
        <v>41</v>
      </c>
      <c r="L75" s="367" t="e">
        <f>SUMIF('R1_Hydro_MEFA'!$K$13:$K$252,'R1_MEFA'!K75,'R1_Hydro_MEFA'!$L$13:$L$252)</f>
        <v>#DIV/0!</v>
      </c>
      <c r="M75" s="281" t="s">
        <v>299</v>
      </c>
      <c r="N75" s="791" t="s">
        <v>325</v>
      </c>
      <c r="O75" s="372"/>
    </row>
    <row r="76" spans="1:15" ht="18" x14ac:dyDescent="0.2">
      <c r="A76" s="111"/>
      <c r="B76" s="111"/>
      <c r="C76" s="281"/>
      <c r="D76" s="111"/>
      <c r="E76" s="111" t="s">
        <v>45</v>
      </c>
      <c r="F76" s="843" t="e">
        <f>SUMIF('R1_Hydro_MEFA'!E:E,"D2EHPA compensation loss p.a.)",'R1_Hydro_MEFA'!F:F)+SUMIF('R1_Hydro_MEFA'!E:E,"D2EHPA (Circulation)",'R1_Hydro_MEFA'!F:F)</f>
        <v>#DIV/0!</v>
      </c>
      <c r="G76" s="111" t="s">
        <v>299</v>
      </c>
      <c r="H76" s="111"/>
      <c r="I76" s="111"/>
      <c r="J76" s="111"/>
      <c r="K76" s="111" t="s">
        <v>162</v>
      </c>
      <c r="L76" s="367" t="e">
        <f>SUMIF('R1_Hydro_MEFA'!$K$13:$K$252,'R1_MEFA'!K76,'R1_Hydro_MEFA'!$L$13:$L$252)</f>
        <v>#DIV/0!</v>
      </c>
      <c r="M76" s="281" t="s">
        <v>299</v>
      </c>
      <c r="N76" s="791"/>
      <c r="O76" s="372"/>
    </row>
    <row r="77" spans="1:15" ht="18" x14ac:dyDescent="0.2">
      <c r="A77" s="111"/>
      <c r="B77" s="111"/>
      <c r="C77" s="281"/>
      <c r="D77" s="111"/>
      <c r="E77" s="111" t="s">
        <v>69</v>
      </c>
      <c r="F77" s="840" t="e">
        <f>SUMIF('R1_Hydro_MEFA'!E:E,'R1_MEFA'!E77,'R1_Hydro_MEFA'!F:F)</f>
        <v>#DIV/0!</v>
      </c>
      <c r="G77" s="111" t="s">
        <v>299</v>
      </c>
      <c r="H77" s="111"/>
      <c r="I77" s="111"/>
      <c r="J77" s="111"/>
      <c r="K77" s="111" t="s">
        <v>147</v>
      </c>
      <c r="L77" s="367" t="e">
        <f>SUMIF('R1_Hydro_MEFA'!$K$13:$K$252,'R1_MEFA'!K77,'R1_Hydro_MEFA'!$L$13:$L$252)</f>
        <v>#DIV/0!</v>
      </c>
      <c r="M77" s="281" t="s">
        <v>299</v>
      </c>
      <c r="N77" s="791"/>
      <c r="O77" s="372"/>
    </row>
    <row r="78" spans="1:15" ht="16" x14ac:dyDescent="0.2">
      <c r="A78" s="111"/>
      <c r="B78" s="111"/>
      <c r="C78" s="281"/>
      <c r="D78" s="111"/>
      <c r="E78" s="111" t="s">
        <v>327</v>
      </c>
      <c r="F78" s="840" t="e">
        <f>IF(F70*0.9&lt;L85,F70*0.1,F70-L85)</f>
        <v>#DIV/0!</v>
      </c>
      <c r="G78" s="111" t="s">
        <v>299</v>
      </c>
      <c r="H78" s="111"/>
      <c r="I78" s="111"/>
      <c r="J78" s="111"/>
      <c r="K78" s="111" t="s">
        <v>24</v>
      </c>
      <c r="L78" s="367" t="e">
        <f>SUMIF('R1_Hydro_MEFA'!$K$13:$K$252,'R1_MEFA'!K78,'R1_Hydro_MEFA'!$L$13:$L$252)</f>
        <v>#DIV/0!</v>
      </c>
      <c r="M78" s="281" t="s">
        <v>299</v>
      </c>
      <c r="N78" s="791" t="s">
        <v>328</v>
      </c>
      <c r="O78" s="372"/>
    </row>
    <row r="79" spans="1:15" ht="16" x14ac:dyDescent="0.2">
      <c r="A79" s="111"/>
      <c r="B79" s="111"/>
      <c r="C79" s="281"/>
      <c r="D79" s="111"/>
      <c r="E79" s="111"/>
      <c r="F79" s="840"/>
      <c r="G79" s="111"/>
      <c r="H79" s="111"/>
      <c r="I79" s="111"/>
      <c r="J79" s="111"/>
      <c r="K79" s="111" t="s">
        <v>33</v>
      </c>
      <c r="L79" s="367" t="e">
        <f>SUMIF('R1_Hydro_MEFA'!$K$13:$K$252,'R1_MEFA'!K79,'R1_Hydro_MEFA'!$L$13:$L$252)</f>
        <v>#DIV/0!</v>
      </c>
      <c r="M79" s="281" t="s">
        <v>299</v>
      </c>
      <c r="N79" s="792"/>
      <c r="O79" s="372"/>
    </row>
    <row r="80" spans="1:15" ht="16" x14ac:dyDescent="0.2">
      <c r="A80" s="111"/>
      <c r="B80" s="111"/>
      <c r="C80" s="281"/>
      <c r="D80" s="111"/>
      <c r="E80" s="111"/>
      <c r="F80" s="840"/>
      <c r="G80" s="111"/>
      <c r="H80" s="111"/>
      <c r="I80" s="111"/>
      <c r="J80" s="111"/>
      <c r="K80" s="111" t="s">
        <v>329</v>
      </c>
      <c r="L80" s="367" t="e">
        <f>SUMIF('R1_Hydro_MEFA'!$K$13:$K$252,'R1_MEFA'!K80,'R1_Hydro_MEFA'!$L$13:$L$252)</f>
        <v>#DIV/0!</v>
      </c>
      <c r="M80" s="281" t="s">
        <v>299</v>
      </c>
      <c r="N80" s="790"/>
      <c r="O80" s="372"/>
    </row>
    <row r="81" spans="1:15" ht="16" x14ac:dyDescent="0.2">
      <c r="A81" s="111"/>
      <c r="B81" s="111"/>
      <c r="C81" s="281"/>
      <c r="D81" s="111"/>
      <c r="E81" s="111"/>
      <c r="F81" s="840"/>
      <c r="G81" s="111"/>
      <c r="H81" s="111"/>
      <c r="I81" s="111"/>
      <c r="J81" s="111"/>
      <c r="K81" s="111" t="s">
        <v>32</v>
      </c>
      <c r="L81" s="367" t="e">
        <f>SUMIF('R1_Hydro_MEFA'!$K$13:$K$252,'R1_MEFA'!K81,'R1_Hydro_MEFA'!$L$13:$L$252)</f>
        <v>#DIV/0!</v>
      </c>
      <c r="M81" s="281" t="s">
        <v>299</v>
      </c>
      <c r="N81" s="790"/>
      <c r="O81" s="372"/>
    </row>
    <row r="82" spans="1:15" ht="16" x14ac:dyDescent="0.2">
      <c r="A82" s="111"/>
      <c r="B82" s="111"/>
      <c r="C82" s="281"/>
      <c r="D82" s="111"/>
      <c r="E82" s="111"/>
      <c r="F82" s="840"/>
      <c r="G82" s="111"/>
      <c r="H82" s="111"/>
      <c r="I82" s="111"/>
      <c r="J82" s="111"/>
      <c r="K82" s="111" t="s">
        <v>45</v>
      </c>
      <c r="L82" s="367" t="e">
        <f>SUMIF('R1_Hydro_MEFA'!$K$13:$K$252,'R1_MEFA'!K82,'R1_Hydro_MEFA'!$L$13:$L$252)</f>
        <v>#DIV/0!</v>
      </c>
      <c r="M82" s="281" t="s">
        <v>299</v>
      </c>
      <c r="N82" s="791" t="s">
        <v>325</v>
      </c>
      <c r="O82" s="372"/>
    </row>
    <row r="83" spans="1:15" ht="16" x14ac:dyDescent="0.2">
      <c r="A83" s="111"/>
      <c r="B83" s="111"/>
      <c r="C83" s="281"/>
      <c r="D83" s="111"/>
      <c r="E83" s="111"/>
      <c r="F83" s="844"/>
      <c r="G83" s="111"/>
      <c r="H83" s="111"/>
      <c r="I83" s="111"/>
      <c r="J83" s="111"/>
      <c r="K83" s="111" t="s">
        <v>68</v>
      </c>
      <c r="L83" s="367" t="e">
        <f>SUMIF('R1_Hydro_MEFA'!$K$13:$K$252,'R1_MEFA'!K83,'R1_Hydro_MEFA'!$L$13:$L$252)</f>
        <v>#DIV/0!</v>
      </c>
      <c r="M83" s="281" t="s">
        <v>299</v>
      </c>
      <c r="N83" s="790"/>
      <c r="O83" s="372"/>
    </row>
    <row r="84" spans="1:15" ht="16" x14ac:dyDescent="0.2">
      <c r="A84" s="111"/>
      <c r="B84" s="111"/>
      <c r="C84" s="281"/>
      <c r="D84" s="111"/>
      <c r="E84" s="111"/>
      <c r="F84" s="840"/>
      <c r="G84" s="111"/>
      <c r="H84" s="111"/>
      <c r="I84" s="111"/>
      <c r="J84" s="111"/>
      <c r="K84" s="111" t="s">
        <v>67</v>
      </c>
      <c r="L84" s="367" t="e">
        <f>SUMIF('R1_Hydro_MEFA'!$K$13:$K$252,'R1_MEFA'!K84,'R1_Hydro_MEFA'!$L$13:$L$252)</f>
        <v>#DIV/0!</v>
      </c>
      <c r="M84" s="281" t="s">
        <v>299</v>
      </c>
      <c r="N84" s="790"/>
      <c r="O84" s="372"/>
    </row>
    <row r="85" spans="1:15" ht="16" x14ac:dyDescent="0.2">
      <c r="A85" s="111"/>
      <c r="B85" s="111"/>
      <c r="C85" s="281"/>
      <c r="D85" s="111"/>
      <c r="E85" s="111"/>
      <c r="F85" s="840"/>
      <c r="G85" s="111"/>
      <c r="H85" s="111"/>
      <c r="I85" s="111"/>
      <c r="J85" s="111"/>
      <c r="K85" s="111" t="s">
        <v>226</v>
      </c>
      <c r="L85" s="367" t="e">
        <f>SUMIF('R1_Hydro_MEFA'!$K$13:$K$252,'R1_MEFA'!K85,'R1_Hydro_MEFA'!$L$13:$L$252)</f>
        <v>#DIV/0!</v>
      </c>
      <c r="M85" s="281" t="s">
        <v>299</v>
      </c>
      <c r="N85" s="790" t="s">
        <v>330</v>
      </c>
      <c r="O85" s="372"/>
    </row>
    <row r="86" spans="1:15" ht="16" x14ac:dyDescent="0.2">
      <c r="A86" s="111"/>
      <c r="B86" s="111"/>
      <c r="C86" s="281"/>
      <c r="D86" s="111"/>
      <c r="E86" s="111"/>
      <c r="F86" s="840"/>
      <c r="G86" s="111"/>
      <c r="H86" s="111"/>
      <c r="I86" s="111"/>
      <c r="J86" s="111"/>
      <c r="K86" s="111" t="s">
        <v>64</v>
      </c>
      <c r="L86" s="367">
        <f>SUMIF('R1_Hydro_MEFA'!$K$13:$K$252,'R1_MEFA'!K86,'R1_Hydro_MEFA'!$L$13:$L$252)</f>
        <v>0</v>
      </c>
      <c r="M86" s="281" t="s">
        <v>299</v>
      </c>
      <c r="N86" s="373"/>
      <c r="O86" s="372"/>
    </row>
    <row r="87" spans="1:15" ht="16" x14ac:dyDescent="0.2">
      <c r="A87" s="114"/>
      <c r="B87" s="114"/>
      <c r="C87" s="94"/>
      <c r="D87" s="94"/>
      <c r="E87" s="94"/>
      <c r="F87" s="94"/>
      <c r="G87" s="94"/>
      <c r="H87" s="94"/>
      <c r="I87" s="94"/>
      <c r="J87" s="94"/>
      <c r="K87" s="94" t="s">
        <v>331</v>
      </c>
      <c r="L87" s="734" t="e">
        <f>L85-F70+F78</f>
        <v>#DIV/0!</v>
      </c>
      <c r="M87" s="94" t="s">
        <v>299</v>
      </c>
      <c r="N87" s="94" t="s">
        <v>330</v>
      </c>
      <c r="O87" s="94"/>
    </row>
    <row r="90" spans="1:15" x14ac:dyDescent="0.2">
      <c r="K90" s="942"/>
    </row>
    <row r="91" spans="1:15" x14ac:dyDescent="0.2">
      <c r="F91" s="737"/>
      <c r="H91" s="738"/>
      <c r="L91" s="736"/>
    </row>
    <row r="92" spans="1:15" x14ac:dyDescent="0.2">
      <c r="F92" s="737"/>
      <c r="H92" s="738"/>
      <c r="L92" s="736"/>
    </row>
    <row r="93" spans="1:15" x14ac:dyDescent="0.2">
      <c r="F93" s="737"/>
      <c r="L93" s="736"/>
    </row>
    <row r="94" spans="1:15" x14ac:dyDescent="0.2">
      <c r="F94" s="737"/>
      <c r="L94" s="736"/>
    </row>
    <row r="95" spans="1:15" x14ac:dyDescent="0.2">
      <c r="F95" s="737"/>
      <c r="L95" s="736"/>
    </row>
    <row r="96" spans="1:15" x14ac:dyDescent="0.2">
      <c r="F96" s="737"/>
      <c r="L96" s="736"/>
    </row>
    <row r="97" spans="6:12" x14ac:dyDescent="0.2">
      <c r="F97" s="737"/>
      <c r="L97" s="736"/>
    </row>
    <row r="98" spans="6:12" x14ac:dyDescent="0.2">
      <c r="F98" s="737"/>
      <c r="L98" s="736"/>
    </row>
    <row r="99" spans="6:12" x14ac:dyDescent="0.2">
      <c r="F99" s="737"/>
      <c r="L99" s="736"/>
    </row>
    <row r="100" spans="6:12" x14ac:dyDescent="0.2">
      <c r="F100" s="737"/>
      <c r="L100" s="736"/>
    </row>
    <row r="101" spans="6:12" x14ac:dyDescent="0.2">
      <c r="F101" s="737"/>
      <c r="L101" s="736"/>
    </row>
    <row r="102" spans="6:12" x14ac:dyDescent="0.2">
      <c r="F102" s="737"/>
      <c r="L102" s="736"/>
    </row>
    <row r="103" spans="6:12" x14ac:dyDescent="0.2">
      <c r="F103" s="737"/>
      <c r="L103" s="736"/>
    </row>
    <row r="104" spans="6:12" x14ac:dyDescent="0.2">
      <c r="F104" s="737"/>
      <c r="L104" s="736"/>
    </row>
    <row r="105" spans="6:12" x14ac:dyDescent="0.2">
      <c r="L105" s="736"/>
    </row>
    <row r="106" spans="6:12" x14ac:dyDescent="0.2">
      <c r="L106" s="736"/>
    </row>
    <row r="107" spans="6:12" x14ac:dyDescent="0.2">
      <c r="L107" s="736"/>
    </row>
    <row r="108" spans="6:12" x14ac:dyDescent="0.2">
      <c r="L108" s="736"/>
    </row>
    <row r="109" spans="6:12" x14ac:dyDescent="0.2">
      <c r="L109" s="736"/>
    </row>
    <row r="110" spans="6:12" x14ac:dyDescent="0.2">
      <c r="L110" s="736"/>
    </row>
    <row r="111" spans="6:12" x14ac:dyDescent="0.2">
      <c r="L111" s="736"/>
    </row>
    <row r="112" spans="6:12" x14ac:dyDescent="0.2">
      <c r="L112" s="736"/>
    </row>
  </sheetData>
  <pageMargins left="0.7" right="0.7" top="0.78740157499999996" bottom="0.78740157499999996" header="0.3" footer="0.3"/>
  <pageSetup paperSize="9" orientation="portrait" horizontalDpi="1200" verticalDpi="120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0">
    <tabColor theme="0" tint="-0.499984740745262"/>
  </sheetPr>
  <dimension ref="A1:AC218"/>
  <sheetViews>
    <sheetView workbookViewId="0">
      <selection activeCell="E204" sqref="E204"/>
    </sheetView>
  </sheetViews>
  <sheetFormatPr baseColWidth="10" defaultColWidth="11.5" defaultRowHeight="15" x14ac:dyDescent="0.2"/>
  <cols>
    <col min="1" max="1" width="21" customWidth="1"/>
    <col min="2" max="2" width="14.33203125" bestFit="1" customWidth="1"/>
    <col min="3" max="3" width="11.83203125" bestFit="1" customWidth="1"/>
    <col min="4" max="4" width="8.33203125" customWidth="1"/>
    <col min="5" max="5" width="21.83203125" customWidth="1"/>
    <col min="6" max="6" width="11.83203125" bestFit="1" customWidth="1"/>
    <col min="7" max="7" width="11.5" customWidth="1"/>
    <col min="8" max="8" width="16.6640625" customWidth="1"/>
    <col min="9" max="9" width="14.5" customWidth="1"/>
    <col min="10" max="10" width="8.1640625" customWidth="1"/>
    <col min="11" max="11" width="19.83203125" customWidth="1"/>
    <col min="12" max="12" width="14.6640625" customWidth="1"/>
    <col min="13" max="13" width="7.33203125" customWidth="1"/>
    <col min="14" max="14" width="13" style="358" customWidth="1"/>
    <col min="15" max="15" width="16.5" style="358" customWidth="1"/>
    <col min="16" max="16" width="37.6640625" style="122" customWidth="1"/>
    <col min="17" max="17" width="11.33203125" style="123" customWidth="1"/>
    <col min="18" max="18" width="12.6640625" customWidth="1"/>
    <col min="19" max="19" width="26.33203125" customWidth="1"/>
    <col min="20" max="20" width="12.6640625" customWidth="1"/>
    <col min="21" max="21" width="15.6640625" customWidth="1"/>
    <col min="22" max="22" width="12.83203125" customWidth="1"/>
    <col min="23" max="23" width="12.6640625" customWidth="1"/>
    <col min="24" max="24" width="12.83203125" customWidth="1"/>
    <col min="25" max="25" width="15.1640625" customWidth="1"/>
    <col min="26" max="26" width="26.1640625" customWidth="1"/>
    <col min="27" max="27" width="14.6640625" customWidth="1"/>
    <col min="28" max="28" width="15.83203125" customWidth="1"/>
  </cols>
  <sheetData>
    <row r="1" spans="1:17" ht="21" x14ac:dyDescent="0.25">
      <c r="A1" s="189" t="s">
        <v>332</v>
      </c>
      <c r="B1" s="189"/>
    </row>
    <row r="2" spans="1:17" ht="21" x14ac:dyDescent="0.25">
      <c r="A2" s="189"/>
      <c r="B2" s="189"/>
    </row>
    <row r="3" spans="1:17" ht="16" x14ac:dyDescent="0.2">
      <c r="E3" s="700" t="s">
        <v>333</v>
      </c>
    </row>
    <row r="4" spans="1:17" s="126" customFormat="1" ht="32" x14ac:dyDescent="0.2">
      <c r="A4" s="125" t="s">
        <v>13</v>
      </c>
      <c r="B4" s="125" t="s">
        <v>262</v>
      </c>
      <c r="C4" s="125" t="s">
        <v>263</v>
      </c>
      <c r="E4" s="127" t="s">
        <v>334</v>
      </c>
      <c r="F4" s="125"/>
      <c r="G4" s="125" t="s">
        <v>335</v>
      </c>
      <c r="N4" s="501"/>
      <c r="O4" s="501"/>
      <c r="P4" s="128"/>
      <c r="Q4" s="129"/>
    </row>
    <row r="5" spans="1:17" x14ac:dyDescent="0.2">
      <c r="A5" s="124" t="s">
        <v>336</v>
      </c>
      <c r="B5" s="396">
        <f>IF(Macro!$D$8=1,2500,IF(Macro!$D$8=2,25000,75000))</f>
        <v>25000</v>
      </c>
      <c r="C5" s="124" t="s">
        <v>337</v>
      </c>
      <c r="D5" s="133"/>
      <c r="E5" s="124" t="s">
        <v>338</v>
      </c>
      <c r="F5" s="817">
        <v>0.3</v>
      </c>
      <c r="G5" s="134">
        <v>0.3</v>
      </c>
    </row>
    <row r="6" spans="1:17" x14ac:dyDescent="0.2">
      <c r="A6" s="124"/>
      <c r="B6" s="124"/>
      <c r="C6" s="124"/>
    </row>
    <row r="7" spans="1:17" x14ac:dyDescent="0.2">
      <c r="A7" s="124" t="s">
        <v>101</v>
      </c>
      <c r="B7" s="136" t="e">
        <f>B5*Battery!E10</f>
        <v>#DIV/0!</v>
      </c>
      <c r="C7" s="124" t="s">
        <v>337</v>
      </c>
      <c r="E7" s="122"/>
    </row>
    <row r="8" spans="1:17" x14ac:dyDescent="0.2">
      <c r="A8" s="124" t="s">
        <v>100</v>
      </c>
      <c r="B8" s="136" t="e">
        <f>B5*Battery!E11</f>
        <v>#DIV/0!</v>
      </c>
      <c r="C8" s="124" t="s">
        <v>337</v>
      </c>
      <c r="E8" s="105"/>
      <c r="F8" s="493"/>
      <c r="G8" s="71"/>
      <c r="H8" s="105"/>
      <c r="I8" s="105"/>
    </row>
    <row r="9" spans="1:17" ht="32" x14ac:dyDescent="0.2">
      <c r="A9" s="700" t="s">
        <v>339</v>
      </c>
      <c r="B9" s="136" t="e">
        <f>B5*Battery!E15+B5*Battery!E29</f>
        <v>#DIV/0!</v>
      </c>
      <c r="C9" s="124" t="s">
        <v>337</v>
      </c>
      <c r="E9" s="71"/>
      <c r="F9" s="466"/>
      <c r="G9" s="71"/>
      <c r="H9" s="71"/>
      <c r="I9" s="71"/>
    </row>
    <row r="10" spans="1:17" x14ac:dyDescent="0.2">
      <c r="A10" s="124" t="s">
        <v>49</v>
      </c>
      <c r="B10" s="148" t="e">
        <f>B5*SUM(Battery!E20+Battery!E26)*F5</f>
        <v>#DIV/0!</v>
      </c>
      <c r="C10" s="124" t="s">
        <v>337</v>
      </c>
      <c r="E10" s="71"/>
      <c r="F10" s="71"/>
      <c r="G10" s="71"/>
      <c r="H10" s="71"/>
      <c r="I10" s="71"/>
    </row>
    <row r="11" spans="1:17" x14ac:dyDescent="0.2">
      <c r="A11" s="125" t="s">
        <v>340</v>
      </c>
      <c r="B11" s="136" t="e">
        <f>SUM(B7:B10)</f>
        <v>#DIV/0!</v>
      </c>
      <c r="C11" s="124" t="s">
        <v>337</v>
      </c>
    </row>
    <row r="13" spans="1:17" ht="16" x14ac:dyDescent="0.2">
      <c r="A13" s="152" t="s">
        <v>292</v>
      </c>
      <c r="B13" s="99" t="s">
        <v>13</v>
      </c>
      <c r="C13" s="99" t="s">
        <v>262</v>
      </c>
      <c r="D13" s="99" t="s">
        <v>263</v>
      </c>
      <c r="E13" s="100" t="s">
        <v>293</v>
      </c>
      <c r="F13" s="100" t="s">
        <v>262</v>
      </c>
      <c r="G13" s="100" t="s">
        <v>263</v>
      </c>
      <c r="H13" s="102" t="s">
        <v>294</v>
      </c>
      <c r="I13" s="153" t="s">
        <v>262</v>
      </c>
      <c r="J13" s="153" t="s">
        <v>263</v>
      </c>
      <c r="K13" s="103" t="s">
        <v>341</v>
      </c>
      <c r="L13" s="154" t="s">
        <v>262</v>
      </c>
      <c r="M13" s="103" t="s">
        <v>263</v>
      </c>
      <c r="N13" s="520" t="s">
        <v>342</v>
      </c>
      <c r="O13" s="520" t="s">
        <v>343</v>
      </c>
      <c r="P13" s="98" t="s">
        <v>296</v>
      </c>
      <c r="Q13" s="155" t="s">
        <v>309</v>
      </c>
    </row>
    <row r="14" spans="1:17" s="126" customFormat="1" x14ac:dyDescent="0.2">
      <c r="A14" s="156" t="s">
        <v>216</v>
      </c>
      <c r="B14" s="156"/>
      <c r="C14" s="157"/>
      <c r="D14" s="157"/>
      <c r="E14" s="156"/>
      <c r="F14" s="156"/>
      <c r="G14" s="158"/>
      <c r="H14" s="156"/>
      <c r="I14" s="156"/>
      <c r="J14" s="156"/>
      <c r="K14" s="157"/>
      <c r="L14" s="159"/>
      <c r="M14" s="156"/>
      <c r="N14" s="502"/>
      <c r="O14" s="502"/>
      <c r="P14" s="160"/>
      <c r="Q14" s="161"/>
    </row>
    <row r="15" spans="1:17" ht="16" x14ac:dyDescent="0.2">
      <c r="A15" s="211" t="s">
        <v>344</v>
      </c>
      <c r="B15" s="133" t="s">
        <v>289</v>
      </c>
      <c r="C15" s="162" t="e">
        <f>B11</f>
        <v>#DIV/0!</v>
      </c>
      <c r="D15" s="163" t="s">
        <v>299</v>
      </c>
      <c r="E15" s="133"/>
      <c r="F15" s="133"/>
      <c r="G15" s="163"/>
      <c r="H15" s="133"/>
      <c r="I15" s="133"/>
      <c r="J15" s="133"/>
      <c r="K15" s="163"/>
      <c r="L15" s="133"/>
      <c r="M15" s="133"/>
      <c r="N15" s="503"/>
      <c r="O15" s="503"/>
      <c r="P15" s="164"/>
      <c r="Q15" s="165"/>
    </row>
    <row r="16" spans="1:17" ht="16" x14ac:dyDescent="0.2">
      <c r="A16" s="133" t="s">
        <v>345</v>
      </c>
      <c r="B16" s="133"/>
      <c r="C16" s="163"/>
      <c r="D16" s="163"/>
      <c r="E16" s="211" t="s">
        <v>74</v>
      </c>
      <c r="F16" s="167" t="e">
        <f>Stoichiometry!G12</f>
        <v>#DIV/0!</v>
      </c>
      <c r="G16" s="163" t="s">
        <v>299</v>
      </c>
      <c r="H16" s="133"/>
      <c r="I16" s="133"/>
      <c r="J16" s="133"/>
      <c r="K16" s="163"/>
      <c r="L16" s="133"/>
      <c r="M16" s="133"/>
      <c r="N16" s="503"/>
      <c r="O16" s="503"/>
      <c r="P16" s="164"/>
      <c r="Q16" s="165"/>
    </row>
    <row r="17" spans="1:17" ht="16" x14ac:dyDescent="0.2">
      <c r="A17" s="133"/>
      <c r="B17" s="133"/>
      <c r="C17" s="163"/>
      <c r="D17" s="163"/>
      <c r="E17" s="133"/>
      <c r="F17" s="167"/>
      <c r="G17" s="163"/>
      <c r="H17" s="133" t="s">
        <v>52</v>
      </c>
      <c r="I17" s="169" t="e">
        <f>Energy!O14</f>
        <v>#DIV/0!</v>
      </c>
      <c r="J17" s="133" t="s">
        <v>233</v>
      </c>
      <c r="K17" s="163"/>
      <c r="L17" s="133"/>
      <c r="M17" s="133"/>
      <c r="N17" s="503"/>
      <c r="O17" s="503"/>
      <c r="P17" s="164" t="s">
        <v>346</v>
      </c>
      <c r="Q17" s="165"/>
    </row>
    <row r="18" spans="1:17" ht="16" x14ac:dyDescent="0.2">
      <c r="A18" s="133"/>
      <c r="B18" s="169"/>
      <c r="C18" s="163"/>
      <c r="D18" s="163"/>
      <c r="E18" s="133"/>
      <c r="F18" s="133"/>
      <c r="G18" s="163"/>
      <c r="H18" s="133"/>
      <c r="I18" s="133"/>
      <c r="J18" s="133"/>
      <c r="K18" s="163" t="s">
        <v>347</v>
      </c>
      <c r="L18" s="169" t="e">
        <f>Stoichiometry!G19</f>
        <v>#DIV/0!</v>
      </c>
      <c r="M18" s="133" t="s">
        <v>299</v>
      </c>
      <c r="N18" s="503"/>
      <c r="O18" s="503"/>
      <c r="P18" s="164" t="s">
        <v>348</v>
      </c>
      <c r="Q18" s="165"/>
    </row>
    <row r="19" spans="1:17" x14ac:dyDescent="0.2">
      <c r="A19" s="133"/>
      <c r="B19" s="169"/>
      <c r="C19" s="163"/>
      <c r="D19" s="163"/>
      <c r="E19" s="133"/>
      <c r="F19" s="133"/>
      <c r="G19" s="163"/>
      <c r="H19" s="133"/>
      <c r="I19" s="133"/>
      <c r="J19" s="133"/>
      <c r="K19" s="163" t="s">
        <v>347</v>
      </c>
      <c r="L19" s="169" t="e">
        <f>L18/N19</f>
        <v>#DIV/0!</v>
      </c>
      <c r="M19" s="133" t="s">
        <v>312</v>
      </c>
      <c r="N19" s="504" t="e">
        <f>Stoichiometry!C19</f>
        <v>#DIV/0!</v>
      </c>
      <c r="O19" s="504"/>
      <c r="P19" s="164"/>
      <c r="Q19" s="192"/>
    </row>
    <row r="20" spans="1:17" x14ac:dyDescent="0.2">
      <c r="A20" s="133"/>
      <c r="B20" s="133"/>
      <c r="C20" s="163"/>
      <c r="D20" s="163"/>
      <c r="E20" s="133"/>
      <c r="F20" s="133"/>
      <c r="G20" s="163"/>
      <c r="H20" s="170"/>
      <c r="I20" s="170"/>
      <c r="J20" s="170"/>
      <c r="K20" s="146"/>
      <c r="L20" s="170"/>
      <c r="M20" s="170"/>
      <c r="N20" s="505"/>
      <c r="O20" s="505"/>
      <c r="P20" s="171"/>
      <c r="Q20" s="172"/>
    </row>
    <row r="21" spans="1:17" ht="16" x14ac:dyDescent="0.2">
      <c r="A21" s="777" t="s">
        <v>217</v>
      </c>
      <c r="B21" s="173"/>
      <c r="C21" s="174"/>
      <c r="D21" s="174"/>
      <c r="E21" s="173"/>
      <c r="F21" s="173"/>
      <c r="G21" s="174"/>
      <c r="H21" s="133"/>
      <c r="I21" s="133"/>
      <c r="J21" s="133"/>
      <c r="K21" s="163"/>
      <c r="L21" s="133"/>
      <c r="M21" s="133"/>
      <c r="N21" s="503"/>
      <c r="O21" s="503"/>
      <c r="P21" s="164"/>
      <c r="Q21" s="165"/>
    </row>
    <row r="22" spans="1:17" ht="16" x14ac:dyDescent="0.2">
      <c r="A22" s="211" t="s">
        <v>349</v>
      </c>
      <c r="B22" s="133" t="s">
        <v>347</v>
      </c>
      <c r="C22" s="162" t="e">
        <f>L18</f>
        <v>#DIV/0!</v>
      </c>
      <c r="D22" s="163" t="s">
        <v>299</v>
      </c>
      <c r="E22" s="133"/>
      <c r="F22" s="133"/>
      <c r="G22" s="163"/>
      <c r="H22" s="133"/>
      <c r="I22" s="133"/>
      <c r="J22" s="133"/>
      <c r="K22" s="163"/>
      <c r="L22" s="133"/>
      <c r="M22" s="133"/>
      <c r="N22" s="503"/>
      <c r="O22" s="503"/>
      <c r="P22" s="164"/>
      <c r="Q22" s="165"/>
    </row>
    <row r="23" spans="1:17" ht="15.5" customHeight="1" x14ac:dyDescent="0.2">
      <c r="A23" s="175"/>
      <c r="B23" s="176"/>
      <c r="C23" s="177"/>
      <c r="D23" s="177"/>
      <c r="E23" s="133" t="s">
        <v>226</v>
      </c>
      <c r="F23" s="178" t="e">
        <f>(Stoichiometry!G14/(Stoichiometry!J6/1000)+Stoichiometry!G15/(Stoichiometry!J5/1000)+Stoichiometry!G16/(Stoichiometry!J9/1000)+Stoichiometry!G17/(Stoichiometry!J10/1000))*Q23</f>
        <v>#DIV/0!</v>
      </c>
      <c r="G23" s="163" t="s">
        <v>299</v>
      </c>
      <c r="H23" s="133"/>
      <c r="I23" s="133"/>
      <c r="J23" s="133"/>
      <c r="K23" s="163"/>
      <c r="L23" s="133"/>
      <c r="M23" s="133"/>
      <c r="N23" s="503"/>
      <c r="O23" s="503"/>
      <c r="P23" s="179" t="s">
        <v>350</v>
      </c>
      <c r="Q23" s="818">
        <v>1.2</v>
      </c>
    </row>
    <row r="24" spans="1:17" ht="29.5" customHeight="1" x14ac:dyDescent="0.2">
      <c r="A24" s="175"/>
      <c r="B24" s="176"/>
      <c r="C24" s="177"/>
      <c r="D24" s="177"/>
      <c r="E24" s="133"/>
      <c r="F24" s="178"/>
      <c r="G24" s="163"/>
      <c r="H24" s="390" t="s">
        <v>52</v>
      </c>
      <c r="I24" s="472" t="e">
        <f>Energy!O15</f>
        <v>#DIV/0!</v>
      </c>
      <c r="J24" s="390" t="s">
        <v>233</v>
      </c>
      <c r="K24" s="163"/>
      <c r="L24" s="133"/>
      <c r="M24" s="133"/>
      <c r="N24" s="503"/>
      <c r="O24" s="503"/>
      <c r="P24" s="179"/>
      <c r="Q24" s="471"/>
    </row>
    <row r="25" spans="1:17" ht="15.5" customHeight="1" x14ac:dyDescent="0.2">
      <c r="A25" s="133"/>
      <c r="B25" s="133"/>
      <c r="C25" s="163"/>
      <c r="D25" s="163"/>
      <c r="E25" s="133"/>
      <c r="F25" s="133"/>
      <c r="G25" s="163"/>
      <c r="H25" s="133"/>
      <c r="I25" s="133"/>
      <c r="J25" s="133"/>
      <c r="K25" s="163" t="s">
        <v>351</v>
      </c>
      <c r="L25" s="169" t="e">
        <f>C22+F23</f>
        <v>#DIV/0!</v>
      </c>
      <c r="M25" s="133" t="s">
        <v>299</v>
      </c>
      <c r="N25" s="503"/>
      <c r="O25" s="503"/>
      <c r="P25" s="164"/>
      <c r="Q25" s="165"/>
    </row>
    <row r="26" spans="1:17" x14ac:dyDescent="0.2">
      <c r="A26" s="133"/>
      <c r="B26" s="133"/>
      <c r="C26" s="163"/>
      <c r="D26" s="163"/>
      <c r="E26" s="133"/>
      <c r="F26" s="133"/>
      <c r="G26" s="163"/>
      <c r="H26" s="133"/>
      <c r="I26" s="133"/>
      <c r="J26" s="133"/>
      <c r="K26" s="163" t="s">
        <v>351</v>
      </c>
      <c r="L26" s="169" t="e">
        <f>L25/N26</f>
        <v>#DIV/0!</v>
      </c>
      <c r="M26" s="133" t="s">
        <v>312</v>
      </c>
      <c r="N26" s="506" t="e">
        <f>C22*Stoichiometry!C19/L25+F23*1/L25</f>
        <v>#DIV/0!</v>
      </c>
      <c r="O26" s="506"/>
      <c r="P26" s="164"/>
      <c r="Q26" s="192"/>
    </row>
    <row r="27" spans="1:17" x14ac:dyDescent="0.2">
      <c r="A27" s="133"/>
      <c r="B27" s="133"/>
      <c r="C27" s="163"/>
      <c r="D27" s="163"/>
      <c r="E27" s="133"/>
      <c r="F27" s="133"/>
      <c r="G27" s="163"/>
      <c r="H27" s="170"/>
      <c r="I27" s="170"/>
      <c r="J27" s="170"/>
      <c r="K27" s="146"/>
      <c r="L27" s="170"/>
      <c r="M27" s="170"/>
      <c r="N27" s="505"/>
      <c r="O27" s="505"/>
      <c r="P27" s="171"/>
      <c r="Q27" s="172"/>
    </row>
    <row r="28" spans="1:17" ht="32" x14ac:dyDescent="0.2">
      <c r="A28" s="777" t="s">
        <v>352</v>
      </c>
      <c r="B28" s="173"/>
      <c r="C28" s="174"/>
      <c r="D28" s="174"/>
      <c r="E28" s="173"/>
      <c r="F28" s="173"/>
      <c r="G28" s="174"/>
      <c r="H28" s="133"/>
      <c r="I28" s="133"/>
      <c r="J28" s="133"/>
      <c r="K28" s="163"/>
      <c r="L28" s="133"/>
      <c r="M28" s="133"/>
      <c r="N28" s="503"/>
      <c r="O28" s="503"/>
      <c r="P28" s="164"/>
      <c r="Q28" s="165"/>
    </row>
    <row r="29" spans="1:17" x14ac:dyDescent="0.2">
      <c r="A29" s="133" t="s">
        <v>353</v>
      </c>
      <c r="B29" s="133" t="s">
        <v>351</v>
      </c>
      <c r="C29" s="162" t="e">
        <f>L25</f>
        <v>#DIV/0!</v>
      </c>
      <c r="D29" s="163" t="s">
        <v>299</v>
      </c>
      <c r="E29" s="133"/>
      <c r="F29" s="133"/>
      <c r="G29" s="163"/>
      <c r="H29" s="163"/>
      <c r="I29" s="133"/>
      <c r="J29" s="133"/>
      <c r="K29" s="163"/>
      <c r="L29" s="133"/>
      <c r="M29" s="133"/>
      <c r="N29" s="503"/>
      <c r="O29" s="503"/>
      <c r="P29" s="164"/>
      <c r="Q29" s="165"/>
    </row>
    <row r="30" spans="1:17" ht="48" x14ac:dyDescent="0.2">
      <c r="A30" s="133"/>
      <c r="B30" s="133"/>
      <c r="C30" s="163"/>
      <c r="D30" s="163"/>
      <c r="E30" s="133" t="s">
        <v>49</v>
      </c>
      <c r="F30" s="169" t="e">
        <f>B9*(Stoichiometry!D8/Stoichiometry!D7)*Q30</f>
        <v>#DIV/0!</v>
      </c>
      <c r="G30" s="163" t="s">
        <v>299</v>
      </c>
      <c r="H30" s="163"/>
      <c r="I30" s="133"/>
      <c r="J30" s="133"/>
      <c r="K30" s="163"/>
      <c r="L30" s="133"/>
      <c r="M30" s="133"/>
      <c r="N30" s="503"/>
      <c r="O30" s="503"/>
      <c r="P30" s="111" t="s">
        <v>354</v>
      </c>
      <c r="Q30" s="819">
        <v>1.1000000000000001</v>
      </c>
    </row>
    <row r="31" spans="1:17" x14ac:dyDescent="0.2">
      <c r="A31" s="133"/>
      <c r="B31" s="133"/>
      <c r="C31" s="163"/>
      <c r="D31" s="163"/>
      <c r="E31" s="133"/>
      <c r="F31" s="180"/>
      <c r="G31" s="163"/>
      <c r="H31" s="133" t="s">
        <v>52</v>
      </c>
      <c r="I31" s="178" t="e">
        <f>Energy!O16</f>
        <v>#DIV/0!</v>
      </c>
      <c r="J31" s="133" t="s">
        <v>233</v>
      </c>
      <c r="K31" s="163"/>
      <c r="L31" s="133"/>
      <c r="M31" s="133"/>
      <c r="N31" s="503"/>
      <c r="O31" s="503"/>
      <c r="P31" s="179"/>
      <c r="Q31" s="471"/>
    </row>
    <row r="32" spans="1:17" x14ac:dyDescent="0.2">
      <c r="A32" s="133"/>
      <c r="B32" s="133"/>
      <c r="C32" s="163"/>
      <c r="D32" s="163"/>
      <c r="E32" s="133"/>
      <c r="F32" s="133"/>
      <c r="G32" s="163"/>
      <c r="H32" s="163"/>
      <c r="I32" s="133"/>
      <c r="J32" s="133"/>
      <c r="K32" s="163" t="s">
        <v>351</v>
      </c>
      <c r="L32" s="169" t="e">
        <f>C29+F30</f>
        <v>#DIV/0!</v>
      </c>
      <c r="M32" s="133" t="s">
        <v>299</v>
      </c>
      <c r="N32" s="503"/>
      <c r="O32" s="503"/>
      <c r="P32" s="164"/>
      <c r="Q32" s="165"/>
    </row>
    <row r="33" spans="1:24" x14ac:dyDescent="0.2">
      <c r="A33" s="133"/>
      <c r="B33" s="133"/>
      <c r="C33" s="163"/>
      <c r="D33" s="163"/>
      <c r="E33" s="133"/>
      <c r="F33" s="133"/>
      <c r="G33" s="163"/>
      <c r="H33" s="163"/>
      <c r="I33" s="133"/>
      <c r="J33" s="133"/>
      <c r="K33" s="163" t="s">
        <v>351</v>
      </c>
      <c r="L33" s="169" t="e">
        <f>L32/N33</f>
        <v>#DIV/0!</v>
      </c>
      <c r="M33" s="133" t="s">
        <v>312</v>
      </c>
      <c r="N33" s="506" t="e">
        <f>N26</f>
        <v>#DIV/0!</v>
      </c>
      <c r="O33" s="506"/>
      <c r="P33" s="164"/>
      <c r="Q33" s="192"/>
      <c r="X33" s="168"/>
    </row>
    <row r="34" spans="1:24" x14ac:dyDescent="0.2">
      <c r="A34" s="133"/>
      <c r="B34" s="133"/>
      <c r="C34" s="163"/>
      <c r="D34" s="163"/>
      <c r="E34" s="133"/>
      <c r="F34" s="133"/>
      <c r="G34" s="163"/>
      <c r="H34" s="170"/>
      <c r="I34" s="170"/>
      <c r="J34" s="170"/>
      <c r="K34" s="146"/>
      <c r="L34" s="170"/>
      <c r="M34" s="170"/>
      <c r="N34" s="505"/>
      <c r="O34" s="505"/>
      <c r="P34" s="171"/>
      <c r="Q34" s="172"/>
    </row>
    <row r="35" spans="1:24" x14ac:dyDescent="0.2">
      <c r="A35" s="159" t="s">
        <v>224</v>
      </c>
      <c r="B35" s="173"/>
      <c r="C35" s="174"/>
      <c r="D35" s="174"/>
      <c r="E35" s="173"/>
      <c r="F35" s="173"/>
      <c r="G35" s="174"/>
      <c r="H35" s="133"/>
      <c r="I35" s="133"/>
      <c r="J35" s="133"/>
      <c r="K35" s="163"/>
      <c r="L35" s="133"/>
      <c r="M35" s="133"/>
      <c r="N35" s="503"/>
      <c r="O35" s="503"/>
      <c r="P35" s="164"/>
      <c r="Q35" s="165"/>
    </row>
    <row r="36" spans="1:24" x14ac:dyDescent="0.2">
      <c r="A36" s="133" t="s">
        <v>355</v>
      </c>
      <c r="B36" s="133" t="s">
        <v>351</v>
      </c>
      <c r="C36" s="162" t="e">
        <f>L32</f>
        <v>#DIV/0!</v>
      </c>
      <c r="D36" s="163" t="s">
        <v>299</v>
      </c>
      <c r="E36" s="133"/>
      <c r="F36" s="133"/>
      <c r="G36" s="163"/>
      <c r="H36" s="133"/>
      <c r="I36" s="133"/>
      <c r="J36" s="133"/>
      <c r="K36" s="163"/>
      <c r="L36" s="133"/>
      <c r="M36" s="133"/>
      <c r="N36" s="503"/>
      <c r="O36" s="503"/>
      <c r="P36" s="164"/>
      <c r="Q36" s="165"/>
    </row>
    <row r="37" spans="1:24" x14ac:dyDescent="0.2">
      <c r="A37" s="133"/>
      <c r="B37" s="133"/>
      <c r="C37" s="162"/>
      <c r="D37" s="163"/>
      <c r="E37" s="133"/>
      <c r="F37" s="133"/>
      <c r="G37" s="163"/>
      <c r="H37" s="133" t="s">
        <v>52</v>
      </c>
      <c r="I37" s="178" t="e">
        <f>Energy!O17</f>
        <v>#DIV/0!</v>
      </c>
      <c r="J37" s="133" t="s">
        <v>233</v>
      </c>
      <c r="K37" s="163"/>
      <c r="L37" s="133"/>
      <c r="M37" s="133"/>
      <c r="N37" s="503"/>
      <c r="O37" s="503"/>
      <c r="P37" s="164"/>
      <c r="Q37" s="471"/>
    </row>
    <row r="38" spans="1:24" x14ac:dyDescent="0.2">
      <c r="A38" s="133"/>
      <c r="B38" s="133"/>
      <c r="C38" s="163"/>
      <c r="D38" s="163"/>
      <c r="E38" s="133"/>
      <c r="F38" s="133"/>
      <c r="G38" s="163"/>
      <c r="H38" s="133"/>
      <c r="I38" s="133"/>
      <c r="J38" s="133"/>
      <c r="K38" s="163" t="s">
        <v>356</v>
      </c>
      <c r="L38" s="169" t="e">
        <f>B9*Efficiencies!E23</f>
        <v>#DIV/0!</v>
      </c>
      <c r="M38" s="133" t="s">
        <v>299</v>
      </c>
      <c r="N38" s="503"/>
      <c r="O38" s="503"/>
      <c r="P38" s="164"/>
      <c r="Q38" s="165"/>
    </row>
    <row r="39" spans="1:24" x14ac:dyDescent="0.2">
      <c r="A39" s="133"/>
      <c r="B39" s="133"/>
      <c r="C39" s="163"/>
      <c r="D39" s="163"/>
      <c r="E39" s="133"/>
      <c r="F39" s="133"/>
      <c r="G39" s="163"/>
      <c r="H39" s="133"/>
      <c r="I39" s="133"/>
      <c r="J39" s="133"/>
      <c r="K39" s="163" t="s">
        <v>351</v>
      </c>
      <c r="L39" s="169" t="e">
        <f>C36-L38</f>
        <v>#DIV/0!</v>
      </c>
      <c r="M39" s="133" t="s">
        <v>299</v>
      </c>
      <c r="N39" s="503"/>
      <c r="O39" s="503"/>
      <c r="P39" s="164"/>
      <c r="Q39" s="165"/>
    </row>
    <row r="40" spans="1:24" x14ac:dyDescent="0.2">
      <c r="A40" s="133"/>
      <c r="B40" s="133"/>
      <c r="C40" s="163"/>
      <c r="D40" s="163"/>
      <c r="E40" s="133"/>
      <c r="F40" s="133"/>
      <c r="G40" s="146"/>
      <c r="H40" s="170"/>
      <c r="I40" s="170"/>
      <c r="J40" s="170"/>
      <c r="K40" s="146"/>
      <c r="L40" s="170"/>
      <c r="M40" s="170"/>
      <c r="N40" s="505"/>
      <c r="O40" s="505"/>
      <c r="P40" s="171"/>
      <c r="Q40" s="172"/>
    </row>
    <row r="41" spans="1:24" x14ac:dyDescent="0.2">
      <c r="A41" s="159" t="s">
        <v>357</v>
      </c>
      <c r="B41" s="173"/>
      <c r="C41" s="174"/>
      <c r="D41" s="174"/>
      <c r="E41" s="173"/>
      <c r="F41" s="173"/>
      <c r="G41" s="163"/>
      <c r="H41" s="133"/>
      <c r="I41" s="133"/>
      <c r="J41" s="133"/>
      <c r="K41" s="163"/>
      <c r="L41" s="133"/>
      <c r="M41" s="133"/>
      <c r="N41" s="503"/>
      <c r="O41" s="503"/>
      <c r="P41" s="164"/>
      <c r="Q41" s="165"/>
    </row>
    <row r="42" spans="1:24" ht="16" x14ac:dyDescent="0.2">
      <c r="A42" s="211" t="s">
        <v>353</v>
      </c>
      <c r="B42" s="133" t="s">
        <v>351</v>
      </c>
      <c r="C42" s="162" t="e">
        <f>L39</f>
        <v>#DIV/0!</v>
      </c>
      <c r="D42" s="163" t="s">
        <v>299</v>
      </c>
      <c r="E42" s="133"/>
      <c r="F42" s="133"/>
      <c r="G42" s="163"/>
      <c r="H42" s="133"/>
      <c r="I42" s="133"/>
      <c r="J42" s="133"/>
      <c r="K42" s="163"/>
      <c r="L42" s="133"/>
      <c r="M42" s="133"/>
      <c r="N42" s="503"/>
      <c r="O42" s="503"/>
      <c r="P42" s="164"/>
      <c r="Q42" s="165"/>
    </row>
    <row r="43" spans="1:24" x14ac:dyDescent="0.2">
      <c r="A43" s="133"/>
      <c r="B43" s="133" t="s">
        <v>351</v>
      </c>
      <c r="C43" s="162" t="e">
        <f>C42/N43</f>
        <v>#DIV/0!</v>
      </c>
      <c r="D43" s="163" t="s">
        <v>312</v>
      </c>
      <c r="E43" s="133"/>
      <c r="F43" s="133"/>
      <c r="G43" s="163"/>
      <c r="H43" s="163"/>
      <c r="I43" s="133"/>
      <c r="J43" s="133"/>
      <c r="K43" s="163"/>
      <c r="L43" s="133"/>
      <c r="M43" s="133"/>
      <c r="N43" s="506" t="e">
        <f>N33</f>
        <v>#DIV/0!</v>
      </c>
      <c r="O43" s="506"/>
      <c r="P43" s="164"/>
      <c r="Q43" s="192"/>
    </row>
    <row r="44" spans="1:24" ht="16" x14ac:dyDescent="0.2">
      <c r="A44" s="133"/>
      <c r="B44" s="133"/>
      <c r="C44" s="163"/>
      <c r="D44" s="163"/>
      <c r="E44" s="164" t="s">
        <v>78</v>
      </c>
      <c r="F44" s="169" t="e">
        <f>C43*Q44</f>
        <v>#DIV/0!</v>
      </c>
      <c r="G44" s="163" t="s">
        <v>312</v>
      </c>
      <c r="H44" s="133"/>
      <c r="I44" s="133"/>
      <c r="J44" s="133"/>
      <c r="K44" s="163"/>
      <c r="L44" s="133"/>
      <c r="M44" s="133"/>
      <c r="N44" s="503"/>
      <c r="O44" s="503"/>
      <c r="P44" s="164" t="s">
        <v>358</v>
      </c>
      <c r="Q44" s="820">
        <v>0.04</v>
      </c>
    </row>
    <row r="45" spans="1:24" ht="16" x14ac:dyDescent="0.2">
      <c r="A45" s="133"/>
      <c r="B45" s="133"/>
      <c r="C45" s="163"/>
      <c r="D45" s="163"/>
      <c r="E45" s="164" t="s">
        <v>78</v>
      </c>
      <c r="F45" s="169" t="e">
        <f>F44*Stoichiometry!C23</f>
        <v>#DIV/0!</v>
      </c>
      <c r="G45" s="163" t="s">
        <v>299</v>
      </c>
      <c r="H45" s="133"/>
      <c r="I45" s="133"/>
      <c r="J45" s="133"/>
      <c r="K45" s="163"/>
      <c r="L45" s="133"/>
      <c r="M45" s="133"/>
      <c r="N45" s="503"/>
      <c r="O45" s="503"/>
      <c r="P45" s="164"/>
      <c r="Q45" s="165"/>
    </row>
    <row r="46" spans="1:24" x14ac:dyDescent="0.2">
      <c r="A46" s="133"/>
      <c r="B46" s="133"/>
      <c r="C46" s="163"/>
      <c r="D46" s="163"/>
      <c r="E46" s="133"/>
      <c r="F46" s="169"/>
      <c r="G46" s="163"/>
      <c r="H46" s="133" t="s">
        <v>52</v>
      </c>
      <c r="I46" s="178" t="e">
        <f>Energy!O18</f>
        <v>#DIV/0!</v>
      </c>
      <c r="J46" s="133" t="s">
        <v>233</v>
      </c>
      <c r="K46" s="163"/>
      <c r="L46" s="133"/>
      <c r="M46" s="133"/>
      <c r="N46" s="503"/>
      <c r="O46" s="503"/>
      <c r="P46" s="164"/>
      <c r="Q46" s="471"/>
    </row>
    <row r="47" spans="1:24" x14ac:dyDescent="0.2">
      <c r="A47" s="133"/>
      <c r="B47" s="133"/>
      <c r="C47" s="163"/>
      <c r="D47" s="163"/>
      <c r="E47" s="133"/>
      <c r="F47" s="133"/>
      <c r="G47" s="163"/>
      <c r="H47" s="133"/>
      <c r="I47" s="133"/>
      <c r="J47" s="133"/>
      <c r="K47" s="163" t="s">
        <v>351</v>
      </c>
      <c r="L47" s="169" t="e">
        <f>C42+F45</f>
        <v>#DIV/0!</v>
      </c>
      <c r="M47" s="133" t="s">
        <v>299</v>
      </c>
      <c r="N47" s="503"/>
      <c r="O47" s="503"/>
      <c r="P47" s="164"/>
      <c r="Q47" s="165"/>
    </row>
    <row r="48" spans="1:24" x14ac:dyDescent="0.2">
      <c r="A48" s="133"/>
      <c r="B48" s="133"/>
      <c r="C48" s="163"/>
      <c r="D48" s="163"/>
      <c r="E48" s="133"/>
      <c r="F48" s="133"/>
      <c r="G48" s="163"/>
      <c r="H48" s="133"/>
      <c r="I48" s="133"/>
      <c r="J48" s="133"/>
      <c r="K48" s="163" t="s">
        <v>351</v>
      </c>
      <c r="L48" s="169" t="e">
        <f>C43+F44</f>
        <v>#DIV/0!</v>
      </c>
      <c r="M48" s="133" t="s">
        <v>312</v>
      </c>
      <c r="N48" s="503"/>
      <c r="O48" s="503"/>
      <c r="P48" s="164"/>
      <c r="Q48" s="165"/>
    </row>
    <row r="49" spans="1:17" x14ac:dyDescent="0.2">
      <c r="A49" s="133"/>
      <c r="B49" s="133"/>
      <c r="C49" s="163"/>
      <c r="D49" s="163"/>
      <c r="E49" s="133"/>
      <c r="F49" s="133"/>
      <c r="G49" s="146"/>
      <c r="H49" s="170"/>
      <c r="I49" s="170"/>
      <c r="J49" s="170"/>
      <c r="K49" s="146"/>
      <c r="L49" s="170"/>
      <c r="M49" s="170"/>
      <c r="N49" s="505"/>
      <c r="O49" s="505"/>
      <c r="P49" s="171"/>
      <c r="Q49" s="172"/>
    </row>
    <row r="50" spans="1:17" x14ac:dyDescent="0.2">
      <c r="A50" s="159" t="s">
        <v>481</v>
      </c>
      <c r="B50" s="173"/>
      <c r="C50" s="174"/>
      <c r="D50" s="174"/>
      <c r="E50" s="173"/>
      <c r="F50" s="173"/>
      <c r="G50" s="163"/>
      <c r="H50" s="133"/>
      <c r="I50" s="133"/>
      <c r="J50" s="133"/>
      <c r="K50" s="163"/>
      <c r="L50" s="133"/>
      <c r="M50" s="133"/>
      <c r="N50" s="503"/>
      <c r="O50" s="503"/>
      <c r="P50" s="164"/>
      <c r="Q50" s="165"/>
    </row>
    <row r="51" spans="1:17" ht="16" x14ac:dyDescent="0.2">
      <c r="A51" s="211" t="s">
        <v>349</v>
      </c>
      <c r="B51" s="133" t="s">
        <v>351</v>
      </c>
      <c r="C51" s="162" t="e">
        <f>L47</f>
        <v>#DIV/0!</v>
      </c>
      <c r="D51" s="163" t="s">
        <v>299</v>
      </c>
      <c r="E51" s="133"/>
      <c r="F51" s="133"/>
      <c r="G51" s="163"/>
      <c r="H51" s="133"/>
      <c r="I51" s="133"/>
      <c r="J51" s="133"/>
      <c r="K51" s="163"/>
      <c r="L51" s="133"/>
      <c r="M51" s="133"/>
      <c r="N51" s="503"/>
      <c r="O51" s="503"/>
      <c r="P51" s="164"/>
      <c r="Q51" s="165"/>
    </row>
    <row r="52" spans="1:17" ht="16" x14ac:dyDescent="0.2">
      <c r="A52" s="133"/>
      <c r="B52" s="133"/>
      <c r="C52" s="163"/>
      <c r="D52" s="163"/>
      <c r="E52" s="133" t="s">
        <v>70</v>
      </c>
      <c r="F52" s="169" t="e">
        <f>F16*Q52</f>
        <v>#DIV/0!</v>
      </c>
      <c r="G52" s="163" t="s">
        <v>299</v>
      </c>
      <c r="H52" s="133"/>
      <c r="I52" s="133"/>
      <c r="J52" s="133"/>
      <c r="K52" s="163"/>
      <c r="L52" s="133"/>
      <c r="M52" s="133"/>
      <c r="N52" s="503"/>
      <c r="O52" s="503"/>
      <c r="P52" s="111" t="s">
        <v>359</v>
      </c>
      <c r="Q52" s="819">
        <v>2</v>
      </c>
    </row>
    <row r="53" spans="1:17" x14ac:dyDescent="0.2">
      <c r="A53" s="133"/>
      <c r="B53" s="133"/>
      <c r="C53" s="163"/>
      <c r="D53" s="163"/>
      <c r="E53" s="133"/>
      <c r="F53" s="169"/>
      <c r="G53" s="163"/>
      <c r="H53" s="133" t="s">
        <v>52</v>
      </c>
      <c r="I53" s="178" t="e">
        <f>Energy!O19</f>
        <v>#DIV/0!</v>
      </c>
      <c r="J53" s="133" t="s">
        <v>233</v>
      </c>
      <c r="K53" s="163"/>
      <c r="L53" s="133"/>
      <c r="M53" s="133"/>
      <c r="N53" s="503"/>
      <c r="O53" s="503"/>
      <c r="P53" s="164"/>
      <c r="Q53" s="473"/>
    </row>
    <row r="54" spans="1:17" x14ac:dyDescent="0.2">
      <c r="A54" s="133"/>
      <c r="B54" s="133"/>
      <c r="C54" s="163"/>
      <c r="D54" s="163"/>
      <c r="E54" s="133"/>
      <c r="F54" s="133"/>
      <c r="G54" s="163"/>
      <c r="H54" s="163"/>
      <c r="I54" s="133"/>
      <c r="J54" s="133"/>
      <c r="K54" s="163" t="s">
        <v>351</v>
      </c>
      <c r="L54" s="169" t="e">
        <f>C51+F52</f>
        <v>#DIV/0!</v>
      </c>
      <c r="M54" s="133" t="s">
        <v>299</v>
      </c>
      <c r="N54" s="503"/>
      <c r="O54" s="503"/>
      <c r="P54" s="164"/>
      <c r="Q54" s="165"/>
    </row>
    <row r="55" spans="1:17" x14ac:dyDescent="0.2">
      <c r="A55" s="133"/>
      <c r="B55" s="133"/>
      <c r="C55" s="163"/>
      <c r="D55" s="163"/>
      <c r="E55" s="133"/>
      <c r="F55" s="133"/>
      <c r="G55" s="163"/>
      <c r="H55" s="163"/>
      <c r="I55" s="133"/>
      <c r="J55" s="133"/>
      <c r="K55" s="163" t="s">
        <v>351</v>
      </c>
      <c r="L55" s="169" t="e">
        <f>L54/N55</f>
        <v>#DIV/0!</v>
      </c>
      <c r="M55" s="133" t="s">
        <v>312</v>
      </c>
      <c r="N55" s="506" t="e">
        <f>N43*C51/L54+Stoichiometry!C24*F52/L54</f>
        <v>#DIV/0!</v>
      </c>
      <c r="O55" s="506"/>
      <c r="P55" s="164"/>
      <c r="Q55" s="192"/>
    </row>
    <row r="56" spans="1:17" x14ac:dyDescent="0.2">
      <c r="A56" s="133"/>
      <c r="B56" s="133"/>
      <c r="C56" s="163"/>
      <c r="D56" s="163"/>
      <c r="E56" s="133"/>
      <c r="F56" s="133"/>
      <c r="G56" s="163"/>
      <c r="H56" s="170"/>
      <c r="I56" s="170"/>
      <c r="J56" s="170"/>
      <c r="K56" s="146"/>
      <c r="L56" s="170"/>
      <c r="M56" s="170"/>
      <c r="N56" s="505"/>
      <c r="O56" s="505"/>
      <c r="P56" s="171"/>
      <c r="Q56" s="172"/>
    </row>
    <row r="57" spans="1:17" x14ac:dyDescent="0.2">
      <c r="A57" s="159" t="s">
        <v>360</v>
      </c>
      <c r="B57" s="173"/>
      <c r="C57" s="174"/>
      <c r="D57" s="174"/>
      <c r="E57" s="173"/>
      <c r="F57" s="173"/>
      <c r="G57" s="174"/>
      <c r="H57" s="133"/>
      <c r="I57" s="133"/>
      <c r="J57" s="133"/>
      <c r="K57" s="163"/>
      <c r="L57" s="133"/>
      <c r="M57" s="133"/>
      <c r="N57" s="503"/>
      <c r="O57" s="503"/>
      <c r="P57" s="164"/>
      <c r="Q57" s="165"/>
    </row>
    <row r="58" spans="1:17" x14ac:dyDescent="0.2">
      <c r="A58" s="133" t="s">
        <v>361</v>
      </c>
      <c r="B58" s="133" t="s">
        <v>351</v>
      </c>
      <c r="C58" s="162" t="e">
        <f>L54</f>
        <v>#DIV/0!</v>
      </c>
      <c r="D58" s="163" t="s">
        <v>299</v>
      </c>
      <c r="E58" s="133"/>
      <c r="F58" s="133"/>
      <c r="G58" s="163"/>
      <c r="H58" s="133"/>
      <c r="I58" s="133"/>
      <c r="J58" s="133"/>
      <c r="K58" s="163"/>
      <c r="L58" s="133"/>
      <c r="M58" s="133"/>
      <c r="N58" s="503"/>
      <c r="O58" s="503"/>
      <c r="P58" s="164"/>
      <c r="Q58" s="165"/>
    </row>
    <row r="59" spans="1:17" x14ac:dyDescent="0.2">
      <c r="A59" s="133"/>
      <c r="B59" s="133"/>
      <c r="C59" s="162"/>
      <c r="D59" s="163"/>
      <c r="E59" s="133"/>
      <c r="F59" s="133"/>
      <c r="G59" s="163"/>
      <c r="H59" s="133" t="s">
        <v>52</v>
      </c>
      <c r="I59" s="178" t="e">
        <f>Energy!O20</f>
        <v>#DIV/0!</v>
      </c>
      <c r="J59" s="133" t="s">
        <v>233</v>
      </c>
      <c r="K59" s="163"/>
      <c r="L59" s="133"/>
      <c r="M59" s="133"/>
      <c r="N59" s="503"/>
      <c r="O59" s="503"/>
      <c r="P59" s="164"/>
      <c r="Q59" s="471"/>
    </row>
    <row r="60" spans="1:17" x14ac:dyDescent="0.2">
      <c r="A60" s="133"/>
      <c r="B60" s="133"/>
      <c r="C60" s="163"/>
      <c r="D60" s="163"/>
      <c r="E60" s="133"/>
      <c r="F60" s="133"/>
      <c r="G60" s="163"/>
      <c r="H60" s="133"/>
      <c r="I60" s="133"/>
      <c r="J60" s="133"/>
      <c r="K60" s="163" t="s">
        <v>351</v>
      </c>
      <c r="L60" s="169" t="e">
        <f>C58-L62</f>
        <v>#DIV/0!</v>
      </c>
      <c r="M60" s="133" t="s">
        <v>299</v>
      </c>
      <c r="N60" s="503"/>
      <c r="O60" s="503"/>
      <c r="P60" s="164"/>
      <c r="Q60" s="165"/>
    </row>
    <row r="61" spans="1:17" x14ac:dyDescent="0.2">
      <c r="A61" s="133"/>
      <c r="B61" s="133"/>
      <c r="C61" s="163"/>
      <c r="D61" s="163"/>
      <c r="E61" s="133"/>
      <c r="F61" s="133"/>
      <c r="G61" s="163"/>
      <c r="H61" s="133"/>
      <c r="I61" s="133"/>
      <c r="J61" s="133"/>
      <c r="K61" s="163" t="s">
        <v>351</v>
      </c>
      <c r="L61" s="169" t="e">
        <f>L60/N61</f>
        <v>#DIV/0!</v>
      </c>
      <c r="M61" s="133" t="s">
        <v>312</v>
      </c>
      <c r="N61" s="507">
        <v>2</v>
      </c>
      <c r="O61" s="507"/>
      <c r="P61" s="164"/>
      <c r="Q61" s="192"/>
    </row>
    <row r="62" spans="1:17" ht="16" x14ac:dyDescent="0.2">
      <c r="A62" s="133"/>
      <c r="B62" s="133"/>
      <c r="C62" s="163"/>
      <c r="D62" s="163"/>
      <c r="E62" s="133"/>
      <c r="F62" s="133"/>
      <c r="G62" s="163"/>
      <c r="H62" s="133"/>
      <c r="I62" s="133"/>
      <c r="J62" s="133"/>
      <c r="K62" s="111" t="s">
        <v>50</v>
      </c>
      <c r="L62" s="178" t="e">
        <f>(B10+F30)*(Stoichiometry!D21/Stoichiometry!D8)*Efficiencies!E24</f>
        <v>#DIV/0!</v>
      </c>
      <c r="M62" s="133" t="s">
        <v>299</v>
      </c>
      <c r="N62" s="503"/>
      <c r="O62" s="503"/>
      <c r="P62" s="164" t="s">
        <v>362</v>
      </c>
      <c r="Q62" s="165"/>
    </row>
    <row r="63" spans="1:17" x14ac:dyDescent="0.2">
      <c r="A63" s="133"/>
      <c r="B63" s="133"/>
      <c r="C63" s="163"/>
      <c r="D63" s="163"/>
      <c r="E63" s="133"/>
      <c r="F63" s="133"/>
      <c r="G63" s="163"/>
      <c r="H63" s="170"/>
      <c r="I63" s="170"/>
      <c r="J63" s="170"/>
      <c r="K63" s="146"/>
      <c r="L63" s="170"/>
      <c r="M63" s="170"/>
      <c r="N63" s="505"/>
      <c r="O63" s="505"/>
      <c r="P63" s="171"/>
      <c r="Q63" s="172"/>
    </row>
    <row r="64" spans="1:17" ht="16" x14ac:dyDescent="0.2">
      <c r="A64" s="777" t="s">
        <v>363</v>
      </c>
      <c r="B64" s="173"/>
      <c r="C64" s="174"/>
      <c r="D64" s="174"/>
      <c r="E64" s="173"/>
      <c r="F64" s="173"/>
      <c r="G64" s="174"/>
      <c r="H64" s="133"/>
      <c r="I64" s="133"/>
      <c r="J64" s="133"/>
      <c r="K64" s="163"/>
      <c r="L64" s="133"/>
      <c r="M64" s="133"/>
      <c r="N64" s="503"/>
      <c r="O64" s="503"/>
      <c r="P64" s="164"/>
      <c r="Q64" s="165"/>
    </row>
    <row r="65" spans="1:20" ht="16" x14ac:dyDescent="0.2">
      <c r="A65" s="133" t="s">
        <v>353</v>
      </c>
      <c r="B65" s="133" t="s">
        <v>351</v>
      </c>
      <c r="C65" s="162" t="e">
        <f>L60</f>
        <v>#DIV/0!</v>
      </c>
      <c r="D65" s="163" t="s">
        <v>299</v>
      </c>
      <c r="E65" s="133"/>
      <c r="F65" s="133"/>
      <c r="G65" s="163"/>
      <c r="H65" s="133"/>
      <c r="I65" s="133"/>
      <c r="J65" s="133"/>
      <c r="K65" s="163"/>
      <c r="L65" s="133"/>
      <c r="M65" s="133"/>
      <c r="N65" s="503"/>
      <c r="O65" s="522" t="e">
        <f>Energy!Q21</f>
        <v>#DIV/0!</v>
      </c>
      <c r="P65" s="111" t="s">
        <v>277</v>
      </c>
      <c r="Q65" s="165"/>
    </row>
    <row r="66" spans="1:20" ht="32" x14ac:dyDescent="0.2">
      <c r="A66" s="133"/>
      <c r="B66" s="133"/>
      <c r="C66" s="163"/>
      <c r="D66" s="163"/>
      <c r="E66" s="133" t="s">
        <v>63</v>
      </c>
      <c r="F66" s="180" t="e">
        <f>C65/3*1.3*0.7/O65</f>
        <v>#DIV/0!</v>
      </c>
      <c r="G66" s="163" t="s">
        <v>299</v>
      </c>
      <c r="H66" s="133"/>
      <c r="I66" s="133"/>
      <c r="J66" s="133"/>
      <c r="K66" s="163"/>
      <c r="L66" s="133"/>
      <c r="M66" s="133"/>
      <c r="N66" s="503"/>
      <c r="O66" s="503"/>
      <c r="P66" s="849" t="s">
        <v>364</v>
      </c>
      <c r="Q66" s="165"/>
    </row>
    <row r="67" spans="1:20" ht="16" x14ac:dyDescent="0.2">
      <c r="A67" s="133"/>
      <c r="B67" s="133"/>
      <c r="C67" s="163"/>
      <c r="D67" s="163"/>
      <c r="E67" s="133" t="s">
        <v>365</v>
      </c>
      <c r="F67" s="180" t="e">
        <f>C65/3*1.3*0.3/O65</f>
        <v>#DIV/0!</v>
      </c>
      <c r="G67" s="163" t="s">
        <v>366</v>
      </c>
      <c r="H67" s="133"/>
      <c r="I67" s="133"/>
      <c r="J67" s="133"/>
      <c r="K67" s="163"/>
      <c r="L67" s="133"/>
      <c r="M67" s="133"/>
      <c r="N67" s="503"/>
      <c r="O67" s="503"/>
      <c r="P67" s="849" t="s">
        <v>367</v>
      </c>
      <c r="Q67" s="165"/>
    </row>
    <row r="68" spans="1:20" ht="32" x14ac:dyDescent="0.2">
      <c r="A68" s="133"/>
      <c r="B68" s="133"/>
      <c r="C68" s="163"/>
      <c r="D68" s="163"/>
      <c r="E68" s="211" t="s">
        <v>368</v>
      </c>
      <c r="F68" s="950" t="e">
        <f>F67*Q68</f>
        <v>#DIV/0!</v>
      </c>
      <c r="G68" s="163" t="s">
        <v>337</v>
      </c>
      <c r="H68" s="133"/>
      <c r="I68" s="133"/>
      <c r="J68" s="133"/>
      <c r="K68" s="163"/>
      <c r="L68" s="133"/>
      <c r="M68" s="133"/>
      <c r="N68" s="503"/>
      <c r="O68" s="503"/>
      <c r="P68" s="111" t="s">
        <v>369</v>
      </c>
      <c r="Q68" s="949">
        <v>0.05</v>
      </c>
    </row>
    <row r="69" spans="1:20" x14ac:dyDescent="0.2">
      <c r="A69" s="133"/>
      <c r="B69" s="133"/>
      <c r="C69" s="163"/>
      <c r="D69" s="163"/>
      <c r="E69" s="211"/>
      <c r="F69" s="180"/>
      <c r="G69" s="163"/>
      <c r="H69" s="133" t="s">
        <v>52</v>
      </c>
      <c r="I69" s="169" t="e">
        <f>Energy!O21</f>
        <v>#DIV/0!</v>
      </c>
      <c r="J69" s="133" t="s">
        <v>233</v>
      </c>
      <c r="K69" s="163"/>
      <c r="L69" s="133"/>
      <c r="M69" s="133"/>
      <c r="N69" s="503"/>
      <c r="O69" s="503"/>
      <c r="P69" s="111"/>
      <c r="Q69" s="408"/>
    </row>
    <row r="70" spans="1:20" ht="32" x14ac:dyDescent="0.2">
      <c r="A70" s="133"/>
      <c r="B70" s="133"/>
      <c r="C70" s="163"/>
      <c r="D70" s="163"/>
      <c r="E70" s="133"/>
      <c r="F70" s="133"/>
      <c r="G70" s="163"/>
      <c r="H70" s="133"/>
      <c r="I70" s="133"/>
      <c r="J70" s="133"/>
      <c r="K70" s="163" t="s">
        <v>370</v>
      </c>
      <c r="L70" s="409" t="e">
        <f>F66+F67+Stoichiometry!G15+Stoichiometry!G15/(Stoichiometry!J5/1000)</f>
        <v>#DIV/0!</v>
      </c>
      <c r="M70" s="133" t="s">
        <v>299</v>
      </c>
      <c r="N70" s="503"/>
      <c r="O70" s="503"/>
      <c r="P70" s="164" t="s">
        <v>371</v>
      </c>
      <c r="Q70" s="165"/>
    </row>
    <row r="71" spans="1:20" x14ac:dyDescent="0.2">
      <c r="A71" s="133"/>
      <c r="B71" s="133"/>
      <c r="C71" s="163"/>
      <c r="D71" s="163"/>
      <c r="E71" s="133"/>
      <c r="F71" s="133"/>
      <c r="G71" s="163"/>
      <c r="H71" s="133"/>
      <c r="I71" s="133"/>
      <c r="J71" s="133"/>
      <c r="K71" s="163" t="s">
        <v>372</v>
      </c>
      <c r="L71" s="169" t="e">
        <f>C65+F66+F67-L70</f>
        <v>#DIV/0!</v>
      </c>
      <c r="M71" s="133" t="s">
        <v>299</v>
      </c>
      <c r="N71" s="503"/>
      <c r="O71" s="503"/>
      <c r="P71" s="164"/>
      <c r="Q71" s="165"/>
    </row>
    <row r="72" spans="1:20" x14ac:dyDescent="0.2">
      <c r="A72" s="133"/>
      <c r="B72" s="133"/>
      <c r="C72" s="163"/>
      <c r="D72" s="163"/>
      <c r="E72" s="133"/>
      <c r="F72" s="133"/>
      <c r="G72" s="163"/>
      <c r="H72" s="133"/>
      <c r="I72" s="133"/>
      <c r="J72" s="133"/>
      <c r="K72" s="163" t="s">
        <v>372</v>
      </c>
      <c r="L72" s="169" t="e">
        <f>L71/N72</f>
        <v>#DIV/0!</v>
      </c>
      <c r="M72" s="133" t="s">
        <v>312</v>
      </c>
      <c r="N72" s="507">
        <v>2</v>
      </c>
      <c r="O72" s="507"/>
      <c r="P72" s="164"/>
      <c r="Q72" s="529"/>
    </row>
    <row r="73" spans="1:20" x14ac:dyDescent="0.2">
      <c r="A73" s="133"/>
      <c r="B73" s="133"/>
      <c r="C73" s="163"/>
      <c r="D73" s="163"/>
      <c r="E73" s="133"/>
      <c r="F73" s="133"/>
      <c r="G73" s="163"/>
      <c r="H73" s="170"/>
      <c r="I73" s="170"/>
      <c r="J73" s="170"/>
      <c r="K73" s="146"/>
      <c r="L73" s="170"/>
      <c r="M73" s="170"/>
      <c r="N73" s="505"/>
      <c r="O73" s="505"/>
      <c r="P73" s="171"/>
      <c r="Q73" s="172"/>
    </row>
    <row r="74" spans="1:20" x14ac:dyDescent="0.2">
      <c r="A74" s="159" t="s">
        <v>373</v>
      </c>
      <c r="B74" s="173"/>
      <c r="C74" s="174"/>
      <c r="D74" s="174"/>
      <c r="E74" s="173"/>
      <c r="F74" s="173"/>
      <c r="G74" s="174"/>
      <c r="H74" s="133"/>
      <c r="I74" s="133"/>
      <c r="J74" s="133"/>
      <c r="K74" s="163"/>
      <c r="L74" s="133"/>
      <c r="M74" s="133"/>
      <c r="N74" s="503"/>
      <c r="O74" s="503"/>
      <c r="P74" s="164"/>
      <c r="Q74" s="165"/>
    </row>
    <row r="75" spans="1:20" x14ac:dyDescent="0.2">
      <c r="A75" s="133" t="s">
        <v>353</v>
      </c>
      <c r="B75" s="133" t="s">
        <v>370</v>
      </c>
      <c r="C75" s="182" t="e">
        <f>L70</f>
        <v>#DIV/0!</v>
      </c>
      <c r="D75" s="163" t="s">
        <v>299</v>
      </c>
      <c r="E75" s="133"/>
      <c r="F75" s="133"/>
      <c r="G75" s="163"/>
      <c r="H75" s="133"/>
      <c r="I75" s="133"/>
      <c r="J75" s="133"/>
      <c r="K75" s="163"/>
      <c r="L75" s="133"/>
      <c r="M75" s="133"/>
      <c r="N75" s="503"/>
      <c r="O75" s="503"/>
      <c r="P75" s="164"/>
      <c r="Q75" s="165"/>
    </row>
    <row r="76" spans="1:20" ht="30" customHeight="1" x14ac:dyDescent="0.2">
      <c r="A76" s="133"/>
      <c r="B76" s="133"/>
      <c r="C76" s="163"/>
      <c r="D76" s="163"/>
      <c r="E76" s="211" t="s">
        <v>374</v>
      </c>
      <c r="F76" s="133" t="s">
        <v>375</v>
      </c>
      <c r="G76" s="163"/>
      <c r="H76" s="133"/>
      <c r="I76" s="133"/>
      <c r="J76" s="133"/>
      <c r="K76" s="163"/>
      <c r="L76" s="133"/>
      <c r="M76" s="133"/>
      <c r="N76" s="503"/>
      <c r="O76" s="503"/>
      <c r="P76" s="164"/>
      <c r="Q76" s="165"/>
      <c r="T76" s="168"/>
    </row>
    <row r="77" spans="1:20" ht="16" x14ac:dyDescent="0.2">
      <c r="A77" s="133"/>
      <c r="B77" s="133"/>
      <c r="C77" s="163"/>
      <c r="D77" s="163"/>
      <c r="E77" s="133"/>
      <c r="F77" s="133"/>
      <c r="G77" s="163"/>
      <c r="H77" s="133" t="s">
        <v>52</v>
      </c>
      <c r="I77" s="169" t="e">
        <f>Energy!O22</f>
        <v>#DIV/0!</v>
      </c>
      <c r="J77" s="133" t="s">
        <v>233</v>
      </c>
      <c r="K77" s="163"/>
      <c r="L77" s="133"/>
      <c r="M77" s="133"/>
      <c r="N77" s="503"/>
      <c r="O77" s="503"/>
      <c r="P77" s="164" t="s">
        <v>376</v>
      </c>
      <c r="Q77" s="165"/>
      <c r="T77" s="168"/>
    </row>
    <row r="78" spans="1:20" x14ac:dyDescent="0.2">
      <c r="A78" s="133"/>
      <c r="B78" s="133"/>
      <c r="C78" s="163"/>
      <c r="D78" s="163"/>
      <c r="E78" s="133"/>
      <c r="F78" s="133"/>
      <c r="G78" s="163"/>
      <c r="H78" s="133"/>
      <c r="I78" s="133"/>
      <c r="J78" s="133"/>
      <c r="K78" s="163" t="s">
        <v>370</v>
      </c>
      <c r="L78" s="409" t="e">
        <f>C75</f>
        <v>#DIV/0!</v>
      </c>
      <c r="M78" s="133" t="s">
        <v>299</v>
      </c>
      <c r="N78" s="503"/>
      <c r="O78" s="503"/>
      <c r="P78" s="164"/>
      <c r="Q78" s="165"/>
    </row>
    <row r="79" spans="1:20" x14ac:dyDescent="0.2">
      <c r="A79" s="133"/>
      <c r="B79" s="133"/>
      <c r="C79" s="163"/>
      <c r="D79" s="163"/>
      <c r="E79" s="133"/>
      <c r="F79" s="133"/>
      <c r="G79" s="163"/>
      <c r="H79" s="170"/>
      <c r="I79" s="170"/>
      <c r="J79" s="170"/>
      <c r="K79" s="146" t="s">
        <v>370</v>
      </c>
      <c r="L79" s="686" t="e">
        <f>L78/N79</f>
        <v>#DIV/0!</v>
      </c>
      <c r="M79" s="170" t="s">
        <v>312</v>
      </c>
      <c r="N79" s="505">
        <v>2</v>
      </c>
      <c r="O79" s="505"/>
      <c r="P79" s="171"/>
      <c r="Q79" s="172"/>
    </row>
    <row r="80" spans="1:20" x14ac:dyDescent="0.2">
      <c r="A80" s="159" t="s">
        <v>377</v>
      </c>
      <c r="B80" s="173"/>
      <c r="C80" s="174"/>
      <c r="D80" s="174"/>
      <c r="E80" s="173"/>
      <c r="F80" s="173"/>
      <c r="G80" s="174"/>
      <c r="H80" s="133"/>
      <c r="I80" s="133"/>
      <c r="J80" s="133"/>
      <c r="K80" s="163"/>
      <c r="L80" s="133"/>
      <c r="M80" s="133"/>
      <c r="N80" s="503"/>
      <c r="O80" s="503"/>
      <c r="P80" s="164"/>
      <c r="Q80" s="165"/>
    </row>
    <row r="81" spans="1:20" ht="16" x14ac:dyDescent="0.2">
      <c r="A81" s="133" t="s">
        <v>353</v>
      </c>
      <c r="B81" s="133" t="s">
        <v>370</v>
      </c>
      <c r="C81" s="182" t="e">
        <f>L78</f>
        <v>#DIV/0!</v>
      </c>
      <c r="D81" s="163" t="s">
        <v>299</v>
      </c>
      <c r="E81" s="133"/>
      <c r="F81" s="133"/>
      <c r="G81" s="163"/>
      <c r="H81" s="133"/>
      <c r="I81" s="133"/>
      <c r="J81" s="133"/>
      <c r="K81" s="163"/>
      <c r="L81" s="133"/>
      <c r="M81" s="133"/>
      <c r="N81" s="503"/>
      <c r="O81" s="503"/>
      <c r="P81" s="112" t="s">
        <v>378</v>
      </c>
      <c r="Q81" s="818">
        <v>2</v>
      </c>
    </row>
    <row r="82" spans="1:20" ht="16" x14ac:dyDescent="0.2">
      <c r="A82" s="133"/>
      <c r="B82" s="133"/>
      <c r="C82" s="163"/>
      <c r="D82" s="163"/>
      <c r="E82" s="211" t="s">
        <v>74</v>
      </c>
      <c r="F82" s="183" t="e">
        <f>Stoichiometry!E26*Q82/Q81*Stoichiometry!C12/1000</f>
        <v>#DIV/0!</v>
      </c>
      <c r="G82" s="163" t="s">
        <v>299</v>
      </c>
      <c r="H82" s="133"/>
      <c r="I82" s="133"/>
      <c r="J82" s="133"/>
      <c r="K82" s="163"/>
      <c r="L82" s="133"/>
      <c r="M82" s="133"/>
      <c r="N82" s="503"/>
      <c r="O82" s="503"/>
      <c r="P82" s="112" t="s">
        <v>379</v>
      </c>
      <c r="Q82" s="818">
        <v>3</v>
      </c>
    </row>
    <row r="83" spans="1:20" ht="16" x14ac:dyDescent="0.2">
      <c r="A83" s="133"/>
      <c r="B83" s="133"/>
      <c r="C83" s="163"/>
      <c r="D83" s="163"/>
      <c r="E83" s="133"/>
      <c r="F83" s="183"/>
      <c r="G83" s="163"/>
      <c r="H83" s="133" t="s">
        <v>52</v>
      </c>
      <c r="I83" s="169" t="e">
        <f>Energy!O23</f>
        <v>#DIV/0!</v>
      </c>
      <c r="J83" s="133" t="s">
        <v>233</v>
      </c>
      <c r="K83" s="163"/>
      <c r="L83" s="133"/>
      <c r="M83" s="133"/>
      <c r="N83" s="503"/>
      <c r="O83" s="503"/>
      <c r="P83" s="164" t="s">
        <v>376</v>
      </c>
      <c r="Q83" s="165"/>
    </row>
    <row r="84" spans="1:20" ht="17" x14ac:dyDescent="0.25">
      <c r="A84" s="133"/>
      <c r="B84" s="133"/>
      <c r="C84" s="163"/>
      <c r="D84" s="163"/>
      <c r="E84" s="133"/>
      <c r="F84" s="133"/>
      <c r="G84" s="163"/>
      <c r="H84" s="133"/>
      <c r="I84" s="133"/>
      <c r="J84" s="133"/>
      <c r="K84" s="163" t="s">
        <v>380</v>
      </c>
      <c r="L84" s="178" t="e">
        <f>C81+F82-L86-L87</f>
        <v>#DIV/0!</v>
      </c>
      <c r="M84" s="133" t="s">
        <v>299</v>
      </c>
      <c r="N84" s="503"/>
      <c r="O84" s="503"/>
      <c r="P84" s="164"/>
      <c r="Q84" s="165"/>
    </row>
    <row r="85" spans="1:20" ht="17" x14ac:dyDescent="0.25">
      <c r="A85" s="133"/>
      <c r="B85" s="133"/>
      <c r="C85" s="163"/>
      <c r="D85" s="163"/>
      <c r="E85" s="133"/>
      <c r="F85" s="133"/>
      <c r="G85" s="163"/>
      <c r="H85" s="133"/>
      <c r="I85" s="133"/>
      <c r="J85" s="133"/>
      <c r="K85" s="163" t="s">
        <v>380</v>
      </c>
      <c r="L85" s="178" t="e">
        <f>L84/N85</f>
        <v>#DIV/0!</v>
      </c>
      <c r="M85" s="133" t="s">
        <v>312</v>
      </c>
      <c r="N85" s="507">
        <v>2</v>
      </c>
      <c r="O85" s="507"/>
      <c r="P85" s="164"/>
      <c r="Q85" s="529"/>
    </row>
    <row r="86" spans="1:20" ht="16" x14ac:dyDescent="0.2">
      <c r="A86" s="133"/>
      <c r="B86" s="133"/>
      <c r="C86" s="163"/>
      <c r="D86" s="163"/>
      <c r="E86" s="133"/>
      <c r="F86" s="133"/>
      <c r="G86" s="163"/>
      <c r="H86" s="133"/>
      <c r="I86" s="133"/>
      <c r="J86" s="133"/>
      <c r="K86" s="163" t="s">
        <v>41</v>
      </c>
      <c r="L86" s="180" t="e">
        <f>F67</f>
        <v>#DIV/0!</v>
      </c>
      <c r="M86" s="133" t="s">
        <v>299</v>
      </c>
      <c r="N86" s="503"/>
      <c r="O86" s="503"/>
      <c r="P86" s="164" t="s">
        <v>381</v>
      </c>
      <c r="Q86" s="165"/>
    </row>
    <row r="87" spans="1:20" ht="16" x14ac:dyDescent="0.2">
      <c r="A87" s="133"/>
      <c r="B87" s="133"/>
      <c r="C87" s="163"/>
      <c r="D87" s="163"/>
      <c r="E87" s="133"/>
      <c r="F87" s="133"/>
      <c r="G87" s="163"/>
      <c r="H87" s="133"/>
      <c r="I87" s="133"/>
      <c r="J87" s="133"/>
      <c r="K87" s="163" t="s">
        <v>63</v>
      </c>
      <c r="L87" s="169" t="e">
        <f>F66</f>
        <v>#DIV/0!</v>
      </c>
      <c r="M87" s="133" t="s">
        <v>299</v>
      </c>
      <c r="N87" s="503"/>
      <c r="O87" s="503"/>
      <c r="P87" s="164" t="s">
        <v>381</v>
      </c>
      <c r="Q87" s="165"/>
    </row>
    <row r="88" spans="1:20" x14ac:dyDescent="0.2">
      <c r="A88" s="170"/>
      <c r="B88" s="170"/>
      <c r="C88" s="146"/>
      <c r="D88" s="146"/>
      <c r="E88" s="170"/>
      <c r="F88" s="170"/>
      <c r="G88" s="146"/>
      <c r="H88" s="146"/>
      <c r="I88" s="170"/>
      <c r="J88" s="170"/>
      <c r="K88" s="146"/>
      <c r="L88" s="170"/>
      <c r="M88" s="170"/>
      <c r="N88" s="505"/>
      <c r="O88" s="505"/>
      <c r="P88" s="171"/>
      <c r="Q88" s="172"/>
    </row>
    <row r="89" spans="1:20" ht="16" x14ac:dyDescent="0.2">
      <c r="A89" s="777" t="s">
        <v>206</v>
      </c>
      <c r="B89" s="173"/>
      <c r="C89" s="174"/>
      <c r="D89" s="174"/>
      <c r="E89" s="173"/>
      <c r="F89" s="173"/>
      <c r="G89" s="174"/>
      <c r="H89" s="133"/>
      <c r="I89" s="133"/>
      <c r="J89" s="133"/>
      <c r="K89" s="163"/>
      <c r="L89" s="133"/>
      <c r="M89" s="133"/>
      <c r="N89" s="503"/>
      <c r="O89" s="503"/>
      <c r="P89" s="164"/>
      <c r="Q89" s="165"/>
    </row>
    <row r="90" spans="1:20" ht="33" x14ac:dyDescent="0.25">
      <c r="A90" s="211" t="s">
        <v>382</v>
      </c>
      <c r="B90" s="133" t="s">
        <v>383</v>
      </c>
      <c r="C90" s="162" t="e">
        <f>L71</f>
        <v>#DIV/0!</v>
      </c>
      <c r="D90" s="163" t="s">
        <v>299</v>
      </c>
      <c r="E90" s="133"/>
      <c r="F90" s="133"/>
      <c r="G90" s="163"/>
      <c r="H90" s="133"/>
      <c r="I90" s="133"/>
      <c r="J90" s="133"/>
      <c r="K90" s="163"/>
      <c r="L90" s="133"/>
      <c r="M90" s="133"/>
      <c r="N90" s="503"/>
      <c r="O90" s="503"/>
      <c r="P90" s="164"/>
      <c r="Q90" s="165"/>
      <c r="T90" s="168"/>
    </row>
    <row r="91" spans="1:20" ht="16" x14ac:dyDescent="0.2">
      <c r="A91" s="133"/>
      <c r="B91" s="133"/>
      <c r="C91" s="162"/>
      <c r="D91" s="163"/>
      <c r="E91" s="133"/>
      <c r="F91" s="133"/>
      <c r="G91" s="163"/>
      <c r="H91" s="133" t="s">
        <v>52</v>
      </c>
      <c r="I91" s="169" t="e">
        <f>Energy!O24</f>
        <v>#DIV/0!</v>
      </c>
      <c r="J91" s="133" t="s">
        <v>233</v>
      </c>
      <c r="K91" s="163"/>
      <c r="L91" s="133"/>
      <c r="M91" s="133"/>
      <c r="N91" s="503"/>
      <c r="O91" s="503"/>
      <c r="P91" s="164" t="s">
        <v>384</v>
      </c>
      <c r="Q91" s="165"/>
    </row>
    <row r="92" spans="1:20" ht="17" x14ac:dyDescent="0.25">
      <c r="A92" s="133"/>
      <c r="B92" s="133"/>
      <c r="C92" s="163"/>
      <c r="D92" s="163"/>
      <c r="E92" s="133"/>
      <c r="F92" s="133"/>
      <c r="G92" s="163"/>
      <c r="H92" s="133"/>
      <c r="I92" s="133"/>
      <c r="J92" s="133"/>
      <c r="K92" s="163" t="s">
        <v>162</v>
      </c>
      <c r="L92" s="169" t="e">
        <f>(Stoichiometry!G14+Stoichiometry!G28)*Efficiencies!E28</f>
        <v>#DIV/0!</v>
      </c>
      <c r="M92" s="133" t="s">
        <v>299</v>
      </c>
      <c r="N92" s="503"/>
      <c r="O92" s="503"/>
      <c r="P92" s="164"/>
      <c r="Q92" s="165"/>
    </row>
    <row r="93" spans="1:20" ht="16" x14ac:dyDescent="0.2">
      <c r="A93" s="133"/>
      <c r="B93" s="133"/>
      <c r="C93" s="163"/>
      <c r="D93" s="163"/>
      <c r="E93" s="133"/>
      <c r="F93" s="133"/>
      <c r="G93" s="163"/>
      <c r="H93" s="133"/>
      <c r="I93" s="133"/>
      <c r="J93" s="133"/>
      <c r="K93" s="163" t="s">
        <v>226</v>
      </c>
      <c r="L93" s="169" t="e">
        <f>C90-L92</f>
        <v>#DIV/0!</v>
      </c>
      <c r="M93" s="133" t="s">
        <v>299</v>
      </c>
      <c r="N93" s="503"/>
      <c r="O93" s="503"/>
      <c r="P93" s="164" t="s">
        <v>385</v>
      </c>
      <c r="Q93" s="165"/>
    </row>
    <row r="94" spans="1:20" x14ac:dyDescent="0.2">
      <c r="A94" s="133"/>
      <c r="B94" s="133"/>
      <c r="C94" s="163"/>
      <c r="D94" s="163"/>
      <c r="E94" s="133"/>
      <c r="F94" s="133"/>
      <c r="G94" s="163"/>
      <c r="H94" s="170"/>
      <c r="I94" s="170"/>
      <c r="J94" s="170"/>
      <c r="K94" s="146"/>
      <c r="L94" s="170"/>
      <c r="M94" s="170"/>
      <c r="N94" s="505"/>
      <c r="O94" s="505"/>
      <c r="P94" s="171"/>
      <c r="Q94" s="172"/>
    </row>
    <row r="95" spans="1:20" ht="16" x14ac:dyDescent="0.2">
      <c r="A95" s="777" t="s">
        <v>207</v>
      </c>
      <c r="B95" s="173"/>
      <c r="C95" s="174"/>
      <c r="D95" s="174"/>
      <c r="E95" s="173"/>
      <c r="F95" s="173"/>
      <c r="G95" s="174"/>
      <c r="H95" s="133"/>
      <c r="I95" s="133"/>
      <c r="J95" s="133"/>
      <c r="K95" s="163"/>
      <c r="L95" s="133"/>
      <c r="M95" s="133"/>
      <c r="N95" s="503"/>
      <c r="O95" s="503"/>
      <c r="P95" s="164"/>
      <c r="Q95" s="165"/>
    </row>
    <row r="96" spans="1:20" ht="33" x14ac:dyDescent="0.25">
      <c r="A96" s="211" t="s">
        <v>382</v>
      </c>
      <c r="B96" s="133" t="s">
        <v>380</v>
      </c>
      <c r="C96" s="162" t="e">
        <f>L84</f>
        <v>#DIV/0!</v>
      </c>
      <c r="D96" s="163" t="s">
        <v>299</v>
      </c>
      <c r="E96" s="133"/>
      <c r="F96" s="133"/>
      <c r="G96" s="163"/>
      <c r="H96" s="133"/>
      <c r="I96" s="133"/>
      <c r="J96" s="133"/>
      <c r="K96" s="163"/>
      <c r="L96" s="133"/>
      <c r="M96" s="133"/>
      <c r="N96" s="503"/>
      <c r="O96" s="503"/>
      <c r="P96" s="164"/>
      <c r="Q96" s="165"/>
      <c r="T96" s="168"/>
    </row>
    <row r="97" spans="1:29" ht="16" x14ac:dyDescent="0.2">
      <c r="A97" s="133"/>
      <c r="B97" s="133"/>
      <c r="C97" s="162"/>
      <c r="D97" s="163"/>
      <c r="E97" s="133"/>
      <c r="F97" s="133"/>
      <c r="G97" s="163"/>
      <c r="H97" s="133" t="s">
        <v>52</v>
      </c>
      <c r="I97" s="169" t="e">
        <f>Energy!O25</f>
        <v>#DIV/0!</v>
      </c>
      <c r="J97" s="133" t="s">
        <v>233</v>
      </c>
      <c r="K97" s="163"/>
      <c r="L97" s="133"/>
      <c r="M97" s="133"/>
      <c r="N97" s="503"/>
      <c r="O97" s="503"/>
      <c r="P97" s="164" t="s">
        <v>384</v>
      </c>
      <c r="Q97" s="165"/>
    </row>
    <row r="98" spans="1:29" ht="17" x14ac:dyDescent="0.25">
      <c r="A98" s="133"/>
      <c r="B98" s="133"/>
      <c r="C98" s="163"/>
      <c r="D98" s="163"/>
      <c r="E98" s="133"/>
      <c r="F98" s="133"/>
      <c r="G98" s="163"/>
      <c r="H98" s="133"/>
      <c r="I98" s="133"/>
      <c r="J98" s="133"/>
      <c r="K98" s="163" t="s">
        <v>147</v>
      </c>
      <c r="L98" s="169" t="e">
        <f>(Stoichiometry!G15+Stoichiometry!G29)*Efficiencies!E27</f>
        <v>#DIV/0!</v>
      </c>
      <c r="M98" s="133" t="s">
        <v>299</v>
      </c>
      <c r="N98" s="503"/>
      <c r="O98" s="503"/>
      <c r="P98" s="164"/>
      <c r="Q98" s="165"/>
    </row>
    <row r="99" spans="1:29" ht="16" x14ac:dyDescent="0.2">
      <c r="A99" s="133"/>
      <c r="B99" s="133"/>
      <c r="C99" s="163"/>
      <c r="D99" s="163"/>
      <c r="E99" s="133"/>
      <c r="F99" s="133"/>
      <c r="G99" s="163"/>
      <c r="H99" s="133"/>
      <c r="I99" s="133"/>
      <c r="J99" s="133"/>
      <c r="K99" s="163" t="s">
        <v>226</v>
      </c>
      <c r="L99" s="169" t="e">
        <f>C96-L98</f>
        <v>#DIV/0!</v>
      </c>
      <c r="M99" s="133" t="s">
        <v>299</v>
      </c>
      <c r="N99" s="503"/>
      <c r="O99" s="503"/>
      <c r="P99" s="164" t="s">
        <v>385</v>
      </c>
      <c r="Q99" s="165"/>
      <c r="T99" s="168"/>
    </row>
    <row r="100" spans="1:29" x14ac:dyDescent="0.2">
      <c r="A100" s="170"/>
      <c r="B100" s="170"/>
      <c r="C100" s="146"/>
      <c r="D100" s="146"/>
      <c r="E100" s="170"/>
      <c r="F100" s="170"/>
      <c r="G100" s="146"/>
      <c r="H100" s="170"/>
      <c r="I100" s="170"/>
      <c r="J100" s="170"/>
      <c r="K100" s="146"/>
      <c r="L100" s="170"/>
      <c r="M100" s="170"/>
      <c r="N100" s="505"/>
      <c r="O100" s="505"/>
      <c r="P100" s="171"/>
      <c r="Q100" s="172"/>
    </row>
    <row r="101" spans="1:29" x14ac:dyDescent="0.2">
      <c r="A101" s="159" t="s">
        <v>24</v>
      </c>
      <c r="B101" s="322"/>
      <c r="C101" s="174"/>
      <c r="D101" s="174"/>
      <c r="E101" s="173"/>
      <c r="F101" s="174"/>
      <c r="G101" s="174"/>
      <c r="H101" s="173"/>
      <c r="I101" s="173"/>
      <c r="J101" s="173"/>
      <c r="K101" s="174"/>
      <c r="L101" s="173"/>
      <c r="M101" s="173"/>
      <c r="N101" s="508"/>
      <c r="O101" s="508"/>
      <c r="P101" s="323"/>
      <c r="Q101" s="324"/>
    </row>
    <row r="102" spans="1:29" x14ac:dyDescent="0.2">
      <c r="A102" s="170"/>
      <c r="B102" s="146" t="s">
        <v>386</v>
      </c>
      <c r="C102" s="146"/>
      <c r="D102" s="146"/>
      <c r="E102" s="325"/>
      <c r="F102" s="170"/>
      <c r="G102" s="146"/>
      <c r="H102" s="146"/>
      <c r="I102" s="146"/>
      <c r="J102" s="146"/>
      <c r="K102" s="146"/>
      <c r="L102" s="194"/>
      <c r="M102" s="146"/>
      <c r="N102" s="458"/>
      <c r="O102" s="458"/>
      <c r="P102" s="171"/>
      <c r="Q102" s="195"/>
    </row>
    <row r="103" spans="1:29" x14ac:dyDescent="0.2">
      <c r="L103" s="168"/>
      <c r="P103"/>
      <c r="Q103" s="288"/>
    </row>
    <row r="104" spans="1:29" x14ac:dyDescent="0.2">
      <c r="L104" s="250"/>
      <c r="P104"/>
      <c r="Q104" s="288"/>
    </row>
    <row r="105" spans="1:29" x14ac:dyDescent="0.2">
      <c r="A105" s="126"/>
    </row>
    <row r="106" spans="1:29" x14ac:dyDescent="0.2">
      <c r="B106" s="326"/>
    </row>
    <row r="107" spans="1:29" x14ac:dyDescent="0.2">
      <c r="S107" s="168"/>
      <c r="T107" s="184"/>
    </row>
    <row r="108" spans="1:29" ht="16" thickBot="1" x14ac:dyDescent="0.25">
      <c r="A108" s="185"/>
      <c r="B108" s="185"/>
      <c r="C108" s="185"/>
      <c r="D108" s="185"/>
      <c r="E108" s="186"/>
      <c r="F108" s="185"/>
      <c r="G108" s="185"/>
      <c r="H108" s="185"/>
      <c r="I108" s="185"/>
      <c r="J108" s="185"/>
      <c r="K108" s="185"/>
      <c r="L108" s="185"/>
      <c r="M108" s="185"/>
      <c r="N108" s="509"/>
      <c r="O108" s="509"/>
      <c r="P108" s="187"/>
      <c r="Q108" s="188"/>
      <c r="R108" s="185"/>
      <c r="S108" s="185"/>
      <c r="T108" s="185"/>
      <c r="U108" s="185"/>
      <c r="V108" s="185"/>
      <c r="W108" s="185"/>
      <c r="X108" s="185"/>
      <c r="Y108" s="185"/>
      <c r="Z108" s="185"/>
      <c r="AA108" s="185"/>
      <c r="AB108" s="185"/>
      <c r="AC108" s="185"/>
    </row>
    <row r="109" spans="1:29" ht="16" thickTop="1" x14ac:dyDescent="0.2"/>
    <row r="110" spans="1:29" ht="22" thickBot="1" x14ac:dyDescent="0.3">
      <c r="A110" s="189" t="s">
        <v>387</v>
      </c>
    </row>
    <row r="111" spans="1:29" ht="16" x14ac:dyDescent="0.2">
      <c r="A111" s="152" t="s">
        <v>292</v>
      </c>
      <c r="B111" s="99" t="s">
        <v>13</v>
      </c>
      <c r="C111" s="99" t="s">
        <v>262</v>
      </c>
      <c r="D111" s="99" t="s">
        <v>263</v>
      </c>
      <c r="E111" s="100" t="s">
        <v>293</v>
      </c>
      <c r="F111" s="100" t="s">
        <v>262</v>
      </c>
      <c r="G111" s="100" t="s">
        <v>263</v>
      </c>
      <c r="H111" s="102" t="s">
        <v>294</v>
      </c>
      <c r="I111" s="153" t="s">
        <v>262</v>
      </c>
      <c r="J111" s="153" t="s">
        <v>263</v>
      </c>
      <c r="K111" s="103" t="s">
        <v>341</v>
      </c>
      <c r="L111" s="154" t="s">
        <v>262</v>
      </c>
      <c r="M111" s="103" t="s">
        <v>263</v>
      </c>
      <c r="N111" s="520" t="s">
        <v>342</v>
      </c>
      <c r="O111" s="520"/>
      <c r="P111" s="98" t="s">
        <v>296</v>
      </c>
      <c r="Q111" s="155" t="s">
        <v>309</v>
      </c>
      <c r="S111" s="327" t="s">
        <v>13</v>
      </c>
      <c r="T111" s="328" t="s">
        <v>262</v>
      </c>
      <c r="U111" s="329" t="s">
        <v>263</v>
      </c>
    </row>
    <row r="112" spans="1:29" ht="32" x14ac:dyDescent="0.2">
      <c r="A112" s="159" t="s">
        <v>216</v>
      </c>
      <c r="B112" s="158"/>
      <c r="C112" s="158"/>
      <c r="D112" s="158"/>
      <c r="E112" s="158"/>
      <c r="F112" s="158"/>
      <c r="G112" s="158"/>
      <c r="H112" s="158"/>
      <c r="I112" s="158"/>
      <c r="J112" s="158"/>
      <c r="K112" s="158"/>
      <c r="L112" s="158"/>
      <c r="M112" s="158"/>
      <c r="N112" s="510"/>
      <c r="O112" s="510"/>
      <c r="P112" s="190"/>
      <c r="Q112" s="191"/>
      <c r="S112" s="73" t="s">
        <v>388</v>
      </c>
      <c r="T112" s="78">
        <f>B5</f>
        <v>25000</v>
      </c>
      <c r="U112" s="75" t="s">
        <v>337</v>
      </c>
    </row>
    <row r="113" spans="1:22" ht="32" x14ac:dyDescent="0.2">
      <c r="A113" s="133" t="s">
        <v>344</v>
      </c>
      <c r="B113" s="163" t="s">
        <v>107</v>
      </c>
      <c r="C113" s="162" t="e">
        <f>T120</f>
        <v>#DIV/0!</v>
      </c>
      <c r="D113" s="163" t="s">
        <v>299</v>
      </c>
      <c r="E113" s="163"/>
      <c r="F113" s="163"/>
      <c r="G113" s="163"/>
      <c r="H113" s="163"/>
      <c r="I113" s="163"/>
      <c r="J113" s="163"/>
      <c r="K113" s="163"/>
      <c r="L113" s="163"/>
      <c r="M113" s="163"/>
      <c r="N113" s="494"/>
      <c r="O113" s="494"/>
      <c r="P113" s="164" t="s">
        <v>389</v>
      </c>
      <c r="Q113" s="192"/>
      <c r="S113" s="73"/>
      <c r="T113" s="74"/>
      <c r="U113" s="75"/>
    </row>
    <row r="114" spans="1:22" ht="16" x14ac:dyDescent="0.2">
      <c r="A114" s="133" t="s">
        <v>345</v>
      </c>
      <c r="B114" s="163"/>
      <c r="C114" s="163"/>
      <c r="D114" s="163"/>
      <c r="E114" s="164" t="s">
        <v>74</v>
      </c>
      <c r="F114" s="162" t="e">
        <f>IF(Macro!D10=TRUE,Stoichiometry!G44,0)</f>
        <v>#DIV/0!</v>
      </c>
      <c r="G114" s="163" t="s">
        <v>299</v>
      </c>
      <c r="H114" s="163"/>
      <c r="I114" s="163"/>
      <c r="J114" s="163"/>
      <c r="K114" s="163"/>
      <c r="L114" s="163"/>
      <c r="M114" s="163"/>
      <c r="N114" s="494"/>
      <c r="P114" s="164"/>
      <c r="Q114" s="192"/>
      <c r="S114" s="73" t="s">
        <v>390</v>
      </c>
      <c r="T114" s="193" t="e">
        <f>$T$112*(Battery!E9+Battery!E17+Battery!E25)</f>
        <v>#DIV/0!</v>
      </c>
      <c r="U114" s="75" t="s">
        <v>337</v>
      </c>
    </row>
    <row r="115" spans="1:22" ht="16" x14ac:dyDescent="0.2">
      <c r="A115" s="133"/>
      <c r="B115" s="163"/>
      <c r="C115" s="163"/>
      <c r="D115" s="163"/>
      <c r="E115" s="163"/>
      <c r="F115" s="162"/>
      <c r="G115" s="163"/>
      <c r="H115" s="163" t="s">
        <v>52</v>
      </c>
      <c r="I115" s="162" t="e">
        <f>Energy!O26</f>
        <v>#DIV/0!</v>
      </c>
      <c r="J115" s="163" t="s">
        <v>233</v>
      </c>
      <c r="K115" s="163"/>
      <c r="L115" s="163"/>
      <c r="M115" s="163"/>
      <c r="N115" s="494"/>
      <c r="P115" s="164" t="s">
        <v>391</v>
      </c>
      <c r="Q115" s="192"/>
      <c r="S115" s="73" t="s">
        <v>103</v>
      </c>
      <c r="T115" s="193" t="e">
        <f>T112*Battery!E12</f>
        <v>#DIV/0!</v>
      </c>
      <c r="U115" s="75" t="s">
        <v>337</v>
      </c>
    </row>
    <row r="116" spans="1:22" ht="16" x14ac:dyDescent="0.2">
      <c r="A116" s="133"/>
      <c r="B116" s="163"/>
      <c r="C116" s="163"/>
      <c r="D116" s="163"/>
      <c r="E116" s="163"/>
      <c r="F116" s="163"/>
      <c r="G116" s="163"/>
      <c r="H116" s="163"/>
      <c r="I116" s="163"/>
      <c r="J116" s="163"/>
      <c r="K116" s="163" t="s">
        <v>347</v>
      </c>
      <c r="L116" s="162" t="e">
        <f>IF(Macro!D10=TRUE,Stoichiometry!G53,0)</f>
        <v>#DIV/0!</v>
      </c>
      <c r="M116" s="163" t="s">
        <v>299</v>
      </c>
      <c r="N116" s="494"/>
      <c r="O116" s="494"/>
      <c r="P116" s="164" t="s">
        <v>392</v>
      </c>
      <c r="Q116" s="192"/>
      <c r="S116" s="73" t="s">
        <v>102</v>
      </c>
      <c r="T116" s="193" t="e">
        <f>T112*Battery!E13*T124</f>
        <v>#DIV/0!</v>
      </c>
      <c r="U116" s="75" t="s">
        <v>337</v>
      </c>
    </row>
    <row r="117" spans="1:22" ht="16" x14ac:dyDescent="0.2">
      <c r="A117" s="133"/>
      <c r="B117" s="163"/>
      <c r="C117" s="163"/>
      <c r="D117" s="163"/>
      <c r="E117" s="163"/>
      <c r="F117" s="163"/>
      <c r="G117" s="163"/>
      <c r="H117" s="163"/>
      <c r="I117" s="163"/>
      <c r="J117" s="163"/>
      <c r="K117" s="163" t="s">
        <v>347</v>
      </c>
      <c r="L117" s="402" t="e">
        <f>L116/Stoichiometry!C53</f>
        <v>#DIV/0!</v>
      </c>
      <c r="M117" s="163" t="s">
        <v>312</v>
      </c>
      <c r="N117" s="494"/>
      <c r="O117" s="494"/>
      <c r="P117" s="164"/>
      <c r="Q117" s="192"/>
      <c r="S117" s="73" t="s">
        <v>49</v>
      </c>
      <c r="T117" s="196" t="e">
        <f>T112*(Battery!E20+Battery!E26)*T123</f>
        <v>#DIV/0!</v>
      </c>
      <c r="U117" s="75" t="s">
        <v>337</v>
      </c>
    </row>
    <row r="118" spans="1:22" ht="18" x14ac:dyDescent="0.2">
      <c r="A118" s="170"/>
      <c r="B118" s="194"/>
      <c r="C118" s="146"/>
      <c r="D118" s="146"/>
      <c r="E118" s="146"/>
      <c r="F118" s="146"/>
      <c r="G118" s="146"/>
      <c r="H118" s="146"/>
      <c r="I118" s="146"/>
      <c r="J118" s="146"/>
      <c r="K118" s="146"/>
      <c r="L118" s="146"/>
      <c r="M118" s="146"/>
      <c r="N118" s="458"/>
      <c r="O118" s="458"/>
      <c r="P118" s="171"/>
      <c r="Q118" s="195"/>
      <c r="S118" s="73" t="s">
        <v>393</v>
      </c>
      <c r="T118" s="196" t="e">
        <f>'R1_MEFA'!F42</f>
        <v>#DIV/0!</v>
      </c>
      <c r="U118" s="75" t="s">
        <v>337</v>
      </c>
    </row>
    <row r="119" spans="1:22" ht="16" x14ac:dyDescent="0.2">
      <c r="A119" s="778" t="s">
        <v>217</v>
      </c>
      <c r="B119" s="197"/>
      <c r="C119" s="163"/>
      <c r="D119" s="163"/>
      <c r="E119" s="163"/>
      <c r="F119" s="163"/>
      <c r="G119" s="163"/>
      <c r="H119" s="163"/>
      <c r="I119" s="163"/>
      <c r="J119" s="163"/>
      <c r="K119" s="163"/>
      <c r="L119" s="163"/>
      <c r="M119" s="163"/>
      <c r="N119" s="494"/>
      <c r="O119" s="494"/>
      <c r="P119" s="164"/>
      <c r="Q119" s="192"/>
      <c r="S119" s="331" t="s">
        <v>394</v>
      </c>
      <c r="T119" s="196" t="e">
        <f>'R1_MEFA'!F41</f>
        <v>#DIV/0!</v>
      </c>
      <c r="U119" s="75" t="s">
        <v>337</v>
      </c>
    </row>
    <row r="120" spans="1:22" ht="17" thickBot="1" x14ac:dyDescent="0.25">
      <c r="A120" s="211" t="s">
        <v>349</v>
      </c>
      <c r="B120" s="163" t="s">
        <v>347</v>
      </c>
      <c r="C120" s="162" t="e">
        <f>L116</f>
        <v>#DIV/0!</v>
      </c>
      <c r="D120" s="163" t="s">
        <v>299</v>
      </c>
      <c r="E120" s="162"/>
      <c r="F120" s="163"/>
      <c r="G120" s="163"/>
      <c r="H120" s="163"/>
      <c r="I120" s="163"/>
      <c r="J120" s="163"/>
      <c r="K120" s="163"/>
      <c r="L120" s="163"/>
      <c r="M120" s="163"/>
      <c r="N120" s="494"/>
      <c r="O120" s="494"/>
      <c r="P120" s="164"/>
      <c r="Q120" s="192"/>
      <c r="S120" s="403" t="s">
        <v>395</v>
      </c>
      <c r="T120" s="332" t="e">
        <f>IF(Macro!D10=TRUE,SUM(T114:T119),0)</f>
        <v>#DIV/0!</v>
      </c>
      <c r="U120" s="80" t="s">
        <v>337</v>
      </c>
    </row>
    <row r="121" spans="1:22" ht="17" thickBot="1" x14ac:dyDescent="0.25">
      <c r="A121" s="133"/>
      <c r="B121" s="163"/>
      <c r="C121" s="163"/>
      <c r="D121" s="163"/>
      <c r="E121" s="198" t="s">
        <v>226</v>
      </c>
      <c r="F121" s="182" t="e">
        <f>IF(Macro!D10=TRUE,(Stoichiometry!G34/(Stoichiometry!J11/1000)+Stoichiometry!G35/(Stoichiometry!J7/1000)+Stoichiometry!G36/(Stoichiometry!J8/1000)+Stoichiometry!G37/(Stoichiometry!J10/1000))*Q121,0)</f>
        <v>#DIV/0!</v>
      </c>
      <c r="G121" s="163" t="s">
        <v>299</v>
      </c>
      <c r="H121" s="163"/>
      <c r="I121" s="163"/>
      <c r="J121" s="163"/>
      <c r="K121" s="163"/>
      <c r="L121" s="163"/>
      <c r="M121" s="163"/>
      <c r="N121" s="494"/>
      <c r="O121" s="494"/>
      <c r="P121" s="111" t="s">
        <v>350</v>
      </c>
      <c r="Q121" s="818">
        <v>1.2</v>
      </c>
    </row>
    <row r="122" spans="1:22" x14ac:dyDescent="0.2">
      <c r="A122" s="133"/>
      <c r="B122" s="163"/>
      <c r="C122" s="163"/>
      <c r="D122" s="163"/>
      <c r="E122" s="198"/>
      <c r="F122" s="182"/>
      <c r="G122" s="163"/>
      <c r="H122" s="163" t="s">
        <v>52</v>
      </c>
      <c r="I122" s="210" t="e">
        <f>Energy!O27</f>
        <v>#DIV/0!</v>
      </c>
      <c r="J122" s="163" t="s">
        <v>233</v>
      </c>
      <c r="K122" s="163"/>
      <c r="L122" s="163"/>
      <c r="M122" s="163"/>
      <c r="N122" s="494"/>
      <c r="O122" s="494"/>
      <c r="P122" s="179"/>
      <c r="Q122" s="470"/>
      <c r="S122" s="404" t="s">
        <v>260</v>
      </c>
      <c r="T122" s="270"/>
      <c r="U122" s="270"/>
      <c r="V122" s="405"/>
    </row>
    <row r="123" spans="1:22" x14ac:dyDescent="0.2">
      <c r="A123" s="133"/>
      <c r="B123" s="163"/>
      <c r="C123" s="163"/>
      <c r="D123" s="163"/>
      <c r="E123" s="163"/>
      <c r="F123" s="163"/>
      <c r="G123" s="163"/>
      <c r="H123" s="163"/>
      <c r="I123" s="163"/>
      <c r="J123" s="163"/>
      <c r="K123" s="163" t="s">
        <v>351</v>
      </c>
      <c r="L123" s="162" t="e">
        <f>C120+F121</f>
        <v>#DIV/0!</v>
      </c>
      <c r="M123" s="163" t="s">
        <v>299</v>
      </c>
      <c r="N123" s="494"/>
      <c r="O123" s="494"/>
      <c r="P123" s="164"/>
      <c r="Q123" s="192"/>
      <c r="S123" s="135" t="s">
        <v>396</v>
      </c>
      <c r="T123" s="528">
        <f>1-F5</f>
        <v>0.7</v>
      </c>
      <c r="U123" s="124" t="s">
        <v>397</v>
      </c>
      <c r="V123" s="406">
        <f>1-T123</f>
        <v>0.30000000000000004</v>
      </c>
    </row>
    <row r="124" spans="1:22" ht="16" thickBot="1" x14ac:dyDescent="0.25">
      <c r="A124" s="156"/>
      <c r="B124" s="163"/>
      <c r="C124" s="163"/>
      <c r="D124" s="163"/>
      <c r="E124" s="163"/>
      <c r="F124" s="163"/>
      <c r="G124" s="163"/>
      <c r="H124" s="163"/>
      <c r="I124" s="163"/>
      <c r="J124" s="163"/>
      <c r="K124" s="163" t="s">
        <v>351</v>
      </c>
      <c r="L124" s="199" t="e">
        <f>IF(Macro!D10=TRUE,L123/N124,0)</f>
        <v>#DIV/0!</v>
      </c>
      <c r="M124" s="163" t="s">
        <v>312</v>
      </c>
      <c r="N124" s="511" t="e">
        <f>Stoichiometry!C53*C120/L123+1*F121/L123</f>
        <v>#DIV/0!</v>
      </c>
      <c r="O124" s="511"/>
      <c r="P124" s="205"/>
      <c r="Q124" s="192"/>
      <c r="S124" s="140" t="s">
        <v>398</v>
      </c>
      <c r="T124" s="821">
        <v>0.86</v>
      </c>
      <c r="U124" s="141" t="s">
        <v>399</v>
      </c>
      <c r="V124" s="407">
        <f>1-T124</f>
        <v>0.14000000000000001</v>
      </c>
    </row>
    <row r="125" spans="1:22" x14ac:dyDescent="0.2">
      <c r="A125" s="200"/>
      <c r="B125" s="201"/>
      <c r="C125" s="202"/>
      <c r="D125" s="202"/>
      <c r="E125" s="202"/>
      <c r="F125" s="202"/>
      <c r="G125" s="202"/>
      <c r="H125" s="202"/>
      <c r="I125" s="202"/>
      <c r="J125" s="202"/>
      <c r="K125" s="202"/>
      <c r="L125" s="202"/>
      <c r="M125" s="202"/>
      <c r="N125" s="512"/>
      <c r="O125" s="512"/>
      <c r="P125" s="203"/>
      <c r="Q125" s="204"/>
    </row>
    <row r="126" spans="1:22" x14ac:dyDescent="0.2">
      <c r="A126" s="156" t="s">
        <v>209</v>
      </c>
      <c r="B126" s="162"/>
      <c r="C126" s="163"/>
      <c r="D126" s="163"/>
      <c r="E126" s="163"/>
      <c r="F126" s="163"/>
      <c r="G126" s="163"/>
      <c r="H126" s="163"/>
      <c r="I126" s="163"/>
      <c r="J126" s="163"/>
      <c r="K126" s="163"/>
      <c r="L126" s="163"/>
      <c r="M126" s="163"/>
      <c r="N126" s="494"/>
      <c r="O126" s="494"/>
      <c r="P126" s="164"/>
      <c r="Q126" s="192"/>
      <c r="S126" s="71"/>
      <c r="T126" s="338"/>
      <c r="U126" s="71"/>
    </row>
    <row r="127" spans="1:22" x14ac:dyDescent="0.2">
      <c r="A127" s="133"/>
      <c r="B127" s="163" t="s">
        <v>351</v>
      </c>
      <c r="C127" s="162" t="e">
        <f>L123</f>
        <v>#DIV/0!</v>
      </c>
      <c r="D127" s="163" t="s">
        <v>299</v>
      </c>
      <c r="E127" s="162"/>
      <c r="F127" s="163"/>
      <c r="G127" s="163"/>
      <c r="H127" s="163"/>
      <c r="I127" s="163"/>
      <c r="J127" s="163"/>
      <c r="K127" s="163"/>
      <c r="L127" s="163"/>
      <c r="M127" s="163"/>
      <c r="N127" s="494"/>
      <c r="O127" s="494"/>
      <c r="P127" s="164"/>
      <c r="Q127" s="192"/>
      <c r="S127" s="71"/>
      <c r="T127" s="338"/>
      <c r="U127" s="71"/>
    </row>
    <row r="128" spans="1:22" x14ac:dyDescent="0.2">
      <c r="A128" s="133"/>
      <c r="B128" s="163"/>
      <c r="C128" s="162"/>
      <c r="D128" s="163"/>
      <c r="E128" s="162"/>
      <c r="F128" s="163"/>
      <c r="G128" s="163"/>
      <c r="H128" s="163" t="s">
        <v>52</v>
      </c>
      <c r="I128" s="210" t="e">
        <f>Energy!O28</f>
        <v>#DIV/0!</v>
      </c>
      <c r="J128" s="163" t="s">
        <v>233</v>
      </c>
      <c r="K128" s="163"/>
      <c r="L128" s="163"/>
      <c r="M128" s="163"/>
      <c r="N128" s="494"/>
      <c r="O128" s="494"/>
      <c r="P128" s="179"/>
      <c r="Q128" s="470"/>
      <c r="S128" s="71"/>
      <c r="T128" s="338"/>
      <c r="U128" s="71"/>
      <c r="V128" s="237"/>
    </row>
    <row r="129" spans="1:21" ht="16" x14ac:dyDescent="0.2">
      <c r="A129" s="133"/>
      <c r="B129" s="163"/>
      <c r="C129" s="162"/>
      <c r="D129" s="163"/>
      <c r="E129" s="162"/>
      <c r="F129" s="163"/>
      <c r="G129" s="163"/>
      <c r="H129" s="163"/>
      <c r="I129" s="163"/>
      <c r="J129" s="163"/>
      <c r="K129" s="163" t="s">
        <v>33</v>
      </c>
      <c r="L129" s="198" t="e">
        <f>IF(Macro!D10=TRUE,Stoichiometry!G50*Efficiencies!E31,0)</f>
        <v>#DIV/0!</v>
      </c>
      <c r="M129" s="163" t="s">
        <v>299</v>
      </c>
      <c r="N129" s="494"/>
      <c r="O129" s="494"/>
      <c r="P129" s="164" t="s">
        <v>400</v>
      </c>
      <c r="Q129" s="192"/>
      <c r="S129" s="247"/>
    </row>
    <row r="130" spans="1:21" ht="16" x14ac:dyDescent="0.2">
      <c r="A130" s="133"/>
      <c r="B130" s="163"/>
      <c r="C130" s="163"/>
      <c r="D130" s="163"/>
      <c r="E130" s="163"/>
      <c r="F130" s="163"/>
      <c r="G130" s="163"/>
      <c r="H130" s="163"/>
      <c r="I130" s="163"/>
      <c r="J130" s="163"/>
      <c r="K130" s="163" t="s">
        <v>329</v>
      </c>
      <c r="L130" s="198" t="e">
        <f>IF(Macro!D10=TRUE,Stoichiometry!G40*Efficiencies!E32,0)</f>
        <v>#DIV/0!</v>
      </c>
      <c r="M130" s="163" t="s">
        <v>299</v>
      </c>
      <c r="N130" s="494"/>
      <c r="O130" s="494"/>
      <c r="P130" s="164" t="s">
        <v>401</v>
      </c>
      <c r="Q130" s="192"/>
      <c r="S130" s="71"/>
      <c r="T130" s="71"/>
      <c r="U130" s="71"/>
    </row>
    <row r="131" spans="1:21" x14ac:dyDescent="0.2">
      <c r="A131" s="156"/>
      <c r="B131" s="163"/>
      <c r="C131" s="163"/>
      <c r="D131" s="163"/>
      <c r="E131" s="163"/>
      <c r="F131" s="163"/>
      <c r="G131" s="163"/>
      <c r="H131" s="163"/>
      <c r="I131" s="163"/>
      <c r="J131" s="163"/>
      <c r="K131" s="163" t="s">
        <v>351</v>
      </c>
      <c r="L131" s="162" t="e">
        <f>C127-L129-L130</f>
        <v>#DIV/0!</v>
      </c>
      <c r="M131" s="163" t="s">
        <v>299</v>
      </c>
      <c r="N131" s="494"/>
      <c r="O131" s="494"/>
      <c r="P131" s="164"/>
      <c r="Q131" s="192"/>
      <c r="S131" s="92"/>
      <c r="T131" s="362"/>
      <c r="U131" s="71"/>
    </row>
    <row r="132" spans="1:21" x14ac:dyDescent="0.2">
      <c r="A132" s="133"/>
      <c r="B132" s="162"/>
      <c r="C132" s="163"/>
      <c r="D132" s="163"/>
      <c r="E132" s="163"/>
      <c r="F132" s="163"/>
      <c r="G132" s="163"/>
      <c r="H132" s="163"/>
      <c r="I132" s="163"/>
      <c r="J132" s="163"/>
      <c r="K132" s="163" t="s">
        <v>351</v>
      </c>
      <c r="L132" s="162" t="e">
        <f>L131/N132</f>
        <v>#DIV/0!</v>
      </c>
      <c r="M132" s="163" t="s">
        <v>312</v>
      </c>
      <c r="N132" s="513">
        <v>1</v>
      </c>
      <c r="O132" s="513"/>
      <c r="P132" s="205"/>
      <c r="Q132" s="192"/>
    </row>
    <row r="133" spans="1:21" x14ac:dyDescent="0.2">
      <c r="A133" s="170"/>
      <c r="B133" s="206"/>
      <c r="C133" s="146"/>
      <c r="D133" s="146"/>
      <c r="E133" s="146"/>
      <c r="F133" s="146"/>
      <c r="G133" s="146"/>
      <c r="H133" s="146"/>
      <c r="I133" s="146"/>
      <c r="J133" s="146"/>
      <c r="K133" s="146"/>
      <c r="L133" s="206"/>
      <c r="M133" s="146"/>
      <c r="N133" s="458"/>
      <c r="O133" s="458"/>
      <c r="P133" s="207"/>
      <c r="Q133" s="195"/>
    </row>
    <row r="134" spans="1:21" x14ac:dyDescent="0.2">
      <c r="A134" s="156" t="s">
        <v>357</v>
      </c>
      <c r="B134" s="162"/>
      <c r="C134" s="163"/>
      <c r="D134" s="163"/>
      <c r="E134" s="163"/>
      <c r="F134" s="163"/>
      <c r="G134" s="163"/>
      <c r="H134" s="163"/>
      <c r="I134" s="163"/>
      <c r="J134" s="163"/>
      <c r="K134" s="163"/>
      <c r="L134" s="162"/>
      <c r="M134" s="163"/>
      <c r="N134" s="494"/>
      <c r="O134" s="494"/>
      <c r="P134" s="205"/>
      <c r="Q134" s="192"/>
    </row>
    <row r="135" spans="1:21" ht="16" x14ac:dyDescent="0.2">
      <c r="A135" s="211" t="s">
        <v>349</v>
      </c>
      <c r="B135" s="162" t="s">
        <v>351</v>
      </c>
      <c r="C135" s="162" t="e">
        <f>L131</f>
        <v>#DIV/0!</v>
      </c>
      <c r="D135" s="163" t="s">
        <v>299</v>
      </c>
      <c r="E135" s="163"/>
      <c r="F135" s="163"/>
      <c r="G135" s="163"/>
      <c r="H135" s="163"/>
      <c r="I135" s="163"/>
      <c r="J135" s="163"/>
      <c r="K135" s="163"/>
      <c r="L135" s="162"/>
      <c r="M135" s="163"/>
      <c r="N135" s="494"/>
      <c r="O135" s="494"/>
      <c r="P135" s="205"/>
      <c r="Q135" s="192"/>
    </row>
    <row r="136" spans="1:21" ht="16" x14ac:dyDescent="0.2">
      <c r="A136" s="133"/>
      <c r="B136" s="162"/>
      <c r="C136" s="163"/>
      <c r="D136" s="163"/>
      <c r="E136" s="164" t="s">
        <v>78</v>
      </c>
      <c r="F136" s="162" t="e">
        <f>C135*Q136</f>
        <v>#DIV/0!</v>
      </c>
      <c r="G136" s="163" t="s">
        <v>312</v>
      </c>
      <c r="H136" s="163"/>
      <c r="I136" s="163"/>
      <c r="J136" s="163"/>
      <c r="K136" s="163"/>
      <c r="L136" s="162"/>
      <c r="M136" s="163"/>
      <c r="N136" s="494"/>
      <c r="O136" s="494"/>
      <c r="P136" s="205" t="s">
        <v>358</v>
      </c>
      <c r="Q136" s="822">
        <v>0.04</v>
      </c>
    </row>
    <row r="137" spans="1:21" ht="16" x14ac:dyDescent="0.2">
      <c r="A137" s="133"/>
      <c r="B137" s="162"/>
      <c r="C137" s="163"/>
      <c r="D137" s="163"/>
      <c r="E137" s="164" t="s">
        <v>78</v>
      </c>
      <c r="F137" s="162" t="e">
        <f>F136*Stoichiometry!C58</f>
        <v>#DIV/0!</v>
      </c>
      <c r="G137" s="163" t="s">
        <v>299</v>
      </c>
      <c r="H137" s="163"/>
      <c r="I137" s="163"/>
      <c r="J137" s="163"/>
      <c r="K137" s="163"/>
      <c r="L137" s="162"/>
      <c r="M137" s="163"/>
      <c r="N137" s="494"/>
      <c r="O137" s="494"/>
      <c r="P137" s="205"/>
      <c r="Q137" s="192"/>
    </row>
    <row r="138" spans="1:21" x14ac:dyDescent="0.2">
      <c r="A138" s="133"/>
      <c r="B138" s="162"/>
      <c r="C138" s="163"/>
      <c r="D138" s="163"/>
      <c r="E138" s="163"/>
      <c r="F138" s="162"/>
      <c r="G138" s="163"/>
      <c r="H138" s="163" t="s">
        <v>52</v>
      </c>
      <c r="I138" s="210" t="e">
        <f>Energy!O29</f>
        <v>#DIV/0!</v>
      </c>
      <c r="J138" s="163" t="s">
        <v>233</v>
      </c>
      <c r="K138" s="163"/>
      <c r="L138" s="162"/>
      <c r="M138" s="163"/>
      <c r="N138" s="494"/>
      <c r="O138" s="494"/>
      <c r="P138" s="179"/>
      <c r="Q138" s="470"/>
    </row>
    <row r="139" spans="1:21" x14ac:dyDescent="0.2">
      <c r="A139" s="133"/>
      <c r="B139" s="162"/>
      <c r="C139" s="163"/>
      <c r="D139" s="163"/>
      <c r="E139" s="163"/>
      <c r="F139" s="163"/>
      <c r="G139" s="163"/>
      <c r="H139" s="163"/>
      <c r="I139" s="163"/>
      <c r="J139" s="163"/>
      <c r="K139" s="163" t="s">
        <v>351</v>
      </c>
      <c r="L139" s="162" t="e">
        <f>C135+F137</f>
        <v>#DIV/0!</v>
      </c>
      <c r="M139" s="163" t="s">
        <v>299</v>
      </c>
      <c r="N139" s="494"/>
      <c r="O139" s="494"/>
      <c r="P139" s="205"/>
      <c r="Q139" s="192"/>
    </row>
    <row r="140" spans="1:21" x14ac:dyDescent="0.2">
      <c r="A140" s="133"/>
      <c r="B140" s="162"/>
      <c r="C140" s="163"/>
      <c r="D140" s="163"/>
      <c r="E140" s="163"/>
      <c r="F140" s="163"/>
      <c r="G140" s="163"/>
      <c r="H140" s="163"/>
      <c r="I140" s="163"/>
      <c r="J140" s="163"/>
      <c r="K140" s="163" t="s">
        <v>351</v>
      </c>
      <c r="L140" s="162" t="e">
        <f>L139/N140</f>
        <v>#DIV/0!</v>
      </c>
      <c r="M140" s="163" t="s">
        <v>312</v>
      </c>
      <c r="N140" s="513">
        <v>1</v>
      </c>
      <c r="O140" s="513"/>
      <c r="P140" s="205"/>
      <c r="Q140" s="192"/>
    </row>
    <row r="141" spans="1:21" x14ac:dyDescent="0.2">
      <c r="A141" s="170"/>
      <c r="B141" s="146"/>
      <c r="C141" s="146"/>
      <c r="D141" s="146"/>
      <c r="E141" s="206"/>
      <c r="F141" s="146"/>
      <c r="G141" s="146"/>
      <c r="H141" s="146"/>
      <c r="I141" s="146"/>
      <c r="J141" s="146"/>
      <c r="K141" s="146"/>
      <c r="L141" s="146"/>
      <c r="M141" s="146"/>
      <c r="N141" s="458"/>
      <c r="O141" s="458"/>
      <c r="P141" s="171"/>
      <c r="Q141" s="195"/>
    </row>
    <row r="142" spans="1:21" ht="16" x14ac:dyDescent="0.2">
      <c r="A142" s="778" t="s">
        <v>402</v>
      </c>
      <c r="B142" s="163"/>
      <c r="C142" s="163"/>
      <c r="D142" s="163"/>
      <c r="E142" s="163"/>
      <c r="F142" s="163"/>
      <c r="G142" s="163"/>
      <c r="H142" s="163"/>
      <c r="I142" s="163"/>
      <c r="J142" s="163"/>
      <c r="K142" s="163"/>
      <c r="L142" s="163"/>
      <c r="M142" s="163"/>
      <c r="N142" s="494"/>
      <c r="O142" s="494"/>
      <c r="P142" s="164"/>
      <c r="Q142" s="192"/>
    </row>
    <row r="143" spans="1:21" ht="16" x14ac:dyDescent="0.2">
      <c r="A143" s="211" t="s">
        <v>349</v>
      </c>
      <c r="B143" s="163" t="s">
        <v>351</v>
      </c>
      <c r="C143" s="162" t="e">
        <f>L139</f>
        <v>#DIV/0!</v>
      </c>
      <c r="D143" s="163" t="s">
        <v>299</v>
      </c>
      <c r="E143" s="163"/>
      <c r="F143" s="163"/>
      <c r="G143" s="163"/>
      <c r="H143" s="163"/>
      <c r="I143" s="163"/>
      <c r="J143" s="163"/>
      <c r="K143" s="163"/>
      <c r="L143" s="163"/>
      <c r="M143" s="163"/>
      <c r="N143" s="494"/>
      <c r="O143" s="494"/>
      <c r="P143" s="164"/>
      <c r="Q143" s="192"/>
    </row>
    <row r="144" spans="1:21" ht="16" x14ac:dyDescent="0.2">
      <c r="A144" s="133"/>
      <c r="B144" s="162"/>
      <c r="C144" s="163"/>
      <c r="D144" s="163"/>
      <c r="E144" s="164" t="s">
        <v>70</v>
      </c>
      <c r="F144" s="162" t="e">
        <f>F114*Q144</f>
        <v>#DIV/0!</v>
      </c>
      <c r="G144" s="163" t="s">
        <v>299</v>
      </c>
      <c r="H144" s="163"/>
      <c r="I144" s="163"/>
      <c r="J144" s="163"/>
      <c r="K144" s="163"/>
      <c r="L144" s="163"/>
      <c r="M144" s="163"/>
      <c r="N144" s="494"/>
      <c r="O144" s="494"/>
      <c r="P144" s="111" t="s">
        <v>359</v>
      </c>
      <c r="Q144" s="818">
        <v>2</v>
      </c>
    </row>
    <row r="145" spans="1:17" x14ac:dyDescent="0.2">
      <c r="A145" s="133"/>
      <c r="B145" s="162"/>
      <c r="C145" s="163"/>
      <c r="D145" s="163"/>
      <c r="E145" s="163"/>
      <c r="F145" s="162"/>
      <c r="G145" s="163"/>
      <c r="H145" s="163" t="s">
        <v>52</v>
      </c>
      <c r="I145" s="210" t="e">
        <f>Energy!O30</f>
        <v>#DIV/0!</v>
      </c>
      <c r="J145" s="163" t="s">
        <v>233</v>
      </c>
      <c r="K145" s="163"/>
      <c r="L145" s="163"/>
      <c r="M145" s="163"/>
      <c r="N145" s="494"/>
      <c r="O145" s="494"/>
      <c r="P145" s="179"/>
      <c r="Q145" s="470"/>
    </row>
    <row r="146" spans="1:17" x14ac:dyDescent="0.2">
      <c r="A146" s="133"/>
      <c r="B146" s="162"/>
      <c r="C146" s="163"/>
      <c r="D146" s="163"/>
      <c r="E146" s="163"/>
      <c r="F146" s="163"/>
      <c r="G146" s="163"/>
      <c r="H146" s="163"/>
      <c r="I146" s="163"/>
      <c r="J146" s="163"/>
      <c r="K146" s="163" t="s">
        <v>351</v>
      </c>
      <c r="L146" s="162" t="e">
        <f>C143+F144</f>
        <v>#DIV/0!</v>
      </c>
      <c r="M146" s="163" t="s">
        <v>299</v>
      </c>
      <c r="N146" s="494"/>
      <c r="O146" s="494"/>
      <c r="P146" s="164"/>
      <c r="Q146" s="192"/>
    </row>
    <row r="147" spans="1:17" x14ac:dyDescent="0.2">
      <c r="A147" s="133"/>
      <c r="B147" s="163"/>
      <c r="C147" s="163"/>
      <c r="D147" s="163"/>
      <c r="E147" s="163"/>
      <c r="F147" s="163"/>
      <c r="G147" s="163"/>
      <c r="H147" s="163"/>
      <c r="I147" s="163"/>
      <c r="J147" s="163"/>
      <c r="K147" s="163" t="s">
        <v>351</v>
      </c>
      <c r="L147" s="162" t="e">
        <f>L146/N147</f>
        <v>#DIV/0!</v>
      </c>
      <c r="M147" s="163" t="s">
        <v>312</v>
      </c>
      <c r="N147" s="513">
        <v>1</v>
      </c>
      <c r="O147" s="513"/>
      <c r="P147" s="205"/>
      <c r="Q147" s="192"/>
    </row>
    <row r="148" spans="1:17" x14ac:dyDescent="0.2">
      <c r="A148" s="170"/>
      <c r="B148" s="146"/>
      <c r="C148" s="146"/>
      <c r="D148" s="146"/>
      <c r="E148" s="206"/>
      <c r="F148" s="146"/>
      <c r="G148" s="146"/>
      <c r="H148" s="146"/>
      <c r="I148" s="146"/>
      <c r="J148" s="146"/>
      <c r="K148" s="146"/>
      <c r="L148" s="146"/>
      <c r="M148" s="146"/>
      <c r="N148" s="458"/>
      <c r="O148" s="458"/>
      <c r="P148" s="171"/>
      <c r="Q148" s="195"/>
    </row>
    <row r="149" spans="1:17" x14ac:dyDescent="0.2">
      <c r="A149" s="156" t="s">
        <v>403</v>
      </c>
      <c r="B149" s="163"/>
      <c r="C149" s="163"/>
      <c r="D149" s="163"/>
      <c r="E149" s="163"/>
      <c r="F149" s="163"/>
      <c r="G149" s="163"/>
      <c r="H149" s="163"/>
      <c r="I149" s="163"/>
      <c r="J149" s="163"/>
      <c r="K149" s="163"/>
      <c r="L149" s="163"/>
      <c r="M149" s="163"/>
      <c r="N149" s="494"/>
      <c r="O149" s="494"/>
      <c r="P149" s="164"/>
      <c r="Q149" s="192"/>
    </row>
    <row r="150" spans="1:17" x14ac:dyDescent="0.2">
      <c r="A150" s="133" t="s">
        <v>361</v>
      </c>
      <c r="B150" s="163" t="s">
        <v>351</v>
      </c>
      <c r="C150" s="162" t="e">
        <f>L146</f>
        <v>#DIV/0!</v>
      </c>
      <c r="D150" s="163" t="s">
        <v>299</v>
      </c>
      <c r="E150" s="163"/>
      <c r="F150" s="163"/>
      <c r="G150" s="163"/>
      <c r="H150" s="163"/>
      <c r="I150" s="163"/>
      <c r="J150" s="163"/>
      <c r="K150" s="163"/>
      <c r="L150" s="163"/>
      <c r="M150" s="163"/>
      <c r="N150" s="494"/>
      <c r="O150" s="494"/>
      <c r="P150" s="164"/>
      <c r="Q150" s="192"/>
    </row>
    <row r="151" spans="1:17" x14ac:dyDescent="0.2">
      <c r="A151" s="156"/>
      <c r="B151" s="163"/>
      <c r="C151" s="162"/>
      <c r="D151" s="163"/>
      <c r="E151" s="163"/>
      <c r="F151" s="163"/>
      <c r="G151" s="163"/>
      <c r="H151" s="474" t="s">
        <v>52</v>
      </c>
      <c r="I151" s="476" t="e">
        <f>Energy!O31</f>
        <v>#DIV/0!</v>
      </c>
      <c r="J151" s="474" t="s">
        <v>233</v>
      </c>
      <c r="K151" s="474"/>
      <c r="L151" s="474"/>
      <c r="M151" s="474"/>
      <c r="N151" s="514"/>
      <c r="O151" s="514"/>
      <c r="P151" s="474"/>
      <c r="Q151" s="475"/>
    </row>
    <row r="152" spans="1:17" ht="17" x14ac:dyDescent="0.25">
      <c r="A152" s="133"/>
      <c r="B152" s="163"/>
      <c r="C152" s="163"/>
      <c r="D152" s="163"/>
      <c r="E152" s="162"/>
      <c r="F152" s="163"/>
      <c r="G152" s="163"/>
      <c r="H152" s="163"/>
      <c r="I152" s="163"/>
      <c r="J152" s="163"/>
      <c r="K152" s="163" t="s">
        <v>404</v>
      </c>
      <c r="L152" s="209" t="e">
        <f>IF(Macro!D10=TRUE,Stoichiometry!G37*(Stoichiometry!D55/Stoichiometry!D37)*Efficiencies!E33,0)</f>
        <v>#DIV/0!</v>
      </c>
      <c r="M152" s="163" t="s">
        <v>299</v>
      </c>
      <c r="N152" s="494"/>
      <c r="O152" s="494"/>
      <c r="P152" s="164"/>
      <c r="Q152" s="192"/>
    </row>
    <row r="153" spans="1:17" x14ac:dyDescent="0.2">
      <c r="A153" s="133"/>
      <c r="B153" s="163"/>
      <c r="C153" s="163"/>
      <c r="D153" s="163"/>
      <c r="E153" s="162"/>
      <c r="F153" s="163"/>
      <c r="G153" s="163"/>
      <c r="H153" s="163"/>
      <c r="I153" s="163"/>
      <c r="J153" s="163"/>
      <c r="K153" s="163" t="s">
        <v>32</v>
      </c>
      <c r="L153" s="210" t="e">
        <f>IF(Macro!D10=TRUE,Stoichiometry!G34*(Stoichiometry!D56/Stoichiometry!D34)*Efficiencies!E34,0)</f>
        <v>#DIV/0!</v>
      </c>
      <c r="M153" s="163" t="s">
        <v>299</v>
      </c>
      <c r="N153" s="494"/>
      <c r="O153" s="494"/>
      <c r="P153" s="164"/>
      <c r="Q153" s="192"/>
    </row>
    <row r="154" spans="1:17" x14ac:dyDescent="0.2">
      <c r="A154" s="133"/>
      <c r="B154" s="163"/>
      <c r="C154" s="163"/>
      <c r="D154" s="163"/>
      <c r="E154" s="162"/>
      <c r="F154" s="163"/>
      <c r="G154" s="163"/>
      <c r="H154" s="163"/>
      <c r="I154" s="163"/>
      <c r="J154" s="163"/>
      <c r="K154" s="163" t="s">
        <v>351</v>
      </c>
      <c r="L154" s="162" t="e">
        <f>C150-L152-L153</f>
        <v>#DIV/0!</v>
      </c>
      <c r="M154" s="163" t="s">
        <v>299</v>
      </c>
      <c r="N154" s="494"/>
      <c r="O154" s="494"/>
      <c r="P154" s="164"/>
      <c r="Q154" s="192"/>
    </row>
    <row r="155" spans="1:17" x14ac:dyDescent="0.2">
      <c r="A155" s="133"/>
      <c r="B155" s="163"/>
      <c r="C155" s="163"/>
      <c r="D155" s="163"/>
      <c r="E155" s="163"/>
      <c r="F155" s="163"/>
      <c r="G155" s="163"/>
      <c r="H155" s="163"/>
      <c r="I155" s="163"/>
      <c r="J155" s="163"/>
      <c r="K155" s="163" t="s">
        <v>351</v>
      </c>
      <c r="L155" s="162" t="e">
        <f>L154/N155</f>
        <v>#DIV/0!</v>
      </c>
      <c r="M155" s="163" t="s">
        <v>312</v>
      </c>
      <c r="N155" s="513">
        <v>1</v>
      </c>
      <c r="O155" s="513"/>
      <c r="P155" s="205"/>
      <c r="Q155" s="192"/>
    </row>
    <row r="156" spans="1:17" x14ac:dyDescent="0.2">
      <c r="A156" s="170"/>
      <c r="B156" s="146"/>
      <c r="C156" s="146"/>
      <c r="D156" s="146"/>
      <c r="E156" s="146"/>
      <c r="F156" s="146"/>
      <c r="G156" s="146"/>
      <c r="H156" s="146"/>
      <c r="I156" s="146"/>
      <c r="J156" s="146"/>
      <c r="K156" s="146"/>
      <c r="L156" s="146"/>
      <c r="M156" s="146"/>
      <c r="N156" s="458"/>
      <c r="O156" s="458"/>
      <c r="P156" s="171"/>
      <c r="Q156" s="195"/>
    </row>
    <row r="157" spans="1:17" x14ac:dyDescent="0.2">
      <c r="A157" s="156" t="s">
        <v>405</v>
      </c>
      <c r="B157" s="163"/>
      <c r="C157" s="163"/>
      <c r="D157" s="163"/>
      <c r="E157" s="163"/>
      <c r="F157" s="163"/>
      <c r="G157" s="163"/>
      <c r="H157" s="163"/>
      <c r="I157" s="163"/>
      <c r="J157" s="163"/>
      <c r="K157" s="163"/>
      <c r="L157" s="163"/>
      <c r="M157" s="163"/>
      <c r="N157" s="494"/>
      <c r="O157" s="494"/>
      <c r="P157" s="164"/>
      <c r="Q157" s="192"/>
    </row>
    <row r="158" spans="1:17" ht="16" x14ac:dyDescent="0.2">
      <c r="A158" s="133" t="s">
        <v>353</v>
      </c>
      <c r="B158" s="163" t="s">
        <v>351</v>
      </c>
      <c r="C158" s="162" t="e">
        <f>L154</f>
        <v>#DIV/0!</v>
      </c>
      <c r="D158" s="163" t="s">
        <v>299</v>
      </c>
      <c r="E158" s="163"/>
      <c r="F158" s="163"/>
      <c r="G158" s="163"/>
      <c r="H158" s="163"/>
      <c r="I158" s="163"/>
      <c r="J158" s="163"/>
      <c r="K158" s="163"/>
      <c r="L158" s="163"/>
      <c r="M158" s="163"/>
      <c r="N158" s="494"/>
      <c r="O158" s="523" t="e">
        <f>Energy!Q32</f>
        <v>#DIV/0!</v>
      </c>
      <c r="P158" s="111" t="s">
        <v>277</v>
      </c>
      <c r="Q158" s="192"/>
    </row>
    <row r="159" spans="1:17" ht="32" x14ac:dyDescent="0.2">
      <c r="A159" s="133"/>
      <c r="B159" s="163"/>
      <c r="C159" s="163"/>
      <c r="D159" s="163"/>
      <c r="E159" s="163" t="s">
        <v>63</v>
      </c>
      <c r="F159" s="198" t="e">
        <f>IF(Macro!D10=TRUE,C158/3*1.3*0.7/O158,0)</f>
        <v>#DIV/0!</v>
      </c>
      <c r="G159" s="163" t="s">
        <v>299</v>
      </c>
      <c r="H159" s="163"/>
      <c r="I159" s="163"/>
      <c r="J159" s="163"/>
      <c r="K159" s="163"/>
      <c r="L159" s="163"/>
      <c r="M159" s="163"/>
      <c r="N159" s="494"/>
      <c r="O159" s="494"/>
      <c r="P159" s="111" t="s">
        <v>364</v>
      </c>
      <c r="Q159" s="192"/>
    </row>
    <row r="160" spans="1:17" ht="32" x14ac:dyDescent="0.2">
      <c r="A160" s="133"/>
      <c r="B160" s="163"/>
      <c r="C160" s="163"/>
      <c r="D160" s="163"/>
      <c r="E160" s="163" t="s">
        <v>406</v>
      </c>
      <c r="F160" s="198" t="e">
        <f>IF(Macro!D10=TRUE,C158/3*1.3*0.3/O158,0)</f>
        <v>#DIV/0!</v>
      </c>
      <c r="G160" s="163" t="s">
        <v>366</v>
      </c>
      <c r="H160" s="163"/>
      <c r="I160" s="163"/>
      <c r="J160" s="163"/>
      <c r="K160" s="163"/>
      <c r="L160" s="163"/>
      <c r="M160" s="163"/>
      <c r="N160" s="494"/>
      <c r="O160" s="494"/>
      <c r="P160" s="111" t="s">
        <v>407</v>
      </c>
      <c r="Q160" s="192"/>
    </row>
    <row r="161" spans="1:20" ht="32" x14ac:dyDescent="0.2">
      <c r="A161" s="133"/>
      <c r="B161" s="163"/>
      <c r="C161" s="163"/>
      <c r="D161" s="163"/>
      <c r="E161" s="164" t="s">
        <v>408</v>
      </c>
      <c r="F161" s="182" t="e">
        <f>F160*Q161</f>
        <v>#DIV/0!</v>
      </c>
      <c r="G161" s="163" t="s">
        <v>299</v>
      </c>
      <c r="H161" s="163"/>
      <c r="I161" s="133"/>
      <c r="J161" s="163"/>
      <c r="K161" s="163"/>
      <c r="L161" s="163"/>
      <c r="M161" s="163"/>
      <c r="N161" s="494"/>
      <c r="O161" s="494"/>
      <c r="P161" s="111" t="s">
        <v>369</v>
      </c>
      <c r="Q161" s="947">
        <v>0.05</v>
      </c>
    </row>
    <row r="162" spans="1:20" x14ac:dyDescent="0.2">
      <c r="A162" s="133"/>
      <c r="B162" s="163"/>
      <c r="C162" s="163"/>
      <c r="D162" s="163"/>
      <c r="E162" s="164"/>
      <c r="F162" s="197"/>
      <c r="G162" s="163"/>
      <c r="H162" s="163" t="s">
        <v>52</v>
      </c>
      <c r="I162" s="162" t="e">
        <f>Energy!O32</f>
        <v>#DIV/0!</v>
      </c>
      <c r="J162" s="163" t="s">
        <v>233</v>
      </c>
      <c r="K162" s="163"/>
      <c r="L162" s="163"/>
      <c r="M162" s="163"/>
      <c r="N162" s="494"/>
      <c r="O162" s="494"/>
      <c r="P162" s="111"/>
      <c r="Q162" s="245"/>
    </row>
    <row r="163" spans="1:20" ht="32" x14ac:dyDescent="0.2">
      <c r="A163" s="133"/>
      <c r="B163" s="163"/>
      <c r="C163" s="163"/>
      <c r="D163" s="163"/>
      <c r="E163" s="163"/>
      <c r="F163" s="163"/>
      <c r="G163" s="163"/>
      <c r="H163" s="163"/>
      <c r="I163" s="133"/>
      <c r="J163" s="163"/>
      <c r="K163" s="163" t="s">
        <v>409</v>
      </c>
      <c r="L163" s="162" t="e">
        <f>IF(Macro!D10=TRUE,F159+F160+Stoichiometry!G47+Stoichiometry!G47/(Stoichiometry!J7/1000),0)</f>
        <v>#DIV/0!</v>
      </c>
      <c r="M163" s="163" t="s">
        <v>299</v>
      </c>
      <c r="N163" s="494"/>
      <c r="O163" s="494"/>
      <c r="P163" s="164" t="s">
        <v>410</v>
      </c>
      <c r="Q163" s="192"/>
    </row>
    <row r="164" spans="1:20" x14ac:dyDescent="0.2">
      <c r="A164" s="133"/>
      <c r="B164" s="163"/>
      <c r="C164" s="163"/>
      <c r="D164" s="163"/>
      <c r="E164" s="163"/>
      <c r="F164" s="163"/>
      <c r="G164" s="163"/>
      <c r="H164" s="163"/>
      <c r="I164" s="133"/>
      <c r="J164" s="163"/>
      <c r="K164" s="163" t="s">
        <v>351</v>
      </c>
      <c r="L164" s="162" t="e">
        <f>C158+F159+F160-L163</f>
        <v>#DIV/0!</v>
      </c>
      <c r="M164" s="133" t="s">
        <v>299</v>
      </c>
      <c r="N164" s="503"/>
      <c r="O164" s="503"/>
      <c r="P164" s="205"/>
      <c r="Q164" s="165"/>
    </row>
    <row r="165" spans="1:20" x14ac:dyDescent="0.2">
      <c r="A165" s="133"/>
      <c r="B165" s="163"/>
      <c r="C165" s="163"/>
      <c r="D165" s="133"/>
      <c r="E165" s="163"/>
      <c r="F165" s="163"/>
      <c r="G165" s="163"/>
      <c r="H165" s="163"/>
      <c r="I165" s="133"/>
      <c r="J165" s="163"/>
      <c r="K165" s="163" t="s">
        <v>351</v>
      </c>
      <c r="L165" s="162" t="e">
        <f>L164/N165</f>
        <v>#DIV/0!</v>
      </c>
      <c r="M165" s="133" t="s">
        <v>312</v>
      </c>
      <c r="N165" s="507">
        <v>1</v>
      </c>
      <c r="O165" s="507"/>
      <c r="P165" s="401"/>
      <c r="Q165" s="529"/>
    </row>
    <row r="166" spans="1:20" x14ac:dyDescent="0.2">
      <c r="A166" s="170"/>
      <c r="B166" s="146"/>
      <c r="C166" s="146"/>
      <c r="D166" s="170"/>
      <c r="E166" s="146"/>
      <c r="F166" s="146"/>
      <c r="G166" s="146"/>
      <c r="H166" s="146"/>
      <c r="I166" s="146"/>
      <c r="J166" s="146"/>
      <c r="K166" s="146"/>
      <c r="L166" s="146"/>
      <c r="M166" s="146"/>
      <c r="N166" s="458"/>
      <c r="O166" s="458"/>
      <c r="P166" s="171"/>
      <c r="Q166" s="195"/>
    </row>
    <row r="167" spans="1:20" x14ac:dyDescent="0.2">
      <c r="A167" s="159" t="s">
        <v>411</v>
      </c>
      <c r="B167" s="174"/>
      <c r="C167" s="163"/>
      <c r="D167" s="174"/>
      <c r="E167" s="174"/>
      <c r="F167" s="163"/>
      <c r="G167" s="163"/>
      <c r="H167" s="163"/>
      <c r="I167" s="163"/>
      <c r="J167" s="163"/>
      <c r="K167" s="163"/>
      <c r="L167" s="163"/>
      <c r="M167" s="163"/>
      <c r="N167" s="494"/>
      <c r="O167" s="494"/>
      <c r="P167" s="164"/>
      <c r="Q167" s="192"/>
    </row>
    <row r="168" spans="1:20" x14ac:dyDescent="0.2">
      <c r="A168" s="133" t="s">
        <v>412</v>
      </c>
      <c r="B168" s="163" t="s">
        <v>409</v>
      </c>
      <c r="C168" s="162" t="e">
        <f>L163</f>
        <v>#DIV/0!</v>
      </c>
      <c r="D168" s="163" t="s">
        <v>299</v>
      </c>
      <c r="E168" s="163"/>
      <c r="F168" s="163"/>
      <c r="G168" s="163"/>
      <c r="H168" s="163"/>
      <c r="I168" s="163"/>
      <c r="J168" s="163"/>
      <c r="K168" s="163"/>
      <c r="L168" s="163"/>
      <c r="M168" s="163"/>
      <c r="N168" s="494"/>
      <c r="O168" s="494"/>
      <c r="P168" s="164"/>
      <c r="Q168" s="192"/>
    </row>
    <row r="169" spans="1:20" ht="32" customHeight="1" x14ac:dyDescent="0.2">
      <c r="A169" s="133"/>
      <c r="B169" s="163"/>
      <c r="C169" s="163"/>
      <c r="D169" s="163"/>
      <c r="E169" s="164" t="s">
        <v>413</v>
      </c>
      <c r="F169" s="164" t="s">
        <v>375</v>
      </c>
      <c r="G169" s="163"/>
      <c r="H169" s="163"/>
      <c r="I169" s="163"/>
      <c r="J169" s="163"/>
      <c r="K169" s="163"/>
      <c r="L169" s="163"/>
      <c r="M169" s="163"/>
      <c r="N169" s="494"/>
      <c r="O169" s="494"/>
      <c r="P169" s="164"/>
      <c r="Q169" s="192"/>
      <c r="T169" s="168"/>
    </row>
    <row r="170" spans="1:20" ht="16" x14ac:dyDescent="0.2">
      <c r="A170" s="133"/>
      <c r="B170" s="163"/>
      <c r="C170" s="163"/>
      <c r="D170" s="163"/>
      <c r="E170" s="163"/>
      <c r="F170" s="163"/>
      <c r="G170" s="163"/>
      <c r="H170" s="163" t="s">
        <v>52</v>
      </c>
      <c r="I170" s="162" t="e">
        <f>Energy!O33</f>
        <v>#DIV/0!</v>
      </c>
      <c r="J170" s="163" t="s">
        <v>233</v>
      </c>
      <c r="K170" s="163"/>
      <c r="L170" s="163"/>
      <c r="M170" s="163"/>
      <c r="N170" s="494"/>
      <c r="O170" s="494"/>
      <c r="P170" s="164" t="s">
        <v>376</v>
      </c>
      <c r="Q170" s="192"/>
      <c r="T170" s="168"/>
    </row>
    <row r="171" spans="1:20" x14ac:dyDescent="0.2">
      <c r="A171" s="133"/>
      <c r="B171" s="163"/>
      <c r="C171" s="163"/>
      <c r="D171" s="163"/>
      <c r="E171" s="163"/>
      <c r="F171" s="163"/>
      <c r="G171" s="163"/>
      <c r="H171" s="163"/>
      <c r="I171" s="163"/>
      <c r="J171" s="163"/>
      <c r="K171" s="163" t="s">
        <v>409</v>
      </c>
      <c r="L171" s="162" t="e">
        <f>C168</f>
        <v>#DIV/0!</v>
      </c>
      <c r="M171" s="163" t="s">
        <v>299</v>
      </c>
      <c r="N171" s="494"/>
      <c r="O171" s="494"/>
      <c r="P171" s="164"/>
      <c r="Q171" s="192"/>
    </row>
    <row r="172" spans="1:20" x14ac:dyDescent="0.2">
      <c r="A172" s="170"/>
      <c r="B172" s="146"/>
      <c r="C172" s="146"/>
      <c r="D172" s="146"/>
      <c r="E172" s="146"/>
      <c r="F172" s="146"/>
      <c r="G172" s="146"/>
      <c r="H172" s="146"/>
      <c r="I172" s="146"/>
      <c r="J172" s="146"/>
      <c r="K172" s="146" t="s">
        <v>409</v>
      </c>
      <c r="L172" s="206" t="e">
        <f>L171/N172</f>
        <v>#DIV/0!</v>
      </c>
      <c r="M172" s="146" t="s">
        <v>312</v>
      </c>
      <c r="N172" s="458">
        <v>2</v>
      </c>
      <c r="O172" s="458"/>
      <c r="P172" s="171"/>
      <c r="Q172" s="195"/>
    </row>
    <row r="173" spans="1:20" x14ac:dyDescent="0.2">
      <c r="A173" s="156" t="s">
        <v>414</v>
      </c>
      <c r="B173" s="163"/>
      <c r="C173" s="163"/>
      <c r="D173" s="163"/>
      <c r="E173" s="163"/>
      <c r="F173" s="163"/>
      <c r="G173" s="163"/>
      <c r="H173" s="163"/>
      <c r="I173" s="163"/>
      <c r="J173" s="163"/>
      <c r="K173" s="163"/>
      <c r="L173" s="163"/>
      <c r="M173" s="163"/>
      <c r="N173" s="494"/>
      <c r="O173" s="494"/>
      <c r="P173" s="164"/>
      <c r="Q173" s="192"/>
    </row>
    <row r="174" spans="1:20" ht="16" x14ac:dyDescent="0.2">
      <c r="A174" s="133" t="s">
        <v>412</v>
      </c>
      <c r="B174" s="163" t="s">
        <v>409</v>
      </c>
      <c r="C174" s="162" t="e">
        <f>L171</f>
        <v>#DIV/0!</v>
      </c>
      <c r="D174" s="163" t="s">
        <v>299</v>
      </c>
      <c r="E174" s="163"/>
      <c r="F174" s="163"/>
      <c r="G174" s="163"/>
      <c r="H174" s="163"/>
      <c r="I174" s="163"/>
      <c r="J174" s="163"/>
      <c r="K174" s="163"/>
      <c r="L174" s="163"/>
      <c r="M174" s="163"/>
      <c r="N174" s="494"/>
      <c r="O174" s="494"/>
      <c r="P174" s="112" t="s">
        <v>378</v>
      </c>
      <c r="Q174" s="818">
        <v>2</v>
      </c>
    </row>
    <row r="175" spans="1:20" ht="16" x14ac:dyDescent="0.2">
      <c r="A175" s="133"/>
      <c r="B175" s="163"/>
      <c r="C175" s="163"/>
      <c r="D175" s="163"/>
      <c r="E175" s="164" t="s">
        <v>74</v>
      </c>
      <c r="F175" s="333" t="e">
        <f>Stoichiometry!E61*Q175/Q174*Stoichiometry!C44/1000</f>
        <v>#DIV/0!</v>
      </c>
      <c r="G175" s="163" t="s">
        <v>299</v>
      </c>
      <c r="H175" s="163"/>
      <c r="I175" s="163"/>
      <c r="J175" s="163"/>
      <c r="K175" s="163"/>
      <c r="L175" s="163"/>
      <c r="M175" s="163"/>
      <c r="N175" s="494"/>
      <c r="O175" s="494"/>
      <c r="P175" s="112" t="s">
        <v>379</v>
      </c>
      <c r="Q175" s="818">
        <v>3</v>
      </c>
    </row>
    <row r="176" spans="1:20" ht="32" x14ac:dyDescent="0.2">
      <c r="A176" s="133"/>
      <c r="B176" s="163"/>
      <c r="C176" s="163"/>
      <c r="D176" s="163"/>
      <c r="E176" s="163"/>
      <c r="F176" s="333"/>
      <c r="G176" s="163"/>
      <c r="H176" s="163" t="s">
        <v>52</v>
      </c>
      <c r="I176" s="162" t="e">
        <f>Energy!O34</f>
        <v>#DIV/0!</v>
      </c>
      <c r="J176" s="163" t="s">
        <v>233</v>
      </c>
      <c r="K176" s="163"/>
      <c r="L176" s="163"/>
      <c r="M176" s="163"/>
      <c r="N176" s="494"/>
      <c r="O176" s="494"/>
      <c r="P176" s="164" t="s">
        <v>415</v>
      </c>
      <c r="Q176" s="192"/>
    </row>
    <row r="177" spans="1:22" x14ac:dyDescent="0.2">
      <c r="A177" s="133"/>
      <c r="B177" s="163"/>
      <c r="C177" s="163"/>
      <c r="D177" s="163"/>
      <c r="E177" s="163"/>
      <c r="F177" s="163"/>
      <c r="G177" s="163"/>
      <c r="H177" s="163"/>
      <c r="I177" s="163"/>
      <c r="J177" s="163"/>
      <c r="K177" s="163" t="s">
        <v>416</v>
      </c>
      <c r="L177" s="182" t="e">
        <f>C174+F175-L179-L180</f>
        <v>#DIV/0!</v>
      </c>
      <c r="M177" s="163" t="s">
        <v>299</v>
      </c>
      <c r="N177" s="494"/>
      <c r="O177" s="494"/>
      <c r="P177" s="164"/>
      <c r="Q177" s="192"/>
    </row>
    <row r="178" spans="1:22" x14ac:dyDescent="0.2">
      <c r="A178" s="133"/>
      <c r="B178" s="163"/>
      <c r="C178" s="163"/>
      <c r="D178" s="133"/>
      <c r="E178" s="163"/>
      <c r="F178" s="163"/>
      <c r="G178" s="163"/>
      <c r="H178" s="163"/>
      <c r="I178" s="163"/>
      <c r="J178" s="163"/>
      <c r="K178" s="163" t="s">
        <v>416</v>
      </c>
      <c r="L178" s="182" t="e">
        <f>L177/N178</f>
        <v>#DIV/0!</v>
      </c>
      <c r="M178" s="163" t="s">
        <v>312</v>
      </c>
      <c r="N178" s="513">
        <v>2</v>
      </c>
      <c r="O178" s="513"/>
      <c r="P178" s="164"/>
      <c r="Q178" s="529"/>
    </row>
    <row r="179" spans="1:22" ht="16" x14ac:dyDescent="0.2">
      <c r="A179" s="133"/>
      <c r="B179" s="163"/>
      <c r="C179" s="163"/>
      <c r="D179" s="133"/>
      <c r="E179" s="163"/>
      <c r="F179" s="163"/>
      <c r="G179" s="163"/>
      <c r="H179" s="163"/>
      <c r="I179" s="163"/>
      <c r="J179" s="163"/>
      <c r="K179" s="163" t="s">
        <v>45</v>
      </c>
      <c r="L179" s="198" t="e">
        <f>F160</f>
        <v>#DIV/0!</v>
      </c>
      <c r="M179" s="163" t="s">
        <v>299</v>
      </c>
      <c r="N179" s="494"/>
      <c r="O179" s="494"/>
      <c r="P179" s="164" t="s">
        <v>381</v>
      </c>
      <c r="Q179" s="192"/>
    </row>
    <row r="180" spans="1:22" ht="16" x14ac:dyDescent="0.2">
      <c r="A180" s="133"/>
      <c r="B180" s="163"/>
      <c r="C180" s="163"/>
      <c r="D180" s="133"/>
      <c r="E180" s="163"/>
      <c r="F180" s="133"/>
      <c r="G180" s="163"/>
      <c r="H180" s="163"/>
      <c r="I180" s="163"/>
      <c r="J180" s="163"/>
      <c r="K180" s="163" t="s">
        <v>63</v>
      </c>
      <c r="L180" s="198" t="e">
        <f>F159</f>
        <v>#DIV/0!</v>
      </c>
      <c r="M180" s="163" t="s">
        <v>299</v>
      </c>
      <c r="N180" s="494"/>
      <c r="O180" s="494"/>
      <c r="P180" s="164" t="s">
        <v>381</v>
      </c>
      <c r="Q180" s="192"/>
    </row>
    <row r="181" spans="1:22" x14ac:dyDescent="0.2">
      <c r="A181" s="170"/>
      <c r="B181" s="146"/>
      <c r="C181" s="146"/>
      <c r="D181" s="170"/>
      <c r="E181" s="146"/>
      <c r="F181" s="170"/>
      <c r="G181" s="146"/>
      <c r="H181" s="146"/>
      <c r="I181" s="146"/>
      <c r="J181" s="146"/>
      <c r="K181" s="146"/>
      <c r="L181" s="146"/>
      <c r="M181" s="146"/>
      <c r="N181" s="458"/>
      <c r="O181" s="458"/>
      <c r="P181" s="171"/>
      <c r="Q181" s="195"/>
    </row>
    <row r="182" spans="1:22" x14ac:dyDescent="0.2">
      <c r="A182" s="159" t="s">
        <v>212</v>
      </c>
      <c r="B182" s="163"/>
      <c r="C182" s="163"/>
      <c r="D182" s="174"/>
      <c r="E182" s="163"/>
      <c r="F182" s="174"/>
      <c r="G182" s="163"/>
      <c r="H182" s="163"/>
      <c r="I182" s="163"/>
      <c r="J182" s="163"/>
      <c r="K182" s="163"/>
      <c r="L182" s="163"/>
      <c r="M182" s="163"/>
      <c r="N182" s="494"/>
      <c r="O182" s="494"/>
      <c r="P182" s="164"/>
      <c r="Q182" s="192"/>
    </row>
    <row r="183" spans="1:22" ht="32" x14ac:dyDescent="0.2">
      <c r="A183" s="211" t="s">
        <v>382</v>
      </c>
      <c r="B183" s="163" t="s">
        <v>416</v>
      </c>
      <c r="C183" s="182" t="e">
        <f>L177</f>
        <v>#DIV/0!</v>
      </c>
      <c r="D183" s="163" t="s">
        <v>299</v>
      </c>
      <c r="E183" s="163"/>
      <c r="F183" s="163"/>
      <c r="G183" s="163"/>
      <c r="H183" s="163"/>
      <c r="I183" s="163"/>
      <c r="J183" s="163"/>
      <c r="K183" s="163"/>
      <c r="L183" s="163"/>
      <c r="M183" s="163"/>
      <c r="N183" s="494"/>
      <c r="O183" s="494"/>
      <c r="P183" s="164"/>
      <c r="Q183" s="192"/>
      <c r="T183" s="168"/>
    </row>
    <row r="184" spans="1:22" ht="16" x14ac:dyDescent="0.2">
      <c r="A184" s="133"/>
      <c r="B184" s="163"/>
      <c r="C184" s="182"/>
      <c r="D184" s="163"/>
      <c r="E184" s="163"/>
      <c r="F184" s="163"/>
      <c r="G184" s="163"/>
      <c r="H184" s="163" t="s">
        <v>52</v>
      </c>
      <c r="I184" s="162" t="e">
        <f>Energy!O35</f>
        <v>#DIV/0!</v>
      </c>
      <c r="J184" s="163" t="s">
        <v>233</v>
      </c>
      <c r="K184" s="163"/>
      <c r="L184" s="163"/>
      <c r="M184" s="163"/>
      <c r="N184" s="494"/>
      <c r="O184" s="494"/>
      <c r="P184" s="164" t="s">
        <v>384</v>
      </c>
      <c r="Q184" s="192"/>
    </row>
    <row r="185" spans="1:22" x14ac:dyDescent="0.2">
      <c r="A185" s="133"/>
      <c r="B185" s="163"/>
      <c r="C185" s="163"/>
      <c r="D185" s="163"/>
      <c r="E185" s="163"/>
      <c r="F185" s="163"/>
      <c r="G185" s="163"/>
      <c r="H185" s="163"/>
      <c r="I185" s="163"/>
      <c r="J185" s="163"/>
      <c r="K185" s="163" t="s">
        <v>68</v>
      </c>
      <c r="L185" s="162" t="e">
        <f>IF(Macro!D10=TRUE,(Stoichiometry!G47+Stoichiometry!G62)*Efficiencies!E36,0)</f>
        <v>#DIV/0!</v>
      </c>
      <c r="M185" s="163" t="s">
        <v>299</v>
      </c>
      <c r="N185" s="494"/>
      <c r="O185" s="494"/>
      <c r="P185" s="164"/>
      <c r="Q185" s="192"/>
    </row>
    <row r="186" spans="1:22" ht="16" x14ac:dyDescent="0.2">
      <c r="A186" s="133"/>
      <c r="B186" s="163"/>
      <c r="C186" s="163"/>
      <c r="D186" s="163"/>
      <c r="E186" s="163"/>
      <c r="F186" s="163"/>
      <c r="G186" s="163"/>
      <c r="H186" s="163"/>
      <c r="I186" s="163"/>
      <c r="J186" s="163"/>
      <c r="K186" s="163" t="s">
        <v>226</v>
      </c>
      <c r="L186" s="182" t="e">
        <f>C183-L185</f>
        <v>#DIV/0!</v>
      </c>
      <c r="M186" s="163" t="s">
        <v>299</v>
      </c>
      <c r="N186" s="494"/>
      <c r="O186" s="494"/>
      <c r="P186" s="164" t="s">
        <v>385</v>
      </c>
      <c r="Q186" s="192"/>
      <c r="T186" s="168"/>
    </row>
    <row r="187" spans="1:22" x14ac:dyDescent="0.2">
      <c r="A187" s="170"/>
      <c r="B187" s="146"/>
      <c r="C187" s="146"/>
      <c r="D187" s="146"/>
      <c r="E187" s="146"/>
      <c r="F187" s="146"/>
      <c r="G187" s="146"/>
      <c r="H187" s="146"/>
      <c r="I187" s="146"/>
      <c r="J187" s="146"/>
      <c r="K187" s="146"/>
      <c r="L187" s="146"/>
      <c r="M187" s="146"/>
      <c r="N187" s="458"/>
      <c r="O187" s="458"/>
      <c r="P187" s="171"/>
      <c r="Q187" s="195"/>
    </row>
    <row r="188" spans="1:22" ht="16" x14ac:dyDescent="0.2">
      <c r="A188" s="778" t="s">
        <v>213</v>
      </c>
      <c r="B188" s="163"/>
      <c r="C188" s="163"/>
      <c r="D188" s="163"/>
      <c r="E188" s="133"/>
      <c r="F188" s="163"/>
      <c r="G188" s="163"/>
      <c r="H188" s="163"/>
      <c r="I188" s="163"/>
      <c r="J188" s="133"/>
      <c r="K188" s="163"/>
      <c r="L188" s="163"/>
      <c r="M188" s="163"/>
      <c r="N188" s="494"/>
      <c r="O188" s="494"/>
      <c r="P188" s="164"/>
      <c r="Q188" s="165"/>
    </row>
    <row r="189" spans="1:22" ht="16" x14ac:dyDescent="0.2">
      <c r="A189" s="211" t="s">
        <v>417</v>
      </c>
      <c r="B189" s="163" t="s">
        <v>351</v>
      </c>
      <c r="C189" s="169" t="e">
        <f>L164</f>
        <v>#DIV/0!</v>
      </c>
      <c r="D189" s="163" t="s">
        <v>299</v>
      </c>
      <c r="E189" s="133"/>
      <c r="F189" s="163"/>
      <c r="G189" s="163"/>
      <c r="H189" s="163"/>
      <c r="I189" s="163"/>
      <c r="J189" s="133"/>
      <c r="K189" s="163"/>
      <c r="L189" s="163"/>
      <c r="M189" s="163"/>
      <c r="N189" s="503"/>
      <c r="O189" s="503"/>
      <c r="P189" s="211"/>
      <c r="Q189" s="192"/>
      <c r="S189" s="124"/>
      <c r="T189" s="124" t="s">
        <v>262</v>
      </c>
      <c r="U189" s="124" t="s">
        <v>263</v>
      </c>
    </row>
    <row r="190" spans="1:22" ht="16" x14ac:dyDescent="0.2">
      <c r="A190" s="133"/>
      <c r="B190" s="163"/>
      <c r="C190" s="169"/>
      <c r="D190" s="163"/>
      <c r="E190" s="133"/>
      <c r="F190" s="163"/>
      <c r="G190" s="133"/>
      <c r="H190" s="163" t="s">
        <v>52</v>
      </c>
      <c r="I190" s="162" t="e">
        <f>Energy!O36</f>
        <v>#DIV/0!</v>
      </c>
      <c r="J190" s="163" t="s">
        <v>233</v>
      </c>
      <c r="K190" s="163"/>
      <c r="L190" s="163"/>
      <c r="M190" s="163"/>
      <c r="N190" s="503"/>
      <c r="O190" s="503"/>
      <c r="P190" s="211" t="s">
        <v>384</v>
      </c>
      <c r="Q190" s="192"/>
      <c r="S190" s="779" t="s">
        <v>418</v>
      </c>
      <c r="T190" s="525" t="e">
        <f>Stoichiometry!G36</f>
        <v>#DIV/0!</v>
      </c>
      <c r="U190" s="77" t="s">
        <v>299</v>
      </c>
    </row>
    <row r="191" spans="1:22" ht="32" x14ac:dyDescent="0.2">
      <c r="A191" s="133"/>
      <c r="B191" s="163"/>
      <c r="C191" s="163"/>
      <c r="D191" s="163"/>
      <c r="E191" s="133"/>
      <c r="F191" s="163"/>
      <c r="G191" s="133"/>
      <c r="H191" s="163"/>
      <c r="I191" s="163"/>
      <c r="J191" s="163"/>
      <c r="K191" s="163" t="s">
        <v>351</v>
      </c>
      <c r="L191" s="162" t="e">
        <f>IF(Macro!D10=TRUE,L192*N192,0)</f>
        <v>#DIV/0!</v>
      </c>
      <c r="M191" s="163" t="s">
        <v>299</v>
      </c>
      <c r="N191" s="494"/>
      <c r="O191" s="494"/>
      <c r="P191" s="111" t="s">
        <v>419</v>
      </c>
      <c r="Q191" s="818">
        <v>20</v>
      </c>
      <c r="S191" s="74" t="s">
        <v>420</v>
      </c>
      <c r="T191" s="526" t="e">
        <f>T190/C189*1000</f>
        <v>#DIV/0!</v>
      </c>
      <c r="U191" s="77" t="s">
        <v>421</v>
      </c>
      <c r="V191" t="s">
        <v>422</v>
      </c>
    </row>
    <row r="192" spans="1:22" ht="32" x14ac:dyDescent="0.2">
      <c r="A192" s="133"/>
      <c r="B192" s="163"/>
      <c r="C192" s="163"/>
      <c r="D192" s="163"/>
      <c r="E192" s="163"/>
      <c r="F192" s="163"/>
      <c r="G192" s="163"/>
      <c r="H192" s="163"/>
      <c r="I192" s="163"/>
      <c r="J192" s="163"/>
      <c r="K192" s="163" t="s">
        <v>351</v>
      </c>
      <c r="L192" s="210" t="e">
        <f>IF(Macro!D10=TRUE,T194,0)</f>
        <v>#DIV/0!</v>
      </c>
      <c r="M192" s="163" t="s">
        <v>312</v>
      </c>
      <c r="N192" s="513">
        <v>1</v>
      </c>
      <c r="O192" s="513"/>
      <c r="P192" s="205"/>
      <c r="Q192" s="192"/>
      <c r="S192" s="74" t="s">
        <v>423</v>
      </c>
      <c r="T192" s="810">
        <v>3</v>
      </c>
      <c r="U192" s="77" t="s">
        <v>421</v>
      </c>
    </row>
    <row r="193" spans="1:28" ht="16" x14ac:dyDescent="0.2">
      <c r="A193" s="133"/>
      <c r="B193" s="163"/>
      <c r="C193" s="163"/>
      <c r="D193" s="163"/>
      <c r="E193" s="163"/>
      <c r="F193" s="163"/>
      <c r="G193" s="163"/>
      <c r="H193" s="163"/>
      <c r="I193" s="163"/>
      <c r="J193" s="163"/>
      <c r="K193" s="163" t="s">
        <v>226</v>
      </c>
      <c r="L193" s="210" t="e">
        <f>C189-L191</f>
        <v>#DIV/0!</v>
      </c>
      <c r="M193" s="163" t="s">
        <v>299</v>
      </c>
      <c r="N193" s="494"/>
      <c r="O193" s="494"/>
      <c r="P193" s="401" t="s">
        <v>385</v>
      </c>
      <c r="Q193" s="192"/>
      <c r="S193" s="74" t="s">
        <v>424</v>
      </c>
      <c r="T193" s="498">
        <f>Q191</f>
        <v>20</v>
      </c>
      <c r="U193" s="498" t="s">
        <v>421</v>
      </c>
    </row>
    <row r="194" spans="1:28" ht="16" x14ac:dyDescent="0.2">
      <c r="A194" s="170"/>
      <c r="B194" s="146"/>
      <c r="C194" s="146"/>
      <c r="D194" s="146"/>
      <c r="E194" s="146"/>
      <c r="F194" s="146"/>
      <c r="G194" s="146"/>
      <c r="H194" s="146"/>
      <c r="I194" s="146"/>
      <c r="J194" s="146"/>
      <c r="K194" s="146"/>
      <c r="L194" s="146"/>
      <c r="M194" s="146"/>
      <c r="N194" s="458"/>
      <c r="O194" s="458"/>
      <c r="P194" s="171"/>
      <c r="Q194" s="195"/>
      <c r="S194" s="74" t="s">
        <v>425</v>
      </c>
      <c r="T194" s="527" t="e">
        <f>T190/(T193/1000)</f>
        <v>#DIV/0!</v>
      </c>
      <c r="U194" s="77" t="s">
        <v>312</v>
      </c>
    </row>
    <row r="195" spans="1:28" x14ac:dyDescent="0.2">
      <c r="A195" s="156" t="s">
        <v>426</v>
      </c>
      <c r="B195" s="163"/>
      <c r="C195" s="163"/>
      <c r="D195" s="163"/>
      <c r="E195" s="163"/>
      <c r="F195" s="163"/>
      <c r="G195" s="163"/>
      <c r="H195" s="163"/>
      <c r="I195" s="163"/>
      <c r="J195" s="163"/>
      <c r="K195" s="163"/>
      <c r="L195" s="163"/>
      <c r="M195" s="163"/>
      <c r="N195" s="494"/>
      <c r="O195" s="494"/>
      <c r="P195" s="164"/>
      <c r="Q195" s="192"/>
    </row>
    <row r="196" spans="1:28" x14ac:dyDescent="0.2">
      <c r="A196" s="133" t="s">
        <v>349</v>
      </c>
      <c r="B196" s="163" t="s">
        <v>351</v>
      </c>
      <c r="C196" s="162" t="e">
        <f>L191</f>
        <v>#DIV/0!</v>
      </c>
      <c r="D196" s="163" t="s">
        <v>299</v>
      </c>
      <c r="E196" s="163"/>
      <c r="F196" s="163"/>
      <c r="G196" s="163"/>
      <c r="H196" s="163"/>
      <c r="I196" s="163"/>
      <c r="J196" s="163"/>
      <c r="K196" s="163"/>
      <c r="L196" s="163"/>
      <c r="M196" s="163"/>
      <c r="N196" s="494"/>
      <c r="O196" s="494"/>
      <c r="P196" s="164"/>
      <c r="Q196" s="192"/>
    </row>
    <row r="197" spans="1:28" x14ac:dyDescent="0.2">
      <c r="A197" s="133"/>
      <c r="B197" s="163"/>
      <c r="C197" s="163"/>
      <c r="D197" s="163"/>
      <c r="E197" s="163" t="s">
        <v>69</v>
      </c>
      <c r="F197" s="162" t="e">
        <f>IF(Macro!D10=TRUE,X204*Q199,0)</f>
        <v>#DIV/0!</v>
      </c>
      <c r="G197" s="163" t="s">
        <v>299</v>
      </c>
      <c r="H197" s="163"/>
      <c r="I197" s="163"/>
      <c r="J197" s="163"/>
      <c r="K197" s="163"/>
      <c r="L197" s="163"/>
      <c r="M197" s="163"/>
      <c r="N197" s="494"/>
      <c r="O197" s="494"/>
      <c r="P197" s="112"/>
      <c r="Q197" s="192"/>
      <c r="T197" t="s">
        <v>427</v>
      </c>
    </row>
    <row r="198" spans="1:28" x14ac:dyDescent="0.2">
      <c r="A198" s="133"/>
      <c r="B198" s="163"/>
      <c r="C198" s="163"/>
      <c r="D198" s="163"/>
      <c r="E198" s="163"/>
      <c r="F198" s="162"/>
      <c r="G198" s="163"/>
      <c r="H198" s="163" t="s">
        <v>52</v>
      </c>
      <c r="I198" s="210">
        <f>IF(Macro!D10=TRUE,Energy!O37,0)</f>
        <v>152841.2083224855</v>
      </c>
      <c r="J198" s="163" t="s">
        <v>233</v>
      </c>
      <c r="K198" s="163"/>
      <c r="L198" s="163"/>
      <c r="M198" s="163"/>
      <c r="N198" s="494"/>
      <c r="O198" s="494"/>
      <c r="P198" s="112"/>
      <c r="Q198" s="470"/>
      <c r="T198" s="1023" t="s">
        <v>102</v>
      </c>
      <c r="U198" s="1024"/>
      <c r="V198" s="1024"/>
      <c r="W198" s="1025"/>
      <c r="X198" s="1023" t="s">
        <v>428</v>
      </c>
      <c r="Y198" s="1024"/>
      <c r="Z198" s="1025"/>
      <c r="AA198" s="1026" t="s">
        <v>429</v>
      </c>
      <c r="AB198" s="1026"/>
    </row>
    <row r="199" spans="1:28" ht="48" x14ac:dyDescent="0.2">
      <c r="A199" s="133"/>
      <c r="B199" s="163"/>
      <c r="C199" s="163"/>
      <c r="D199" s="163"/>
      <c r="E199" s="163"/>
      <c r="F199" s="163"/>
      <c r="G199" s="163"/>
      <c r="H199" s="163"/>
      <c r="I199" s="163"/>
      <c r="J199" s="163"/>
      <c r="K199" s="163" t="s">
        <v>351</v>
      </c>
      <c r="L199" s="162" t="e">
        <f>C196+F197</f>
        <v>#DIV/0!</v>
      </c>
      <c r="M199" s="163" t="s">
        <v>299</v>
      </c>
      <c r="N199" s="494"/>
      <c r="O199" s="494"/>
      <c r="P199" s="112" t="s">
        <v>430</v>
      </c>
      <c r="Q199" s="818">
        <v>1.1000000000000001</v>
      </c>
      <c r="S199" s="124"/>
      <c r="T199" s="124" t="s">
        <v>431</v>
      </c>
      <c r="U199" s="700" t="s">
        <v>432</v>
      </c>
      <c r="V199" s="700" t="s">
        <v>433</v>
      </c>
      <c r="W199" s="700" t="s">
        <v>434</v>
      </c>
      <c r="X199" s="700" t="s">
        <v>433</v>
      </c>
      <c r="Y199" s="700" t="s">
        <v>432</v>
      </c>
      <c r="Z199" s="700" t="s">
        <v>431</v>
      </c>
      <c r="AA199" s="124" t="s">
        <v>431</v>
      </c>
      <c r="AB199" s="700" t="s">
        <v>432</v>
      </c>
    </row>
    <row r="200" spans="1:28" x14ac:dyDescent="0.2">
      <c r="A200" s="133"/>
      <c r="B200" s="163"/>
      <c r="C200" s="163"/>
      <c r="D200" s="163"/>
      <c r="E200" s="163"/>
      <c r="F200" s="163"/>
      <c r="G200" s="163"/>
      <c r="H200" s="163"/>
      <c r="I200" s="163"/>
      <c r="J200" s="163"/>
      <c r="K200" s="163" t="s">
        <v>351</v>
      </c>
      <c r="L200" s="162" t="e">
        <f>L199/N200</f>
        <v>#DIV/0!</v>
      </c>
      <c r="M200" s="163" t="s">
        <v>312</v>
      </c>
      <c r="N200" s="513">
        <v>1</v>
      </c>
      <c r="O200" s="513"/>
      <c r="P200" s="205"/>
      <c r="Q200" s="192"/>
      <c r="S200" s="124" t="s">
        <v>435</v>
      </c>
      <c r="T200" s="524" t="e">
        <f>T116</f>
        <v>#DIV/0!</v>
      </c>
      <c r="U200" s="498">
        <v>6.94</v>
      </c>
      <c r="V200" s="524" t="e">
        <f>T200*1000000/U200</f>
        <v>#DIV/0!</v>
      </c>
      <c r="W200" s="702">
        <v>0.5</v>
      </c>
      <c r="X200" s="396" t="e">
        <f>V200*W200</f>
        <v>#DIV/0!</v>
      </c>
      <c r="Y200" s="701">
        <v>60.01</v>
      </c>
      <c r="Z200" s="396" t="e">
        <f>X200*Y200/1000000</f>
        <v>#DIV/0!</v>
      </c>
      <c r="AA200" s="136" t="e">
        <f>Z200+T200</f>
        <v>#DIV/0!</v>
      </c>
      <c r="AB200" s="124">
        <v>73.89</v>
      </c>
    </row>
    <row r="201" spans="1:28" ht="17" x14ac:dyDescent="0.25">
      <c r="A201" s="170"/>
      <c r="B201" s="146"/>
      <c r="C201" s="146"/>
      <c r="D201" s="146"/>
      <c r="E201" s="146"/>
      <c r="F201" s="146"/>
      <c r="G201" s="146"/>
      <c r="H201" s="146"/>
      <c r="I201" s="146"/>
      <c r="J201" s="146"/>
      <c r="K201" s="146"/>
      <c r="L201" s="146"/>
      <c r="M201" s="146"/>
      <c r="N201" s="458"/>
      <c r="O201" s="458"/>
      <c r="P201" s="171"/>
      <c r="Q201" s="195"/>
      <c r="AA201" s="124" t="s">
        <v>436</v>
      </c>
      <c r="AB201" s="524" t="e">
        <f>AA200*Efficiencies!E37</f>
        <v>#DIV/0!</v>
      </c>
    </row>
    <row r="202" spans="1:28" x14ac:dyDescent="0.2">
      <c r="A202" s="156" t="s">
        <v>437</v>
      </c>
      <c r="B202" s="163"/>
      <c r="C202" s="163"/>
      <c r="D202" s="163"/>
      <c r="E202" s="163"/>
      <c r="F202" s="163"/>
      <c r="G202" s="163"/>
      <c r="H202" s="163"/>
      <c r="I202" s="163"/>
      <c r="J202" s="163"/>
      <c r="K202" s="163"/>
      <c r="L202" s="163"/>
      <c r="M202" s="163"/>
      <c r="N202" s="494"/>
      <c r="O202" s="494"/>
      <c r="P202" s="164"/>
      <c r="Q202" s="192"/>
      <c r="T202" s="1026" t="s">
        <v>102</v>
      </c>
      <c r="U202" s="1026"/>
      <c r="V202" s="1026"/>
      <c r="W202" s="1023" t="s">
        <v>69</v>
      </c>
      <c r="X202" s="1025"/>
    </row>
    <row r="203" spans="1:28" ht="32" x14ac:dyDescent="0.2">
      <c r="A203" s="133" t="s">
        <v>438</v>
      </c>
      <c r="B203" s="163" t="s">
        <v>351</v>
      </c>
      <c r="C203" s="162" t="e">
        <f>L199</f>
        <v>#DIV/0!</v>
      </c>
      <c r="D203" s="163" t="s">
        <v>299</v>
      </c>
      <c r="E203" s="163"/>
      <c r="F203" s="163"/>
      <c r="G203" s="163"/>
      <c r="H203" s="163"/>
      <c r="I203" s="163"/>
      <c r="J203" s="163"/>
      <c r="K203" s="163"/>
      <c r="L203" s="163"/>
      <c r="M203" s="163"/>
      <c r="N203" s="494"/>
      <c r="O203" s="494"/>
      <c r="P203" s="164"/>
      <c r="Q203" s="192"/>
      <c r="S203" s="124"/>
      <c r="T203" s="700" t="s">
        <v>431</v>
      </c>
      <c r="U203" s="700" t="s">
        <v>432</v>
      </c>
      <c r="V203" s="700" t="s">
        <v>433</v>
      </c>
      <c r="W203" s="700" t="s">
        <v>433</v>
      </c>
      <c r="X203" s="700" t="s">
        <v>431</v>
      </c>
    </row>
    <row r="204" spans="1:28" x14ac:dyDescent="0.2">
      <c r="A204" s="133"/>
      <c r="B204" s="163"/>
      <c r="C204" s="162"/>
      <c r="D204" s="163"/>
      <c r="E204" s="163"/>
      <c r="F204" s="163"/>
      <c r="G204" s="163"/>
      <c r="H204" s="163" t="s">
        <v>52</v>
      </c>
      <c r="I204" s="210">
        <f>IF(Macro!D10=TRUE,Energy!O38,0)</f>
        <v>117815.0980819159</v>
      </c>
      <c r="J204" s="163" t="s">
        <v>233</v>
      </c>
      <c r="K204" s="133"/>
      <c r="L204" s="163"/>
      <c r="M204" s="163"/>
      <c r="N204" s="494"/>
      <c r="O204" s="494"/>
      <c r="P204" s="164"/>
      <c r="Q204" s="470"/>
      <c r="S204" s="124" t="s">
        <v>435</v>
      </c>
      <c r="T204" s="524" t="e">
        <f>T116</f>
        <v>#DIV/0!</v>
      </c>
      <c r="U204" s="498">
        <v>6.94</v>
      </c>
      <c r="V204" s="524" t="e">
        <f>T204*1000000/U204</f>
        <v>#DIV/0!</v>
      </c>
      <c r="W204" s="701">
        <v>105.99</v>
      </c>
      <c r="X204" s="396" t="e">
        <f>AA200/AB200*W204</f>
        <v>#DIV/0!</v>
      </c>
    </row>
    <row r="205" spans="1:28" ht="16" x14ac:dyDescent="0.2">
      <c r="A205" s="133"/>
      <c r="B205" s="163"/>
      <c r="C205" s="163"/>
      <c r="D205" s="163"/>
      <c r="E205" s="163"/>
      <c r="F205" s="163"/>
      <c r="G205" s="163"/>
      <c r="H205" s="163"/>
      <c r="I205" s="163"/>
      <c r="J205" s="163"/>
      <c r="K205" s="109" t="s">
        <v>67</v>
      </c>
      <c r="L205" s="162" t="e">
        <f>IF(Macro!D10=TRUE,AB201,0)</f>
        <v>#DIV/0!</v>
      </c>
      <c r="M205" s="163" t="s">
        <v>299</v>
      </c>
      <c r="N205" s="494"/>
      <c r="O205" s="494"/>
      <c r="P205" s="164" t="s">
        <v>439</v>
      </c>
      <c r="Q205" s="192"/>
      <c r="T205" s="703"/>
      <c r="U205" s="358"/>
      <c r="V205" s="358"/>
    </row>
    <row r="206" spans="1:28" x14ac:dyDescent="0.2">
      <c r="A206" s="133"/>
      <c r="B206" s="163"/>
      <c r="C206" s="163"/>
      <c r="D206" s="163"/>
      <c r="E206" s="163"/>
      <c r="F206" s="163"/>
      <c r="G206" s="163"/>
      <c r="H206" s="163"/>
      <c r="I206" s="163"/>
      <c r="J206" s="163"/>
      <c r="K206" s="109"/>
      <c r="L206" s="162"/>
      <c r="M206" s="163"/>
      <c r="N206" s="494"/>
      <c r="O206" s="494"/>
      <c r="P206" s="164"/>
      <c r="Q206" s="192"/>
    </row>
    <row r="207" spans="1:28" x14ac:dyDescent="0.2">
      <c r="A207" s="133"/>
      <c r="B207" s="163"/>
      <c r="C207" s="163"/>
      <c r="D207" s="163"/>
      <c r="E207" s="163"/>
      <c r="F207" s="163"/>
      <c r="G207" s="163"/>
      <c r="H207" s="163"/>
      <c r="I207" s="163"/>
      <c r="J207" s="163"/>
      <c r="K207" s="163" t="s">
        <v>24</v>
      </c>
      <c r="L207" s="162" t="e">
        <f>C203-L205</f>
        <v>#DIV/0!</v>
      </c>
      <c r="M207" s="163" t="s">
        <v>299</v>
      </c>
      <c r="N207" s="494"/>
      <c r="O207" s="494"/>
      <c r="P207" s="164"/>
      <c r="Q207" s="192"/>
    </row>
    <row r="208" spans="1:28" x14ac:dyDescent="0.2">
      <c r="A208" s="325"/>
      <c r="B208" s="334"/>
      <c r="C208" s="334"/>
      <c r="D208" s="334"/>
      <c r="E208" s="334"/>
      <c r="F208" s="334"/>
      <c r="G208" s="334"/>
      <c r="H208" s="334"/>
      <c r="I208" s="334"/>
      <c r="J208" s="334"/>
      <c r="K208" s="334"/>
      <c r="L208" s="334"/>
      <c r="M208" s="334"/>
      <c r="N208" s="515"/>
      <c r="O208" s="515"/>
      <c r="P208" s="335"/>
      <c r="Q208" s="336"/>
      <c r="R208" s="299"/>
    </row>
    <row r="209" spans="1:20" x14ac:dyDescent="0.2">
      <c r="A209" s="159" t="s">
        <v>440</v>
      </c>
      <c r="B209" s="174"/>
      <c r="C209" s="174"/>
      <c r="D209" s="174"/>
      <c r="E209" s="174"/>
      <c r="F209" s="174"/>
      <c r="G209" s="174"/>
      <c r="H209" s="174"/>
      <c r="I209" s="174"/>
      <c r="J209" s="174"/>
      <c r="K209" s="174"/>
      <c r="L209" s="174"/>
      <c r="M209" s="174"/>
      <c r="N209" s="516"/>
      <c r="O209" s="516"/>
      <c r="P209" s="323"/>
      <c r="Q209" s="399"/>
    </row>
    <row r="210" spans="1:20" x14ac:dyDescent="0.2">
      <c r="A210" s="133" t="s">
        <v>417</v>
      </c>
      <c r="B210" s="163" t="s">
        <v>24</v>
      </c>
      <c r="C210" s="162">
        <f>IF(Macro!D22=TRUE,L207,0)</f>
        <v>0</v>
      </c>
      <c r="D210" s="163" t="s">
        <v>299</v>
      </c>
      <c r="E210" s="163"/>
      <c r="F210" s="163"/>
      <c r="G210" s="163"/>
      <c r="H210" s="163"/>
      <c r="I210" s="163"/>
      <c r="J210" s="163"/>
      <c r="K210" s="163"/>
      <c r="L210" s="163"/>
      <c r="M210" s="163"/>
      <c r="N210" s="494"/>
      <c r="O210" s="494"/>
      <c r="P210" s="164"/>
      <c r="Q210" s="192"/>
      <c r="T210" s="168"/>
    </row>
    <row r="211" spans="1:20" x14ac:dyDescent="0.2">
      <c r="A211" s="133"/>
      <c r="B211" s="163" t="s">
        <v>24</v>
      </c>
      <c r="C211" s="210">
        <f>C210/N211</f>
        <v>0</v>
      </c>
      <c r="D211" s="163" t="s">
        <v>312</v>
      </c>
      <c r="E211" s="163"/>
      <c r="F211" s="163"/>
      <c r="G211" s="163"/>
      <c r="H211" s="163"/>
      <c r="I211" s="163"/>
      <c r="J211" s="163"/>
      <c r="K211" s="163"/>
      <c r="L211" s="163"/>
      <c r="M211" s="163"/>
      <c r="N211" s="513">
        <v>1</v>
      </c>
      <c r="O211" s="513"/>
      <c r="P211" s="205"/>
      <c r="Q211" s="192"/>
    </row>
    <row r="212" spans="1:20" ht="16" x14ac:dyDescent="0.2">
      <c r="A212" s="133"/>
      <c r="B212" s="163"/>
      <c r="C212" s="198">
        <f>C211/Macro!$D$16/Q212</f>
        <v>0</v>
      </c>
      <c r="D212" s="163" t="s">
        <v>441</v>
      </c>
      <c r="E212" s="163"/>
      <c r="F212" s="163"/>
      <c r="G212" s="163"/>
      <c r="H212" s="163"/>
      <c r="I212" s="163"/>
      <c r="J212" s="163"/>
      <c r="K212" s="163"/>
      <c r="L212" s="163"/>
      <c r="M212" s="163"/>
      <c r="N212" s="494"/>
      <c r="O212" s="494"/>
      <c r="P212" s="111" t="s">
        <v>442</v>
      </c>
      <c r="Q212" s="818">
        <v>24</v>
      </c>
    </row>
    <row r="213" spans="1:20" x14ac:dyDescent="0.2">
      <c r="A213" s="133"/>
      <c r="B213" s="163"/>
      <c r="C213" s="162">
        <f>C212*1000/60</f>
        <v>0</v>
      </c>
      <c r="D213" s="163" t="s">
        <v>443</v>
      </c>
      <c r="E213" s="163"/>
      <c r="F213" s="163"/>
      <c r="G213" s="163"/>
      <c r="H213" s="163"/>
      <c r="I213" s="163"/>
      <c r="J213" s="163"/>
      <c r="K213" s="163"/>
      <c r="L213" s="163"/>
      <c r="M213" s="163"/>
      <c r="N213" s="494"/>
      <c r="O213" s="494"/>
      <c r="P213" s="111"/>
      <c r="Q213" s="192"/>
      <c r="T213" s="168"/>
    </row>
    <row r="214" spans="1:20" ht="16" x14ac:dyDescent="0.2">
      <c r="A214" s="133"/>
      <c r="B214" s="163"/>
      <c r="C214" s="163"/>
      <c r="D214" s="163"/>
      <c r="E214" s="163"/>
      <c r="F214" s="163"/>
      <c r="G214" s="163"/>
      <c r="H214" s="163" t="s">
        <v>52</v>
      </c>
      <c r="I214" s="162">
        <f>Energy!O39</f>
        <v>0</v>
      </c>
      <c r="J214" s="163" t="s">
        <v>233</v>
      </c>
      <c r="K214" s="163"/>
      <c r="L214" s="163"/>
      <c r="M214" s="163"/>
      <c r="N214" s="494"/>
      <c r="O214" s="494"/>
      <c r="P214" s="164" t="s">
        <v>384</v>
      </c>
      <c r="Q214" s="192"/>
    </row>
    <row r="215" spans="1:20" ht="16" x14ac:dyDescent="0.2">
      <c r="A215" s="133"/>
      <c r="B215" s="163"/>
      <c r="C215" s="163"/>
      <c r="D215" s="163"/>
      <c r="E215" s="163"/>
      <c r="F215" s="163"/>
      <c r="G215" s="163"/>
      <c r="H215" s="163"/>
      <c r="I215" s="163"/>
      <c r="J215" s="163"/>
      <c r="K215" s="163" t="s">
        <v>226</v>
      </c>
      <c r="L215" s="162">
        <f>C210-L216</f>
        <v>0</v>
      </c>
      <c r="M215" s="163" t="s">
        <v>299</v>
      </c>
      <c r="N215" s="494"/>
      <c r="O215" s="494"/>
      <c r="P215" s="164" t="s">
        <v>444</v>
      </c>
      <c r="Q215" s="192"/>
    </row>
    <row r="216" spans="1:20" ht="30.5" customHeight="1" x14ac:dyDescent="0.2">
      <c r="A216" s="133"/>
      <c r="B216" s="163"/>
      <c r="C216" s="163"/>
      <c r="D216" s="163"/>
      <c r="E216" s="163"/>
      <c r="F216" s="163"/>
      <c r="G216" s="163"/>
      <c r="H216" s="163"/>
      <c r="I216" s="163"/>
      <c r="J216" s="163"/>
      <c r="K216" s="163" t="s">
        <v>64</v>
      </c>
      <c r="L216" s="162">
        <f>C210/Q216</f>
        <v>0</v>
      </c>
      <c r="M216" s="162" t="s">
        <v>299</v>
      </c>
      <c r="N216" s="517"/>
      <c r="O216" s="517"/>
      <c r="P216" s="164" t="s">
        <v>445</v>
      </c>
      <c r="Q216" s="818">
        <v>10</v>
      </c>
    </row>
    <row r="217" spans="1:20" x14ac:dyDescent="0.2">
      <c r="A217" s="170"/>
      <c r="B217" s="146"/>
      <c r="C217" s="146"/>
      <c r="D217" s="146"/>
      <c r="E217" s="146"/>
      <c r="F217" s="146"/>
      <c r="G217" s="146"/>
      <c r="H217" s="146"/>
      <c r="I217" s="146"/>
      <c r="J217" s="146"/>
      <c r="K217" s="146"/>
      <c r="L217" s="146"/>
      <c r="M217" s="400"/>
      <c r="N217" s="518"/>
      <c r="O217" s="518"/>
      <c r="P217" s="146"/>
      <c r="Q217" s="195"/>
    </row>
    <row r="218" spans="1:20" x14ac:dyDescent="0.2">
      <c r="P218"/>
    </row>
  </sheetData>
  <mergeCells count="5">
    <mergeCell ref="T198:W198"/>
    <mergeCell ref="X198:Z198"/>
    <mergeCell ref="AA198:AB198"/>
    <mergeCell ref="T202:V202"/>
    <mergeCell ref="W202:X202"/>
  </mergeCells>
  <pageMargins left="0.7" right="0.7" top="0.78740157499999996" bottom="0.78740157499999996"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Arbeitsblätter</vt:lpstr>
      </vt:variant>
      <vt:variant>
        <vt:i4>22</vt:i4>
      </vt:variant>
      <vt:variant>
        <vt:lpstr>Benannte Bereiche</vt:lpstr>
      </vt:variant>
      <vt:variant>
        <vt:i4>4</vt:i4>
      </vt:variant>
    </vt:vector>
  </HeadingPairs>
  <TitlesOfParts>
    <vt:vector size="26" baseType="lpstr">
      <vt:lpstr>ReadMe</vt:lpstr>
      <vt:lpstr>Macro</vt:lpstr>
      <vt:lpstr>R1_Detail</vt:lpstr>
      <vt:lpstr>R2_Detail</vt:lpstr>
      <vt:lpstr>R3_Detail</vt:lpstr>
      <vt:lpstr>Evaluation</vt:lpstr>
      <vt:lpstr>Battery</vt:lpstr>
      <vt:lpstr>R1_MEFA</vt:lpstr>
      <vt:lpstr>R1_Hydro_MEFA</vt:lpstr>
      <vt:lpstr>R1_Econ.</vt:lpstr>
      <vt:lpstr>R2_MEFA</vt:lpstr>
      <vt:lpstr>R2_Hydro_MEFA</vt:lpstr>
      <vt:lpstr>R2_Econ.</vt:lpstr>
      <vt:lpstr>R3_MEFA</vt:lpstr>
      <vt:lpstr>R3_Hydro_MEFA</vt:lpstr>
      <vt:lpstr>R3_Econ.</vt:lpstr>
      <vt:lpstr>Energy</vt:lpstr>
      <vt:lpstr>Stoichiometry</vt:lpstr>
      <vt:lpstr>CO2-Eq.</vt:lpstr>
      <vt:lpstr>Efficiencies</vt:lpstr>
      <vt:lpstr>Substitution</vt:lpstr>
      <vt:lpstr>Dropdown</vt:lpstr>
      <vt:lpstr>DemonSchichten</vt:lpstr>
      <vt:lpstr>Kapazitäten</vt:lpstr>
      <vt:lpstr>Preisszenario</vt:lpstr>
      <vt:lpstr>Schichten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s.bloemeke@tu-braunschweig.de;christian.scheller@aip-pl.tu-braunschweig.de</dc:creator>
  <cp:keywords/>
  <dc:description/>
  <cp:lastModifiedBy>Raphael Ginster</cp:lastModifiedBy>
  <cp:revision/>
  <dcterms:created xsi:type="dcterms:W3CDTF">2015-06-05T18:19:34Z</dcterms:created>
  <dcterms:modified xsi:type="dcterms:W3CDTF">2023-06-30T07:37:54Z</dcterms:modified>
  <cp:category/>
  <cp:contentStatus/>
</cp:coreProperties>
</file>