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FF9B537-45BB-4054-B78B-84C78B1B2DE3}" xr6:coauthVersionLast="38" xr6:coauthVersionMax="38" xr10:uidLastSave="{00000000-0000-0000-0000-000000000000}"/>
  <bookViews>
    <workbookView xWindow="0" yWindow="0" windowWidth="28800" windowHeight="12105" activeTab="2" xr2:uid="{00000000-000D-0000-FFFF-FFFF00000000}"/>
  </bookViews>
  <sheets>
    <sheet name="Terzaghi" sheetId="4" r:id="rId1"/>
    <sheet name="Ecuación General" sheetId="1" r:id="rId2"/>
    <sheet name="Vesic" sheetId="3" r:id="rId3"/>
    <sheet name="Tercer Parcial" sheetId="6" r:id="rId4"/>
    <sheet name="Base de datos" sheetId="2" r:id="rId5"/>
    <sheet name="Tablas 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4" i="3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4" i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4" i="4"/>
  <c r="M17" i="3" l="1"/>
  <c r="M17" i="1"/>
  <c r="N16" i="4"/>
  <c r="I18" i="4"/>
  <c r="H1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H18" i="3"/>
  <c r="M22" i="6"/>
  <c r="M15" i="6"/>
  <c r="AP4" i="6" l="1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K5" i="6" l="1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4" i="6"/>
  <c r="S38" i="6"/>
  <c r="U38" i="6"/>
  <c r="V38" i="6"/>
  <c r="AC38" i="6"/>
  <c r="S33" i="6"/>
  <c r="AH33" i="6" s="1"/>
  <c r="J11" i="6"/>
  <c r="V4" i="6"/>
  <c r="G10" i="6"/>
  <c r="J10" i="6" s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S26" i="6"/>
  <c r="AF26" i="6" s="1"/>
  <c r="S28" i="6"/>
  <c r="S30" i="6"/>
  <c r="AF30" i="6" s="1"/>
  <c r="U30" i="6"/>
  <c r="AC30" i="6"/>
  <c r="S31" i="6"/>
  <c r="AH31" i="6" s="1"/>
  <c r="U31" i="6"/>
  <c r="AC31" i="6"/>
  <c r="S32" i="6"/>
  <c r="U32" i="6"/>
  <c r="AC32" i="6"/>
  <c r="U33" i="6"/>
  <c r="AC33" i="6"/>
  <c r="S34" i="6"/>
  <c r="U34" i="6"/>
  <c r="AC34" i="6"/>
  <c r="S35" i="6"/>
  <c r="AF35" i="6" s="1"/>
  <c r="U35" i="6"/>
  <c r="AC35" i="6"/>
  <c r="S36" i="6"/>
  <c r="T36" i="6" s="1"/>
  <c r="AI36" i="6" s="1"/>
  <c r="U36" i="6"/>
  <c r="AC36" i="6"/>
  <c r="S37" i="6"/>
  <c r="AH37" i="6" s="1"/>
  <c r="U37" i="6"/>
  <c r="AC37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4" i="6"/>
  <c r="U29" i="6"/>
  <c r="S29" i="6"/>
  <c r="AF29" i="6" s="1"/>
  <c r="U28" i="6"/>
  <c r="U27" i="6"/>
  <c r="S27" i="6"/>
  <c r="AF27" i="6" s="1"/>
  <c r="U26" i="6"/>
  <c r="U25" i="6"/>
  <c r="S25" i="6"/>
  <c r="AF25" i="6" s="1"/>
  <c r="U24" i="6"/>
  <c r="S24" i="6"/>
  <c r="AF24" i="6" s="1"/>
  <c r="U23" i="6"/>
  <c r="S23" i="6"/>
  <c r="AF23" i="6" s="1"/>
  <c r="U22" i="6"/>
  <c r="S22" i="6"/>
  <c r="AF22" i="6" s="1"/>
  <c r="U21" i="6"/>
  <c r="S21" i="6"/>
  <c r="AF21" i="6" s="1"/>
  <c r="U20" i="6"/>
  <c r="S20" i="6"/>
  <c r="AF20" i="6" s="1"/>
  <c r="U19" i="6"/>
  <c r="S19" i="6"/>
  <c r="AF19" i="6" s="1"/>
  <c r="U18" i="6"/>
  <c r="S18" i="6"/>
  <c r="AF18" i="6" s="1"/>
  <c r="U17" i="6"/>
  <c r="S17" i="6"/>
  <c r="AF17" i="6" s="1"/>
  <c r="U16" i="6"/>
  <c r="S16" i="6"/>
  <c r="AF16" i="6" s="1"/>
  <c r="U15" i="6"/>
  <c r="S15" i="6"/>
  <c r="AF15" i="6" s="1"/>
  <c r="U14" i="6"/>
  <c r="S14" i="6"/>
  <c r="AF14" i="6" s="1"/>
  <c r="U13" i="6"/>
  <c r="S13" i="6"/>
  <c r="AF13" i="6" s="1"/>
  <c r="U12" i="6"/>
  <c r="S12" i="6"/>
  <c r="AF12" i="6" s="1"/>
  <c r="U11" i="6"/>
  <c r="S11" i="6"/>
  <c r="AF11" i="6" s="1"/>
  <c r="U10" i="6"/>
  <c r="S10" i="6"/>
  <c r="AF10" i="6" s="1"/>
  <c r="U9" i="6"/>
  <c r="S9" i="6"/>
  <c r="AF9" i="6" s="1"/>
  <c r="U8" i="6"/>
  <c r="S8" i="6"/>
  <c r="AF8" i="6" s="1"/>
  <c r="U7" i="6"/>
  <c r="S7" i="6"/>
  <c r="AF7" i="6" s="1"/>
  <c r="N7" i="6"/>
  <c r="G7" i="6"/>
  <c r="W4" i="6" s="1"/>
  <c r="U6" i="6"/>
  <c r="S6" i="6"/>
  <c r="AF6" i="6" s="1"/>
  <c r="N6" i="6"/>
  <c r="U5" i="6"/>
  <c r="S5" i="6"/>
  <c r="AF5" i="6" s="1"/>
  <c r="N5" i="6"/>
  <c r="U4" i="6"/>
  <c r="S4" i="6"/>
  <c r="AF4" i="6" s="1"/>
  <c r="AH29" i="6" l="1"/>
  <c r="AH21" i="6"/>
  <c r="T32" i="6"/>
  <c r="AI32" i="6" s="1"/>
  <c r="AH13" i="6"/>
  <c r="AH27" i="6"/>
  <c r="AH19" i="6"/>
  <c r="AH11" i="6"/>
  <c r="W35" i="6"/>
  <c r="X35" i="6" s="1"/>
  <c r="AH25" i="6"/>
  <c r="AH17" i="6"/>
  <c r="AH9" i="6"/>
  <c r="W19" i="6"/>
  <c r="X19" i="6" s="1"/>
  <c r="AH23" i="6"/>
  <c r="AH15" i="6"/>
  <c r="AH7" i="6"/>
  <c r="T31" i="6"/>
  <c r="BE31" i="6" s="1"/>
  <c r="AF31" i="6"/>
  <c r="AF28" i="6"/>
  <c r="AH28" i="6"/>
  <c r="AH5" i="6"/>
  <c r="T34" i="6"/>
  <c r="BE34" i="6" s="1"/>
  <c r="AH34" i="6"/>
  <c r="AF34" i="6"/>
  <c r="W31" i="6"/>
  <c r="X31" i="6" s="1"/>
  <c r="W15" i="6"/>
  <c r="X15" i="6" s="1"/>
  <c r="AF37" i="6"/>
  <c r="AH35" i="6"/>
  <c r="W27" i="6"/>
  <c r="X27" i="6" s="1"/>
  <c r="W11" i="6"/>
  <c r="X11" i="6" s="1"/>
  <c r="AH4" i="6"/>
  <c r="AH32" i="6"/>
  <c r="AH30" i="6"/>
  <c r="AH26" i="6"/>
  <c r="AH24" i="6"/>
  <c r="AH22" i="6"/>
  <c r="AH20" i="6"/>
  <c r="AH18" i="6"/>
  <c r="AH16" i="6"/>
  <c r="AH14" i="6"/>
  <c r="AH12" i="6"/>
  <c r="AH10" i="6"/>
  <c r="AH8" i="6"/>
  <c r="AH6" i="6"/>
  <c r="T38" i="6"/>
  <c r="W23" i="6"/>
  <c r="X23" i="6" s="1"/>
  <c r="W7" i="6"/>
  <c r="X7" i="6" s="1"/>
  <c r="AF32" i="6"/>
  <c r="T33" i="6"/>
  <c r="AD33" i="6" s="1"/>
  <c r="Y33" i="6" s="1"/>
  <c r="Z33" i="6" s="1"/>
  <c r="W38" i="6"/>
  <c r="X38" i="6" s="1"/>
  <c r="AG36" i="6"/>
  <c r="AH36" i="6"/>
  <c r="AF36" i="6"/>
  <c r="AH38" i="6"/>
  <c r="AF38" i="6"/>
  <c r="AF33" i="6"/>
  <c r="AD36" i="6"/>
  <c r="Y36" i="6" s="1"/>
  <c r="Z36" i="6" s="1"/>
  <c r="W34" i="6"/>
  <c r="X34" i="6" s="1"/>
  <c r="W30" i="6"/>
  <c r="X30" i="6" s="1"/>
  <c r="W26" i="6"/>
  <c r="X26" i="6" s="1"/>
  <c r="W22" i="6"/>
  <c r="X22" i="6" s="1"/>
  <c r="W18" i="6"/>
  <c r="X18" i="6" s="1"/>
  <c r="W14" i="6"/>
  <c r="X14" i="6" s="1"/>
  <c r="W10" i="6"/>
  <c r="X10" i="6" s="1"/>
  <c r="W6" i="6"/>
  <c r="X6" i="6" s="1"/>
  <c r="W37" i="6"/>
  <c r="X37" i="6" s="1"/>
  <c r="W33" i="6"/>
  <c r="X33" i="6" s="1"/>
  <c r="W29" i="6"/>
  <c r="X29" i="6" s="1"/>
  <c r="W25" i="6"/>
  <c r="X25" i="6" s="1"/>
  <c r="W21" i="6"/>
  <c r="X21" i="6" s="1"/>
  <c r="W17" i="6"/>
  <c r="X17" i="6" s="1"/>
  <c r="W13" i="6"/>
  <c r="X13" i="6" s="1"/>
  <c r="W9" i="6"/>
  <c r="X9" i="6" s="1"/>
  <c r="W5" i="6"/>
  <c r="X5" i="6" s="1"/>
  <c r="T4" i="6"/>
  <c r="T37" i="6"/>
  <c r="T30" i="6"/>
  <c r="BH36" i="6"/>
  <c r="W36" i="6"/>
  <c r="X36" i="6" s="1"/>
  <c r="W32" i="6"/>
  <c r="X32" i="6" s="1"/>
  <c r="W28" i="6"/>
  <c r="X28" i="6" s="1"/>
  <c r="W24" i="6"/>
  <c r="X24" i="6" s="1"/>
  <c r="W20" i="6"/>
  <c r="X20" i="6" s="1"/>
  <c r="W16" i="6"/>
  <c r="X16" i="6" s="1"/>
  <c r="W12" i="6"/>
  <c r="X12" i="6" s="1"/>
  <c r="W8" i="6"/>
  <c r="X8" i="6" s="1"/>
  <c r="X4" i="6"/>
  <c r="BE36" i="6"/>
  <c r="T35" i="6"/>
  <c r="BE30" i="6"/>
  <c r="AE30" i="6" s="1"/>
  <c r="T5" i="6"/>
  <c r="T17" i="6"/>
  <c r="T21" i="6"/>
  <c r="T25" i="6"/>
  <c r="T29" i="6"/>
  <c r="T6" i="6"/>
  <c r="T18" i="6"/>
  <c r="T22" i="6"/>
  <c r="T26" i="6"/>
  <c r="T13" i="6"/>
  <c r="T14" i="6"/>
  <c r="T15" i="6"/>
  <c r="T16" i="6"/>
  <c r="T19" i="6"/>
  <c r="T23" i="6"/>
  <c r="T27" i="6"/>
  <c r="T7" i="6"/>
  <c r="T8" i="6"/>
  <c r="T9" i="6"/>
  <c r="T10" i="6"/>
  <c r="T11" i="6"/>
  <c r="T12" i="6"/>
  <c r="T20" i="6"/>
  <c r="T24" i="6"/>
  <c r="T28" i="6"/>
  <c r="O7" i="4"/>
  <c r="O6" i="4"/>
  <c r="O5" i="4"/>
  <c r="S29" i="4"/>
  <c r="Q29" i="4"/>
  <c r="S28" i="4"/>
  <c r="Q28" i="4"/>
  <c r="S27" i="4"/>
  <c r="Q27" i="4"/>
  <c r="S26" i="4"/>
  <c r="Q26" i="4"/>
  <c r="R26" i="4" s="1"/>
  <c r="U25" i="4"/>
  <c r="S25" i="4"/>
  <c r="R25" i="4"/>
  <c r="Q25" i="4"/>
  <c r="S24" i="4"/>
  <c r="Q24" i="4"/>
  <c r="S23" i="4"/>
  <c r="Q23" i="4"/>
  <c r="S22" i="4"/>
  <c r="Q22" i="4"/>
  <c r="S21" i="4"/>
  <c r="Q21" i="4"/>
  <c r="S20" i="4"/>
  <c r="Q20" i="4"/>
  <c r="S19" i="4"/>
  <c r="Q19" i="4"/>
  <c r="S18" i="4"/>
  <c r="Q18" i="4"/>
  <c r="S17" i="4"/>
  <c r="R17" i="4"/>
  <c r="U17" i="4" s="1"/>
  <c r="Q17" i="4"/>
  <c r="S16" i="4"/>
  <c r="R16" i="4"/>
  <c r="Q16" i="4"/>
  <c r="S15" i="4"/>
  <c r="Q15" i="4"/>
  <c r="S14" i="4"/>
  <c r="Q14" i="4"/>
  <c r="S13" i="4"/>
  <c r="Q13" i="4"/>
  <c r="S12" i="4"/>
  <c r="Q12" i="4"/>
  <c r="S11" i="4"/>
  <c r="Q11" i="4"/>
  <c r="S10" i="4"/>
  <c r="R10" i="4"/>
  <c r="Q10" i="4"/>
  <c r="S9" i="4"/>
  <c r="Q9" i="4"/>
  <c r="S8" i="4"/>
  <c r="Q8" i="4"/>
  <c r="R8" i="4" s="1"/>
  <c r="S7" i="4"/>
  <c r="Q7" i="4"/>
  <c r="F7" i="4"/>
  <c r="S6" i="4"/>
  <c r="Q6" i="4"/>
  <c r="S5" i="4"/>
  <c r="Q5" i="4"/>
  <c r="S4" i="4"/>
  <c r="Q4" i="4"/>
  <c r="AG33" i="6" l="1"/>
  <c r="BH31" i="6"/>
  <c r="U10" i="4"/>
  <c r="AI33" i="6"/>
  <c r="AR33" i="6" s="1"/>
  <c r="BH32" i="6"/>
  <c r="BE33" i="6"/>
  <c r="AE33" i="6" s="1"/>
  <c r="W25" i="4"/>
  <c r="W10" i="4"/>
  <c r="W17" i="4"/>
  <c r="AD34" i="6"/>
  <c r="Y34" i="6" s="1"/>
  <c r="Z34" i="6" s="1"/>
  <c r="AQ27" i="6"/>
  <c r="BH34" i="6"/>
  <c r="AR32" i="6"/>
  <c r="AQ32" i="6"/>
  <c r="AS32" i="6"/>
  <c r="AS36" i="6"/>
  <c r="AR36" i="6"/>
  <c r="AQ36" i="6"/>
  <c r="V7" i="4"/>
  <c r="X7" i="4" s="1"/>
  <c r="R24" i="4"/>
  <c r="U24" i="4" s="1"/>
  <c r="W24" i="4" s="1"/>
  <c r="R15" i="4"/>
  <c r="U15" i="4" s="1"/>
  <c r="R7" i="4"/>
  <c r="U7" i="4" s="1"/>
  <c r="R9" i="4"/>
  <c r="U9" i="4" s="1"/>
  <c r="W9" i="4" s="1"/>
  <c r="V17" i="4"/>
  <c r="X17" i="4" s="1"/>
  <c r="R23" i="4"/>
  <c r="V23" i="4" s="1"/>
  <c r="R18" i="4"/>
  <c r="V18" i="4" s="1"/>
  <c r="V25" i="4"/>
  <c r="X25" i="4" s="1"/>
  <c r="V26" i="4"/>
  <c r="X26" i="4" s="1"/>
  <c r="R11" i="4"/>
  <c r="V11" i="4" s="1"/>
  <c r="U26" i="4"/>
  <c r="W26" i="4" s="1"/>
  <c r="V24" i="4"/>
  <c r="X24" i="4" s="1"/>
  <c r="R19" i="4"/>
  <c r="V19" i="4" s="1"/>
  <c r="V10" i="4"/>
  <c r="X10" i="4" s="1"/>
  <c r="V16" i="4"/>
  <c r="X16" i="4" s="1"/>
  <c r="R27" i="4"/>
  <c r="V27" i="4" s="1"/>
  <c r="Z8" i="4"/>
  <c r="AA25" i="4"/>
  <c r="Z26" i="4"/>
  <c r="Z10" i="4"/>
  <c r="AA16" i="4"/>
  <c r="Z25" i="4"/>
  <c r="AB25" i="4" s="1"/>
  <c r="Z17" i="4"/>
  <c r="BH33" i="6"/>
  <c r="BH30" i="6"/>
  <c r="AD31" i="6"/>
  <c r="Y31" i="6" s="1"/>
  <c r="Z31" i="6" s="1"/>
  <c r="AG32" i="6"/>
  <c r="AM32" i="6" s="1"/>
  <c r="BE32" i="6"/>
  <c r="AE32" i="6" s="1"/>
  <c r="AD32" i="6"/>
  <c r="Y32" i="6" s="1"/>
  <c r="AG38" i="6"/>
  <c r="AN38" i="6" s="1"/>
  <c r="BE38" i="6"/>
  <c r="AE38" i="6" s="1"/>
  <c r="AD38" i="6"/>
  <c r="AA38" i="6" s="1"/>
  <c r="AI38" i="6"/>
  <c r="AQ38" i="6" s="1"/>
  <c r="BH38" i="6"/>
  <c r="AI19" i="6"/>
  <c r="AS19" i="6" s="1"/>
  <c r="AG19" i="6"/>
  <c r="AI17" i="6"/>
  <c r="AS17" i="6" s="1"/>
  <c r="AG17" i="6"/>
  <c r="AG16" i="6"/>
  <c r="AI16" i="6"/>
  <c r="AS16" i="6" s="1"/>
  <c r="AI29" i="6"/>
  <c r="AQ29" i="6" s="1"/>
  <c r="AG29" i="6"/>
  <c r="AI4" i="6"/>
  <c r="AQ4" i="6" s="1"/>
  <c r="AG4" i="6"/>
  <c r="AM36" i="6"/>
  <c r="AL36" i="6"/>
  <c r="AN36" i="6"/>
  <c r="AG8" i="6"/>
  <c r="AI8" i="6"/>
  <c r="AR8" i="6" s="1"/>
  <c r="AG6" i="6"/>
  <c r="AI6" i="6"/>
  <c r="AS6" i="6" s="1"/>
  <c r="AG35" i="6"/>
  <c r="AI35" i="6"/>
  <c r="AQ35" i="6" s="1"/>
  <c r="AI11" i="6"/>
  <c r="AS11" i="6" s="1"/>
  <c r="AG11" i="6"/>
  <c r="AG24" i="6"/>
  <c r="AI24" i="6"/>
  <c r="AR24" i="6" s="1"/>
  <c r="AG10" i="6"/>
  <c r="AI10" i="6"/>
  <c r="AQ10" i="6" s="1"/>
  <c r="AI27" i="6"/>
  <c r="AS27" i="6" s="1"/>
  <c r="AG27" i="6"/>
  <c r="AI15" i="6"/>
  <c r="AS15" i="6" s="1"/>
  <c r="AG15" i="6"/>
  <c r="AG22" i="6"/>
  <c r="AI22" i="6"/>
  <c r="AS22" i="6" s="1"/>
  <c r="AI25" i="6"/>
  <c r="AS25" i="6" s="1"/>
  <c r="AG25" i="6"/>
  <c r="AI34" i="6"/>
  <c r="AS34" i="6" s="1"/>
  <c r="AG34" i="6"/>
  <c r="AN34" i="6" s="1"/>
  <c r="AI31" i="6"/>
  <c r="AG31" i="6"/>
  <c r="AM31" i="6" s="1"/>
  <c r="AG12" i="6"/>
  <c r="AI12" i="6"/>
  <c r="AQ12" i="6" s="1"/>
  <c r="AI13" i="6"/>
  <c r="AS13" i="6" s="1"/>
  <c r="AG13" i="6"/>
  <c r="AG28" i="6"/>
  <c r="AJ28" i="6" s="1"/>
  <c r="AI28" i="6"/>
  <c r="AS28" i="6" s="1"/>
  <c r="AI7" i="6"/>
  <c r="AS7" i="6" s="1"/>
  <c r="AG7" i="6"/>
  <c r="AG26" i="6"/>
  <c r="AI26" i="6"/>
  <c r="AS26" i="6" s="1"/>
  <c r="AI5" i="6"/>
  <c r="AR5" i="6" s="1"/>
  <c r="AG5" i="6"/>
  <c r="AG20" i="6"/>
  <c r="AI20" i="6"/>
  <c r="AR20" i="6" s="1"/>
  <c r="AI9" i="6"/>
  <c r="AS9" i="6" s="1"/>
  <c r="AG9" i="6"/>
  <c r="AI23" i="6"/>
  <c r="AR23" i="6" s="1"/>
  <c r="AG23" i="6"/>
  <c r="AG14" i="6"/>
  <c r="AI14" i="6"/>
  <c r="AR14" i="6" s="1"/>
  <c r="AG18" i="6"/>
  <c r="AI18" i="6"/>
  <c r="AS18" i="6" s="1"/>
  <c r="AI21" i="6"/>
  <c r="AS21" i="6" s="1"/>
  <c r="AG21" i="6"/>
  <c r="AG30" i="6"/>
  <c r="AI30" i="6"/>
  <c r="AQ30" i="6" s="1"/>
  <c r="AJ33" i="6"/>
  <c r="AN33" i="6"/>
  <c r="AM33" i="6"/>
  <c r="AL33" i="6"/>
  <c r="AN32" i="6"/>
  <c r="AJ36" i="6"/>
  <c r="AG37" i="6"/>
  <c r="AJ37" i="6" s="1"/>
  <c r="AI37" i="6"/>
  <c r="AA36" i="6"/>
  <c r="Y38" i="6"/>
  <c r="Z38" i="6" s="1"/>
  <c r="BH16" i="6"/>
  <c r="BH29" i="6"/>
  <c r="BH5" i="6"/>
  <c r="BH4" i="6"/>
  <c r="AD24" i="6"/>
  <c r="Y24" i="6" s="1"/>
  <c r="Z24" i="6" s="1"/>
  <c r="BI33" i="6"/>
  <c r="BJ33" i="6" s="1"/>
  <c r="BH20" i="6"/>
  <c r="BH9" i="6"/>
  <c r="BH23" i="6"/>
  <c r="AA34" i="6"/>
  <c r="AD35" i="6"/>
  <c r="Y35" i="6" s="1"/>
  <c r="Z35" i="6" s="1"/>
  <c r="BH10" i="6"/>
  <c r="BH19" i="6"/>
  <c r="BH6" i="6"/>
  <c r="BH17" i="6"/>
  <c r="AB36" i="6"/>
  <c r="BE37" i="6"/>
  <c r="AE37" i="6" s="1"/>
  <c r="BF34" i="6"/>
  <c r="BG34" i="6" s="1"/>
  <c r="AE34" i="6"/>
  <c r="BE35" i="6"/>
  <c r="AE35" i="6" s="1"/>
  <c r="AD37" i="6"/>
  <c r="Y37" i="6" s="1"/>
  <c r="Z37" i="6" s="1"/>
  <c r="BI31" i="6"/>
  <c r="BJ31" i="6" s="1"/>
  <c r="AE31" i="6"/>
  <c r="AB34" i="6"/>
  <c r="BF36" i="6"/>
  <c r="BG36" i="6" s="1"/>
  <c r="AE36" i="6"/>
  <c r="BI34" i="6"/>
  <c r="BJ34" i="6" s="1"/>
  <c r="AD16" i="6"/>
  <c r="Y16" i="6" s="1"/>
  <c r="Z16" i="6" s="1"/>
  <c r="AD26" i="6"/>
  <c r="Y26" i="6" s="1"/>
  <c r="Z26" i="6" s="1"/>
  <c r="BH15" i="6"/>
  <c r="BH18" i="6"/>
  <c r="BH21" i="6"/>
  <c r="AD30" i="6"/>
  <c r="Y30" i="6" s="1"/>
  <c r="Z30" i="6" s="1"/>
  <c r="BI30" i="6" s="1"/>
  <c r="BJ30" i="6" s="1"/>
  <c r="BH14" i="6"/>
  <c r="BH26" i="6"/>
  <c r="BH7" i="6"/>
  <c r="BI36" i="6"/>
  <c r="BJ36" i="6" s="1"/>
  <c r="BE4" i="6"/>
  <c r="AD4" i="6"/>
  <c r="Y4" i="6" s="1"/>
  <c r="Z4" i="6" s="1"/>
  <c r="AD28" i="6"/>
  <c r="Y28" i="6" s="1"/>
  <c r="Z28" i="6" s="1"/>
  <c r="BH11" i="6"/>
  <c r="BH24" i="6"/>
  <c r="AD12" i="6"/>
  <c r="Y12" i="6" s="1"/>
  <c r="Z12" i="6" s="1"/>
  <c r="BH8" i="6"/>
  <c r="BF31" i="6"/>
  <c r="BG31" i="6" s="1"/>
  <c r="BH37" i="6"/>
  <c r="BH28" i="6"/>
  <c r="BF33" i="6"/>
  <c r="BG33" i="6" s="1"/>
  <c r="BH22" i="6"/>
  <c r="BH12" i="6"/>
  <c r="BH35" i="6"/>
  <c r="BH25" i="6"/>
  <c r="BH13" i="6"/>
  <c r="BH27" i="6"/>
  <c r="AD10" i="6"/>
  <c r="Y10" i="6" s="1"/>
  <c r="Z10" i="6" s="1"/>
  <c r="AD27" i="6"/>
  <c r="Y27" i="6" s="1"/>
  <c r="Z27" i="6" s="1"/>
  <c r="AD15" i="6"/>
  <c r="Y15" i="6" s="1"/>
  <c r="Z15" i="6" s="1"/>
  <c r="AD22" i="6"/>
  <c r="Y22" i="6" s="1"/>
  <c r="Z22" i="6" s="1"/>
  <c r="AD25" i="6"/>
  <c r="Y25" i="6" s="1"/>
  <c r="Z25" i="6" s="1"/>
  <c r="AD20" i="6"/>
  <c r="Y20" i="6" s="1"/>
  <c r="Z20" i="6" s="1"/>
  <c r="AD14" i="6"/>
  <c r="Y14" i="6" s="1"/>
  <c r="Z14" i="6" s="1"/>
  <c r="AD18" i="6"/>
  <c r="Y18" i="6" s="1"/>
  <c r="Z18" i="6" s="1"/>
  <c r="AD21" i="6"/>
  <c r="Y21" i="6" s="1"/>
  <c r="Z21" i="6" s="1"/>
  <c r="AD9" i="6"/>
  <c r="Y9" i="6" s="1"/>
  <c r="AD11" i="6"/>
  <c r="Y11" i="6" s="1"/>
  <c r="Z11" i="6" s="1"/>
  <c r="AD7" i="6"/>
  <c r="Y7" i="6" s="1"/>
  <c r="Z7" i="6" s="1"/>
  <c r="AD8" i="6"/>
  <c r="Y8" i="6" s="1"/>
  <c r="Z8" i="6" s="1"/>
  <c r="AD17" i="6"/>
  <c r="Y17" i="6" s="1"/>
  <c r="Z17" i="6" s="1"/>
  <c r="AD13" i="6"/>
  <c r="Y13" i="6" s="1"/>
  <c r="Z13" i="6" s="1"/>
  <c r="AD19" i="6"/>
  <c r="Y19" i="6" s="1"/>
  <c r="Z19" i="6" s="1"/>
  <c r="AD6" i="6"/>
  <c r="Y6" i="6" s="1"/>
  <c r="Z6" i="6" s="1"/>
  <c r="AD23" i="6"/>
  <c r="Y23" i="6" s="1"/>
  <c r="Z23" i="6" s="1"/>
  <c r="AD29" i="6"/>
  <c r="Y29" i="6" s="1"/>
  <c r="Z29" i="6" s="1"/>
  <c r="AD5" i="6"/>
  <c r="Y5" i="6" s="1"/>
  <c r="Z5" i="6" s="1"/>
  <c r="AB33" i="6"/>
  <c r="AA33" i="6"/>
  <c r="AA35" i="6"/>
  <c r="AB37" i="6"/>
  <c r="BE24" i="6"/>
  <c r="BE14" i="6"/>
  <c r="BE29" i="6"/>
  <c r="AE29" i="6" s="1"/>
  <c r="BE21" i="6"/>
  <c r="BE28" i="6"/>
  <c r="BE12" i="6"/>
  <c r="BE8" i="6"/>
  <c r="BE23" i="6"/>
  <c r="BE15" i="6"/>
  <c r="BE13" i="6"/>
  <c r="BE6" i="6"/>
  <c r="BE17" i="6"/>
  <c r="BE5" i="6"/>
  <c r="AE5" i="6" s="1"/>
  <c r="BE10" i="6"/>
  <c r="BE27" i="6"/>
  <c r="BE26" i="6"/>
  <c r="AE26" i="6" s="1"/>
  <c r="BE9" i="6"/>
  <c r="AE9" i="6" s="1"/>
  <c r="BE18" i="6"/>
  <c r="BE20" i="6"/>
  <c r="AE20" i="6" s="1"/>
  <c r="BE11" i="6"/>
  <c r="AE11" i="6" s="1"/>
  <c r="BE7" i="6"/>
  <c r="BE19" i="6"/>
  <c r="BE16" i="6"/>
  <c r="BE22" i="6"/>
  <c r="AE22" i="6" s="1"/>
  <c r="BE25" i="6"/>
  <c r="R14" i="4"/>
  <c r="V14" i="4" s="1"/>
  <c r="AA14" i="4" s="1"/>
  <c r="R22" i="4"/>
  <c r="U22" i="4" s="1"/>
  <c r="W22" i="4" s="1"/>
  <c r="U8" i="4"/>
  <c r="W8" i="4" s="1"/>
  <c r="U16" i="4"/>
  <c r="W16" i="4" s="1"/>
  <c r="V8" i="4"/>
  <c r="AA8" i="4" s="1"/>
  <c r="U11" i="4"/>
  <c r="W11" i="4" s="1"/>
  <c r="R12" i="4"/>
  <c r="V12" i="4" s="1"/>
  <c r="AA12" i="4" s="1"/>
  <c r="U19" i="4"/>
  <c r="W19" i="4" s="1"/>
  <c r="R20" i="4"/>
  <c r="V20" i="4" s="1"/>
  <c r="AA20" i="4" s="1"/>
  <c r="R28" i="4"/>
  <c r="V28" i="4" s="1"/>
  <c r="X28" i="4" s="1"/>
  <c r="R5" i="4"/>
  <c r="U5" i="4" s="1"/>
  <c r="W5" i="4" s="1"/>
  <c r="R4" i="4"/>
  <c r="R6" i="4"/>
  <c r="R13" i="4"/>
  <c r="R21" i="4"/>
  <c r="U21" i="4" s="1"/>
  <c r="W21" i="4" s="1"/>
  <c r="R29" i="4"/>
  <c r="V29" i="4" s="1"/>
  <c r="X29" i="4" s="1"/>
  <c r="Y17" i="4" l="1"/>
  <c r="AC17" i="4" s="1"/>
  <c r="W7" i="4"/>
  <c r="Z7" i="4"/>
  <c r="AA11" i="4"/>
  <c r="X11" i="4"/>
  <c r="Y11" i="4"/>
  <c r="AL38" i="6"/>
  <c r="AA7" i="4"/>
  <c r="AM38" i="6"/>
  <c r="AO38" i="6" s="1"/>
  <c r="AV38" i="6" s="1"/>
  <c r="AJ38" i="6"/>
  <c r="AA17" i="4"/>
  <c r="AB17" i="4" s="1"/>
  <c r="X12" i="4"/>
  <c r="AA32" i="6"/>
  <c r="AA24" i="4"/>
  <c r="Y10" i="4"/>
  <c r="AC10" i="4" s="1"/>
  <c r="U18" i="4"/>
  <c r="Z11" i="4"/>
  <c r="AB11" i="4" s="1"/>
  <c r="Y16" i="4"/>
  <c r="AD16" i="4" s="1"/>
  <c r="AE16" i="4" s="1"/>
  <c r="AA29" i="4"/>
  <c r="U23" i="4"/>
  <c r="W23" i="4" s="1"/>
  <c r="U27" i="4"/>
  <c r="W27" i="4" s="1"/>
  <c r="V9" i="4"/>
  <c r="AR34" i="6"/>
  <c r="AT32" i="6"/>
  <c r="AW32" i="6" s="1"/>
  <c r="AR13" i="6"/>
  <c r="AQ18" i="6"/>
  <c r="AQ23" i="6"/>
  <c r="AR17" i="6"/>
  <c r="AQ21" i="6"/>
  <c r="AS33" i="6"/>
  <c r="AQ33" i="6"/>
  <c r="Y25" i="4"/>
  <c r="AC25" i="4" s="1"/>
  <c r="AQ15" i="6"/>
  <c r="AT36" i="6"/>
  <c r="AW36" i="6" s="1"/>
  <c r="AQ7" i="6"/>
  <c r="AT7" i="6" s="1"/>
  <c r="AW7" i="6" s="1"/>
  <c r="AQ16" i="6"/>
  <c r="AR21" i="6"/>
  <c r="AS14" i="6"/>
  <c r="AR30" i="6"/>
  <c r="AS20" i="6"/>
  <c r="AR10" i="6"/>
  <c r="AS24" i="6"/>
  <c r="AR35" i="6"/>
  <c r="AT35" i="6" s="1"/>
  <c r="AW35" i="6" s="1"/>
  <c r="AR15" i="6"/>
  <c r="AQ34" i="6"/>
  <c r="AT34" i="6" s="1"/>
  <c r="AW34" i="6" s="1"/>
  <c r="AR16" i="6"/>
  <c r="AS23" i="6"/>
  <c r="AT23" i="6" s="1"/>
  <c r="AW23" i="6" s="1"/>
  <c r="AS30" i="6"/>
  <c r="AQ17" i="6"/>
  <c r="AS10" i="6"/>
  <c r="AQ24" i="6"/>
  <c r="AT24" i="6" s="1"/>
  <c r="AW24" i="6" s="1"/>
  <c r="AQ13" i="6"/>
  <c r="AT13" i="6" s="1"/>
  <c r="AW13" i="6" s="1"/>
  <c r="AS35" i="6"/>
  <c r="AQ22" i="6"/>
  <c r="AR37" i="6"/>
  <c r="AS37" i="6"/>
  <c r="AQ37" i="6"/>
  <c r="AT37" i="6" s="1"/>
  <c r="AW37" i="6" s="1"/>
  <c r="AJ32" i="6"/>
  <c r="AR18" i="6"/>
  <c r="AT18" i="6" s="1"/>
  <c r="AW18" i="6" s="1"/>
  <c r="AQ11" i="6"/>
  <c r="AR38" i="6"/>
  <c r="AR12" i="6"/>
  <c r="AR27" i="6"/>
  <c r="AT27" i="6" s="1"/>
  <c r="AW27" i="6" s="1"/>
  <c r="AS8" i="6"/>
  <c r="AR22" i="6"/>
  <c r="AL32" i="6"/>
  <c r="AO32" i="6" s="1"/>
  <c r="AV32" i="6" s="1"/>
  <c r="AQ19" i="6"/>
  <c r="AR11" i="6"/>
  <c r="AS4" i="6"/>
  <c r="AS38" i="6"/>
  <c r="AQ25" i="6"/>
  <c r="AS12" i="6"/>
  <c r="AQ26" i="6"/>
  <c r="AT26" i="6" s="1"/>
  <c r="AW26" i="6" s="1"/>
  <c r="AQ8" i="6"/>
  <c r="AT8" i="6" s="1"/>
  <c r="AW8" i="6" s="1"/>
  <c r="AQ28" i="6"/>
  <c r="AR31" i="6"/>
  <c r="AS31" i="6"/>
  <c r="AQ31" i="6"/>
  <c r="AR19" i="6"/>
  <c r="AR29" i="6"/>
  <c r="AR4" i="6"/>
  <c r="AT4" i="6" s="1"/>
  <c r="AW4" i="6" s="1"/>
  <c r="AQ5" i="6"/>
  <c r="AR25" i="6"/>
  <c r="AR26" i="6"/>
  <c r="AR9" i="6"/>
  <c r="AR28" i="6"/>
  <c r="AQ6" i="6"/>
  <c r="AS29" i="6"/>
  <c r="AR7" i="6"/>
  <c r="AS5" i="6"/>
  <c r="AQ14" i="6"/>
  <c r="AT14" i="6" s="1"/>
  <c r="AW14" i="6" s="1"/>
  <c r="AQ20" i="6"/>
  <c r="AT20" i="6" s="1"/>
  <c r="AW20" i="6" s="1"/>
  <c r="AQ9" i="6"/>
  <c r="AR6" i="6"/>
  <c r="AN4" i="6"/>
  <c r="AM4" i="6"/>
  <c r="X19" i="4"/>
  <c r="Y19" i="4" s="1"/>
  <c r="AA19" i="4"/>
  <c r="X18" i="4"/>
  <c r="AA18" i="4"/>
  <c r="W15" i="4"/>
  <c r="Z15" i="4"/>
  <c r="AA23" i="4"/>
  <c r="X23" i="4"/>
  <c r="Y23" i="4" s="1"/>
  <c r="X27" i="4"/>
  <c r="Y27" i="4" s="1"/>
  <c r="AA27" i="4"/>
  <c r="Z19" i="4"/>
  <c r="AB19" i="4" s="1"/>
  <c r="AA28" i="4"/>
  <c r="AB7" i="4"/>
  <c r="Z16" i="4"/>
  <c r="AB16" i="4" s="1"/>
  <c r="X20" i="4"/>
  <c r="AB8" i="4"/>
  <c r="Z24" i="4"/>
  <c r="AB24" i="4" s="1"/>
  <c r="Z5" i="4"/>
  <c r="U14" i="4"/>
  <c r="U29" i="4"/>
  <c r="AA26" i="4"/>
  <c r="AB26" i="4" s="1"/>
  <c r="Z22" i="4"/>
  <c r="Y26" i="4"/>
  <c r="AC26" i="4" s="1"/>
  <c r="Y7" i="4"/>
  <c r="AC7" i="4" s="1"/>
  <c r="V15" i="4"/>
  <c r="X14" i="4"/>
  <c r="Z21" i="4"/>
  <c r="Z9" i="4"/>
  <c r="X8" i="4"/>
  <c r="Y8" i="4" s="1"/>
  <c r="Y24" i="4"/>
  <c r="AC24" i="4" s="1"/>
  <c r="V21" i="4"/>
  <c r="AA10" i="4"/>
  <c r="AB10" i="4"/>
  <c r="BI38" i="6"/>
  <c r="BJ38" i="6" s="1"/>
  <c r="AA31" i="6"/>
  <c r="AB31" i="6"/>
  <c r="BF32" i="6"/>
  <c r="BG32" i="6" s="1"/>
  <c r="AB32" i="6"/>
  <c r="Z32" i="6"/>
  <c r="BI32" i="6" s="1"/>
  <c r="BJ32" i="6" s="1"/>
  <c r="AB38" i="6"/>
  <c r="BF38" i="6"/>
  <c r="BG38" i="6" s="1"/>
  <c r="BF37" i="6"/>
  <c r="BG37" i="6" s="1"/>
  <c r="AL28" i="6"/>
  <c r="AM28" i="6"/>
  <c r="AO36" i="6"/>
  <c r="AV36" i="6" s="1"/>
  <c r="AL34" i="6"/>
  <c r="AM7" i="6"/>
  <c r="AL7" i="6"/>
  <c r="AN7" i="6"/>
  <c r="AJ7" i="6"/>
  <c r="AN13" i="6"/>
  <c r="AM13" i="6"/>
  <c r="AL13" i="6"/>
  <c r="AJ13" i="6"/>
  <c r="AN25" i="6"/>
  <c r="AJ25" i="6"/>
  <c r="AM25" i="6"/>
  <c r="AL25" i="6"/>
  <c r="AM11" i="6"/>
  <c r="AL11" i="6"/>
  <c r="AN11" i="6"/>
  <c r="AJ11" i="6"/>
  <c r="AL29" i="6"/>
  <c r="AM29" i="6"/>
  <c r="AJ29" i="6"/>
  <c r="AN29" i="6"/>
  <c r="AJ14" i="6"/>
  <c r="AM14" i="6"/>
  <c r="AL14" i="6"/>
  <c r="AN14" i="6"/>
  <c r="AJ10" i="6"/>
  <c r="AM10" i="6"/>
  <c r="AL10" i="6"/>
  <c r="AN10" i="6"/>
  <c r="AL6" i="6"/>
  <c r="AN6" i="6"/>
  <c r="AJ6" i="6"/>
  <c r="AM6" i="6"/>
  <c r="AJ31" i="6"/>
  <c r="AM37" i="6"/>
  <c r="AM34" i="6"/>
  <c r="AN21" i="6"/>
  <c r="AM21" i="6"/>
  <c r="AJ21" i="6"/>
  <c r="AL21" i="6"/>
  <c r="AJ5" i="6"/>
  <c r="AN5" i="6"/>
  <c r="AL5" i="6"/>
  <c r="AM5" i="6"/>
  <c r="AM15" i="6"/>
  <c r="AN15" i="6"/>
  <c r="AL15" i="6"/>
  <c r="AJ15" i="6"/>
  <c r="AN31" i="6"/>
  <c r="AL37" i="6"/>
  <c r="AN17" i="6"/>
  <c r="AM17" i="6"/>
  <c r="AJ17" i="6"/>
  <c r="AL17" i="6"/>
  <c r="AA30" i="6"/>
  <c r="BF30" i="6"/>
  <c r="BG30" i="6" s="1"/>
  <c r="AO33" i="6"/>
  <c r="AV33" i="6" s="1"/>
  <c r="AM23" i="6"/>
  <c r="AN23" i="6"/>
  <c r="AL23" i="6"/>
  <c r="AJ23" i="6"/>
  <c r="AJ27" i="6"/>
  <c r="AN27" i="6"/>
  <c r="AL27" i="6"/>
  <c r="AM27" i="6"/>
  <c r="AN28" i="6"/>
  <c r="AL31" i="6"/>
  <c r="AN37" i="6"/>
  <c r="AL4" i="6"/>
  <c r="AJ4" i="6"/>
  <c r="AJ34" i="6"/>
  <c r="AM19" i="6"/>
  <c r="AN19" i="6"/>
  <c r="AL19" i="6"/>
  <c r="AJ19" i="6"/>
  <c r="AN9" i="6"/>
  <c r="AJ9" i="6"/>
  <c r="AM9" i="6"/>
  <c r="AL9" i="6"/>
  <c r="AB30" i="6"/>
  <c r="BI37" i="6"/>
  <c r="BJ37" i="6" s="1"/>
  <c r="AN30" i="6"/>
  <c r="AM30" i="6"/>
  <c r="AL30" i="6"/>
  <c r="AJ30" i="6"/>
  <c r="AJ18" i="6"/>
  <c r="AM18" i="6"/>
  <c r="AL18" i="6"/>
  <c r="AN18" i="6"/>
  <c r="AL20" i="6"/>
  <c r="AJ20" i="6"/>
  <c r="AM20" i="6"/>
  <c r="AN20" i="6"/>
  <c r="AM26" i="6"/>
  <c r="AJ26" i="6"/>
  <c r="AN26" i="6"/>
  <c r="AL26" i="6"/>
  <c r="AL12" i="6"/>
  <c r="AN12" i="6"/>
  <c r="AJ12" i="6"/>
  <c r="AM12" i="6"/>
  <c r="AL22" i="6"/>
  <c r="AM22" i="6"/>
  <c r="AJ22" i="6"/>
  <c r="AN22" i="6"/>
  <c r="AL24" i="6"/>
  <c r="AN24" i="6"/>
  <c r="AJ24" i="6"/>
  <c r="AM24" i="6"/>
  <c r="AN35" i="6"/>
  <c r="AJ35" i="6"/>
  <c r="AL35" i="6"/>
  <c r="AM35" i="6"/>
  <c r="AN8" i="6"/>
  <c r="AL8" i="6"/>
  <c r="AM8" i="6"/>
  <c r="AJ8" i="6"/>
  <c r="AN16" i="6"/>
  <c r="AL16" i="6"/>
  <c r="AM16" i="6"/>
  <c r="AJ16" i="6"/>
  <c r="AA37" i="6"/>
  <c r="BF35" i="6"/>
  <c r="BG35" i="6" s="1"/>
  <c r="BI35" i="6"/>
  <c r="BJ35" i="6" s="1"/>
  <c r="AB35" i="6"/>
  <c r="BF17" i="6"/>
  <c r="BG17" i="6" s="1"/>
  <c r="AE17" i="6"/>
  <c r="BF23" i="6"/>
  <c r="BG23" i="6" s="1"/>
  <c r="AE23" i="6"/>
  <c r="BF21" i="6"/>
  <c r="BG21" i="6" s="1"/>
  <c r="AE21" i="6"/>
  <c r="BI6" i="6"/>
  <c r="BJ6" i="6" s="1"/>
  <c r="AE6" i="6"/>
  <c r="BI8" i="6"/>
  <c r="BJ8" i="6" s="1"/>
  <c r="AE8" i="6"/>
  <c r="BI11" i="6"/>
  <c r="BJ11" i="6" s="1"/>
  <c r="BI17" i="6"/>
  <c r="BJ17" i="6" s="1"/>
  <c r="BF4" i="6"/>
  <c r="BG4" i="6" s="1"/>
  <c r="AE4" i="6"/>
  <c r="BF19" i="6"/>
  <c r="BG19" i="6" s="1"/>
  <c r="AE19" i="6"/>
  <c r="BF18" i="6"/>
  <c r="BG18" i="6" s="1"/>
  <c r="AE18" i="6"/>
  <c r="BF10" i="6"/>
  <c r="BG10" i="6" s="1"/>
  <c r="AE10" i="6"/>
  <c r="BF13" i="6"/>
  <c r="BG13" i="6" s="1"/>
  <c r="AE13" i="6"/>
  <c r="BF12" i="6"/>
  <c r="BG12" i="6" s="1"/>
  <c r="AE12" i="6"/>
  <c r="BF14" i="6"/>
  <c r="BG14" i="6" s="1"/>
  <c r="AE14" i="6"/>
  <c r="BI5" i="6"/>
  <c r="BJ5" i="6" s="1"/>
  <c r="BF8" i="6"/>
  <c r="BG8" i="6" s="1"/>
  <c r="BI29" i="6"/>
  <c r="BJ29" i="6" s="1"/>
  <c r="BI26" i="6"/>
  <c r="BJ26" i="6" s="1"/>
  <c r="BI16" i="6"/>
  <c r="BJ16" i="6" s="1"/>
  <c r="AE16" i="6"/>
  <c r="BF27" i="6"/>
  <c r="BG27" i="6" s="1"/>
  <c r="AE27" i="6"/>
  <c r="BF25" i="6"/>
  <c r="BG25" i="6" s="1"/>
  <c r="AE25" i="6"/>
  <c r="BF7" i="6"/>
  <c r="BG7" i="6" s="1"/>
  <c r="AE7" i="6"/>
  <c r="BF15" i="6"/>
  <c r="BG15" i="6" s="1"/>
  <c r="AE15" i="6"/>
  <c r="BF28" i="6"/>
  <c r="BG28" i="6" s="1"/>
  <c r="AE28" i="6"/>
  <c r="BF24" i="6"/>
  <c r="BG24" i="6" s="1"/>
  <c r="AE24" i="6"/>
  <c r="BI20" i="6"/>
  <c r="BJ20" i="6" s="1"/>
  <c r="BI7" i="6"/>
  <c r="BJ7" i="6" s="1"/>
  <c r="BI18" i="6"/>
  <c r="BJ18" i="6" s="1"/>
  <c r="BI10" i="6"/>
  <c r="BJ10" i="6" s="1"/>
  <c r="BF5" i="6"/>
  <c r="BG5" i="6" s="1"/>
  <c r="BI14" i="6"/>
  <c r="BJ14" i="6" s="1"/>
  <c r="BI25" i="6"/>
  <c r="BJ25" i="6" s="1"/>
  <c r="BI28" i="6"/>
  <c r="BJ28" i="6" s="1"/>
  <c r="AA4" i="6"/>
  <c r="BF22" i="6"/>
  <c r="BG22" i="6" s="1"/>
  <c r="BF11" i="6"/>
  <c r="BG11" i="6" s="1"/>
  <c r="BF26" i="6"/>
  <c r="BG26" i="6" s="1"/>
  <c r="BF16" i="6"/>
  <c r="BG16" i="6" s="1"/>
  <c r="BI22" i="6"/>
  <c r="BJ22" i="6" s="1"/>
  <c r="BI4" i="6"/>
  <c r="BJ4" i="6" s="1"/>
  <c r="BI21" i="6"/>
  <c r="BJ21" i="6" s="1"/>
  <c r="BI23" i="6"/>
  <c r="BJ23" i="6" s="1"/>
  <c r="BI19" i="6"/>
  <c r="BJ19" i="6" s="1"/>
  <c r="BF9" i="6"/>
  <c r="BG9" i="6" s="1"/>
  <c r="Z9" i="6"/>
  <c r="BI9" i="6" s="1"/>
  <c r="BJ9" i="6" s="1"/>
  <c r="BI24" i="6"/>
  <c r="BJ24" i="6" s="1"/>
  <c r="AB4" i="6"/>
  <c r="BF20" i="6"/>
  <c r="BG20" i="6" s="1"/>
  <c r="BF6" i="6"/>
  <c r="BG6" i="6" s="1"/>
  <c r="BF29" i="6"/>
  <c r="BG29" i="6" s="1"/>
  <c r="BI13" i="6"/>
  <c r="BJ13" i="6" s="1"/>
  <c r="BI12" i="6"/>
  <c r="BJ12" i="6" s="1"/>
  <c r="BI27" i="6"/>
  <c r="BJ27" i="6" s="1"/>
  <c r="BI15" i="6"/>
  <c r="BJ15" i="6" s="1"/>
  <c r="AA9" i="6"/>
  <c r="AB9" i="6"/>
  <c r="AA10" i="6"/>
  <c r="AB10" i="6"/>
  <c r="AA17" i="6"/>
  <c r="AB17" i="6"/>
  <c r="AA27" i="6"/>
  <c r="AB27" i="6"/>
  <c r="AA23" i="6"/>
  <c r="AB23" i="6"/>
  <c r="AA25" i="6"/>
  <c r="AB25" i="6"/>
  <c r="AA20" i="6"/>
  <c r="AB20" i="6"/>
  <c r="AA26" i="6"/>
  <c r="AB26" i="6"/>
  <c r="AA5" i="6"/>
  <c r="AB5" i="6"/>
  <c r="AA13" i="6"/>
  <c r="AB13" i="6"/>
  <c r="AA14" i="6"/>
  <c r="AB14" i="6"/>
  <c r="AA24" i="6"/>
  <c r="AB24" i="6"/>
  <c r="AA22" i="6"/>
  <c r="AB22" i="6"/>
  <c r="AA19" i="6"/>
  <c r="AB19" i="6"/>
  <c r="AA7" i="6"/>
  <c r="AB7" i="6"/>
  <c r="AA18" i="6"/>
  <c r="AB18" i="6"/>
  <c r="AA8" i="6"/>
  <c r="AB8" i="6"/>
  <c r="AA16" i="6"/>
  <c r="AB16" i="6"/>
  <c r="AA6" i="6"/>
  <c r="AB6" i="6"/>
  <c r="AA15" i="6"/>
  <c r="AB15" i="6"/>
  <c r="AA21" i="6"/>
  <c r="AB21" i="6"/>
  <c r="AA11" i="6"/>
  <c r="AB11" i="6"/>
  <c r="AA12" i="6"/>
  <c r="AB12" i="6"/>
  <c r="AA28" i="6"/>
  <c r="AB28" i="6"/>
  <c r="AA29" i="6"/>
  <c r="AB29" i="6"/>
  <c r="AC16" i="4"/>
  <c r="AD17" i="4"/>
  <c r="AE17" i="4" s="1"/>
  <c r="V22" i="4"/>
  <c r="U13" i="4"/>
  <c r="U20" i="4"/>
  <c r="V13" i="4"/>
  <c r="V5" i="4"/>
  <c r="U28" i="4"/>
  <c r="V6" i="4"/>
  <c r="U6" i="4"/>
  <c r="AD10" i="4"/>
  <c r="AE10" i="4" s="1"/>
  <c r="V4" i="4"/>
  <c r="U4" i="4"/>
  <c r="U12" i="4"/>
  <c r="AD24" i="4" l="1"/>
  <c r="AE24" i="4" s="1"/>
  <c r="AD25" i="4"/>
  <c r="AE25" i="4" s="1"/>
  <c r="AD26" i="4"/>
  <c r="AE26" i="4" s="1"/>
  <c r="AC19" i="4"/>
  <c r="AD19" i="4"/>
  <c r="AE19" i="4" s="1"/>
  <c r="W18" i="4"/>
  <c r="Y18" i="4" s="1"/>
  <c r="Z18" i="4"/>
  <c r="AB18" i="4" s="1"/>
  <c r="AT38" i="6"/>
  <c r="AW38" i="6" s="1"/>
  <c r="AT21" i="6"/>
  <c r="AW21" i="6" s="1"/>
  <c r="AT33" i="6"/>
  <c r="AW33" i="6" s="1"/>
  <c r="AO34" i="6"/>
  <c r="AV34" i="6" s="1"/>
  <c r="Z27" i="4"/>
  <c r="AB27" i="4" s="1"/>
  <c r="AT16" i="6"/>
  <c r="AW16" i="6" s="1"/>
  <c r="X9" i="4"/>
  <c r="Y9" i="4" s="1"/>
  <c r="AA9" i="4"/>
  <c r="AB9" i="4"/>
  <c r="AT17" i="6"/>
  <c r="AW17" i="6" s="1"/>
  <c r="AT10" i="6"/>
  <c r="AW10" i="6" s="1"/>
  <c r="AO28" i="6"/>
  <c r="AV28" i="6" s="1"/>
  <c r="AT29" i="6"/>
  <c r="AW29" i="6" s="1"/>
  <c r="Z23" i="4"/>
  <c r="AB23" i="4" s="1"/>
  <c r="AT30" i="6"/>
  <c r="AW30" i="6" s="1"/>
  <c r="AT25" i="6"/>
  <c r="AW25" i="6" s="1"/>
  <c r="AT9" i="6"/>
  <c r="AW9" i="6" s="1"/>
  <c r="AT31" i="6"/>
  <c r="AW31" i="6" s="1"/>
  <c r="AU33" i="6"/>
  <c r="BB33" i="6" s="1"/>
  <c r="BC33" i="6" s="1"/>
  <c r="AT12" i="6"/>
  <c r="AW12" i="6" s="1"/>
  <c r="AT22" i="6"/>
  <c r="AW22" i="6" s="1"/>
  <c r="AO13" i="6"/>
  <c r="AV13" i="6" s="1"/>
  <c r="AU13" i="6" s="1"/>
  <c r="AU38" i="6"/>
  <c r="AX38" i="6" s="1"/>
  <c r="AY38" i="6" s="1"/>
  <c r="BD38" i="6" s="1"/>
  <c r="AD7" i="4"/>
  <c r="AE7" i="4" s="1"/>
  <c r="AC27" i="4"/>
  <c r="AD27" i="4"/>
  <c r="AE27" i="4" s="1"/>
  <c r="BB38" i="6"/>
  <c r="BC38" i="6" s="1"/>
  <c r="AZ38" i="6"/>
  <c r="BA38" i="6" s="1"/>
  <c r="AX33" i="6"/>
  <c r="AY33" i="6" s="1"/>
  <c r="BD33" i="6" s="1"/>
  <c r="AT19" i="6"/>
  <c r="AW19" i="6" s="1"/>
  <c r="AT6" i="6"/>
  <c r="AW6" i="6" s="1"/>
  <c r="AT11" i="6"/>
  <c r="AW11" i="6" s="1"/>
  <c r="AU34" i="6"/>
  <c r="AO35" i="6"/>
  <c r="AV35" i="6" s="1"/>
  <c r="AU35" i="6" s="1"/>
  <c r="AU32" i="6"/>
  <c r="AU36" i="6"/>
  <c r="AT15" i="6"/>
  <c r="AW15" i="6" s="1"/>
  <c r="AT5" i="6"/>
  <c r="AW5" i="6" s="1"/>
  <c r="AT28" i="6"/>
  <c r="AW28" i="6" s="1"/>
  <c r="AU28" i="6" s="1"/>
  <c r="AC8" i="4"/>
  <c r="AD8" i="4"/>
  <c r="AE8" i="4" s="1"/>
  <c r="AC23" i="4"/>
  <c r="AD23" i="4"/>
  <c r="AE23" i="4" s="1"/>
  <c r="W12" i="4"/>
  <c r="Y12" i="4" s="1"/>
  <c r="Z12" i="4"/>
  <c r="AB12" i="4" s="1"/>
  <c r="W28" i="4"/>
  <c r="Y28" i="4" s="1"/>
  <c r="Z28" i="4"/>
  <c r="AB28" i="4" s="1"/>
  <c r="X22" i="4"/>
  <c r="Y22" i="4" s="1"/>
  <c r="AC22" i="4" s="1"/>
  <c r="AA22" i="4"/>
  <c r="AB22" i="4" s="1"/>
  <c r="AA5" i="4"/>
  <c r="AB5" i="4" s="1"/>
  <c r="X5" i="4"/>
  <c r="Y5" i="4" s="1"/>
  <c r="AC5" i="4" s="1"/>
  <c r="W29" i="4"/>
  <c r="Y29" i="4" s="1"/>
  <c r="AC29" i="4" s="1"/>
  <c r="Z29" i="4"/>
  <c r="AB29" i="4" s="1"/>
  <c r="X15" i="4"/>
  <c r="Y15" i="4" s="1"/>
  <c r="AA15" i="4"/>
  <c r="AB15" i="4" s="1"/>
  <c r="W14" i="4"/>
  <c r="Y14" i="4" s="1"/>
  <c r="Z14" i="4"/>
  <c r="AB14" i="4" s="1"/>
  <c r="X6" i="4"/>
  <c r="AA6" i="4"/>
  <c r="W4" i="4"/>
  <c r="Z4" i="4"/>
  <c r="W6" i="4"/>
  <c r="Z6" i="4"/>
  <c r="AA4" i="4"/>
  <c r="X4" i="4"/>
  <c r="X13" i="4"/>
  <c r="AA13" i="4"/>
  <c r="X21" i="4"/>
  <c r="Y21" i="4" s="1"/>
  <c r="AC21" i="4" s="1"/>
  <c r="AA21" i="4"/>
  <c r="AB21" i="4" s="1"/>
  <c r="W20" i="4"/>
  <c r="Y20" i="4" s="1"/>
  <c r="Z20" i="4"/>
  <c r="AB20" i="4" s="1"/>
  <c r="W13" i="4"/>
  <c r="Z13" i="4"/>
  <c r="AO30" i="6"/>
  <c r="AV30" i="6" s="1"/>
  <c r="AU30" i="6" s="1"/>
  <c r="AO19" i="6"/>
  <c r="AV19" i="6" s="1"/>
  <c r="AO27" i="6"/>
  <c r="AV27" i="6" s="1"/>
  <c r="AU27" i="6" s="1"/>
  <c r="AO23" i="6"/>
  <c r="AV23" i="6" s="1"/>
  <c r="AU23" i="6" s="1"/>
  <c r="AO25" i="6"/>
  <c r="AV25" i="6" s="1"/>
  <c r="AO18" i="6"/>
  <c r="AV18" i="6" s="1"/>
  <c r="AU18" i="6" s="1"/>
  <c r="AO16" i="6"/>
  <c r="AV16" i="6" s="1"/>
  <c r="AU16" i="6" s="1"/>
  <c r="AO8" i="6"/>
  <c r="AV8" i="6" s="1"/>
  <c r="AU8" i="6" s="1"/>
  <c r="AO31" i="6"/>
  <c r="AV31" i="6" s="1"/>
  <c r="AO21" i="6"/>
  <c r="AV21" i="6" s="1"/>
  <c r="AU21" i="6" s="1"/>
  <c r="AO10" i="6"/>
  <c r="AV10" i="6" s="1"/>
  <c r="AU10" i="6" s="1"/>
  <c r="AO14" i="6"/>
  <c r="AV14" i="6" s="1"/>
  <c r="AU14" i="6" s="1"/>
  <c r="AO24" i="6"/>
  <c r="AV24" i="6" s="1"/>
  <c r="AU24" i="6" s="1"/>
  <c r="AO22" i="6"/>
  <c r="AV22" i="6" s="1"/>
  <c r="AO12" i="6"/>
  <c r="AV12" i="6" s="1"/>
  <c r="AU12" i="6" s="1"/>
  <c r="AO20" i="6"/>
  <c r="AV20" i="6" s="1"/>
  <c r="AU20" i="6" s="1"/>
  <c r="AO4" i="6"/>
  <c r="AV4" i="6" s="1"/>
  <c r="AU4" i="6" s="1"/>
  <c r="AO15" i="6"/>
  <c r="AV15" i="6" s="1"/>
  <c r="AO5" i="6"/>
  <c r="AV5" i="6" s="1"/>
  <c r="AO11" i="6"/>
  <c r="AV11" i="6" s="1"/>
  <c r="AO7" i="6"/>
  <c r="AV7" i="6" s="1"/>
  <c r="AU7" i="6" s="1"/>
  <c r="AO26" i="6"/>
  <c r="AV26" i="6" s="1"/>
  <c r="AU26" i="6" s="1"/>
  <c r="AO9" i="6"/>
  <c r="AV9" i="6" s="1"/>
  <c r="AU9" i="6" s="1"/>
  <c r="AO17" i="6"/>
  <c r="AV17" i="6" s="1"/>
  <c r="AO37" i="6"/>
  <c r="AV37" i="6" s="1"/>
  <c r="AU37" i="6" s="1"/>
  <c r="AO6" i="6"/>
  <c r="AV6" i="6" s="1"/>
  <c r="AO29" i="6"/>
  <c r="AV29" i="6" s="1"/>
  <c r="AU29" i="6" s="1"/>
  <c r="AC11" i="4"/>
  <c r="AD11" i="4"/>
  <c r="AE11" i="4" s="1"/>
  <c r="AD18" i="4" l="1"/>
  <c r="AE18" i="4" s="1"/>
  <c r="AC18" i="4"/>
  <c r="BB13" i="6"/>
  <c r="BC13" i="6" s="1"/>
  <c r="AZ13" i="6"/>
  <c r="BA13" i="6" s="1"/>
  <c r="AU31" i="6"/>
  <c r="AU17" i="6"/>
  <c r="AC9" i="4"/>
  <c r="AD9" i="4"/>
  <c r="AE9" i="4" s="1"/>
  <c r="AX13" i="6"/>
  <c r="AY13" i="6" s="1"/>
  <c r="BD13" i="6" s="1"/>
  <c r="AU22" i="6"/>
  <c r="BB22" i="6" s="1"/>
  <c r="BC22" i="6" s="1"/>
  <c r="AZ33" i="6"/>
  <c r="BA33" i="6" s="1"/>
  <c r="AU25" i="6"/>
  <c r="AU5" i="6"/>
  <c r="AD21" i="4"/>
  <c r="AE21" i="4" s="1"/>
  <c r="AD5" i="4"/>
  <c r="AE5" i="4" s="1"/>
  <c r="AD22" i="4"/>
  <c r="AE22" i="4" s="1"/>
  <c r="BB29" i="6"/>
  <c r="BC29" i="6" s="1"/>
  <c r="AZ29" i="6"/>
  <c r="BA29" i="6" s="1"/>
  <c r="AX29" i="6"/>
  <c r="AY29" i="6" s="1"/>
  <c r="BD29" i="6" s="1"/>
  <c r="BB10" i="6"/>
  <c r="BC10" i="6" s="1"/>
  <c r="AX10" i="6"/>
  <c r="AY10" i="6" s="1"/>
  <c r="BD10" i="6" s="1"/>
  <c r="AZ10" i="6"/>
  <c r="BA10" i="6" s="1"/>
  <c r="BB21" i="6"/>
  <c r="BC21" i="6" s="1"/>
  <c r="AX21" i="6"/>
  <c r="AY21" i="6" s="1"/>
  <c r="BD21" i="6" s="1"/>
  <c r="AZ21" i="6"/>
  <c r="BA21" i="6" s="1"/>
  <c r="BB31" i="6"/>
  <c r="BC31" i="6" s="1"/>
  <c r="AZ31" i="6"/>
  <c r="BA31" i="6" s="1"/>
  <c r="AX31" i="6"/>
  <c r="AY31" i="6" s="1"/>
  <c r="BD31" i="6" s="1"/>
  <c r="BB8" i="6"/>
  <c r="BC8" i="6" s="1"/>
  <c r="AZ8" i="6"/>
  <c r="BA8" i="6" s="1"/>
  <c r="AX8" i="6"/>
  <c r="AY8" i="6" s="1"/>
  <c r="BD8" i="6" s="1"/>
  <c r="BB12" i="6"/>
  <c r="BC12" i="6" s="1"/>
  <c r="AX12" i="6"/>
  <c r="AY12" i="6" s="1"/>
  <c r="BD12" i="6" s="1"/>
  <c r="AZ12" i="6"/>
  <c r="BA12" i="6" s="1"/>
  <c r="BB16" i="6"/>
  <c r="BC16" i="6" s="1"/>
  <c r="AX16" i="6"/>
  <c r="AY16" i="6" s="1"/>
  <c r="BD16" i="6" s="1"/>
  <c r="AZ16" i="6"/>
  <c r="BA16" i="6" s="1"/>
  <c r="BB37" i="6"/>
  <c r="BC37" i="6" s="1"/>
  <c r="AZ37" i="6"/>
  <c r="BA37" i="6" s="1"/>
  <c r="AX37" i="6"/>
  <c r="AY37" i="6" s="1"/>
  <c r="BD37" i="6" s="1"/>
  <c r="BB35" i="6"/>
  <c r="BC35" i="6" s="1"/>
  <c r="AX35" i="6"/>
  <c r="AY35" i="6" s="1"/>
  <c r="BD35" i="6" s="1"/>
  <c r="AZ35" i="6"/>
  <c r="BA35" i="6" s="1"/>
  <c r="BB18" i="6"/>
  <c r="BC18" i="6" s="1"/>
  <c r="AX18" i="6"/>
  <c r="AY18" i="6" s="1"/>
  <c r="BD18" i="6" s="1"/>
  <c r="AZ18" i="6"/>
  <c r="BA18" i="6" s="1"/>
  <c r="BB30" i="6"/>
  <c r="BC30" i="6" s="1"/>
  <c r="AX30" i="6"/>
  <c r="AY30" i="6" s="1"/>
  <c r="BD30" i="6" s="1"/>
  <c r="AZ30" i="6"/>
  <c r="BA30" i="6" s="1"/>
  <c r="BB20" i="6"/>
  <c r="BC20" i="6" s="1"/>
  <c r="AX20" i="6"/>
  <c r="AY20" i="6" s="1"/>
  <c r="BD20" i="6" s="1"/>
  <c r="AZ20" i="6"/>
  <c r="BA20" i="6" s="1"/>
  <c r="BB26" i="6"/>
  <c r="BC26" i="6" s="1"/>
  <c r="AX26" i="6"/>
  <c r="AY26" i="6" s="1"/>
  <c r="BD26" i="6" s="1"/>
  <c r="AZ26" i="6"/>
  <c r="BA26" i="6" s="1"/>
  <c r="AZ22" i="6"/>
  <c r="BA22" i="6" s="1"/>
  <c r="BB7" i="6"/>
  <c r="BC7" i="6" s="1"/>
  <c r="AX7" i="6"/>
  <c r="AY7" i="6" s="1"/>
  <c r="BD7" i="6" s="1"/>
  <c r="AZ7" i="6"/>
  <c r="BA7" i="6" s="1"/>
  <c r="BB24" i="6"/>
  <c r="BC24" i="6" s="1"/>
  <c r="AX24" i="6"/>
  <c r="AY24" i="6" s="1"/>
  <c r="BD24" i="6" s="1"/>
  <c r="AZ24" i="6"/>
  <c r="BA24" i="6" s="1"/>
  <c r="BB25" i="6"/>
  <c r="BC25" i="6" s="1"/>
  <c r="AZ25" i="6"/>
  <c r="BA25" i="6" s="1"/>
  <c r="AX25" i="6"/>
  <c r="AY25" i="6" s="1"/>
  <c r="BD25" i="6" s="1"/>
  <c r="BB17" i="6"/>
  <c r="BC17" i="6" s="1"/>
  <c r="AZ17" i="6"/>
  <c r="BA17" i="6" s="1"/>
  <c r="AX17" i="6"/>
  <c r="AY17" i="6" s="1"/>
  <c r="BD17" i="6" s="1"/>
  <c r="BB23" i="6"/>
  <c r="BC23" i="6" s="1"/>
  <c r="AX23" i="6"/>
  <c r="AY23" i="6" s="1"/>
  <c r="BD23" i="6" s="1"/>
  <c r="AZ23" i="6"/>
  <c r="BA23" i="6" s="1"/>
  <c r="BB9" i="6"/>
  <c r="BC9" i="6" s="1"/>
  <c r="AX9" i="6"/>
  <c r="AY9" i="6" s="1"/>
  <c r="BD9" i="6" s="1"/>
  <c r="AZ9" i="6"/>
  <c r="BA9" i="6" s="1"/>
  <c r="BB36" i="6"/>
  <c r="BC36" i="6" s="1"/>
  <c r="AZ36" i="6"/>
  <c r="BA36" i="6" s="1"/>
  <c r="AX36" i="6"/>
  <c r="AY36" i="6" s="1"/>
  <c r="BD36" i="6" s="1"/>
  <c r="AU6" i="6"/>
  <c r="AU19" i="6"/>
  <c r="BB32" i="6"/>
  <c r="BC32" i="6" s="1"/>
  <c r="AX32" i="6"/>
  <c r="AY32" i="6" s="1"/>
  <c r="BD32" i="6" s="1"/>
  <c r="AZ32" i="6"/>
  <c r="BA32" i="6" s="1"/>
  <c r="AZ4" i="6"/>
  <c r="BA4" i="6" s="1"/>
  <c r="BB4" i="6"/>
  <c r="BC4" i="6" s="1"/>
  <c r="AX4" i="6"/>
  <c r="AY4" i="6" s="1"/>
  <c r="BD4" i="6" s="1"/>
  <c r="BB28" i="6"/>
  <c r="BC28" i="6" s="1"/>
  <c r="AX28" i="6"/>
  <c r="AY28" i="6" s="1"/>
  <c r="BD28" i="6" s="1"/>
  <c r="AZ28" i="6"/>
  <c r="BA28" i="6" s="1"/>
  <c r="BB14" i="6"/>
  <c r="BC14" i="6" s="1"/>
  <c r="AX14" i="6"/>
  <c r="AY14" i="6" s="1"/>
  <c r="BD14" i="6" s="1"/>
  <c r="AZ14" i="6"/>
  <c r="BA14" i="6" s="1"/>
  <c r="BB5" i="6"/>
  <c r="BC5" i="6" s="1"/>
  <c r="AX5" i="6"/>
  <c r="AY5" i="6" s="1"/>
  <c r="BD5" i="6" s="1"/>
  <c r="AZ5" i="6"/>
  <c r="BA5" i="6" s="1"/>
  <c r="BB34" i="6"/>
  <c r="BC34" i="6" s="1"/>
  <c r="AX34" i="6"/>
  <c r="AY34" i="6" s="1"/>
  <c r="BD34" i="6" s="1"/>
  <c r="AZ34" i="6"/>
  <c r="BA34" i="6" s="1"/>
  <c r="BB27" i="6"/>
  <c r="BC27" i="6" s="1"/>
  <c r="AX27" i="6"/>
  <c r="AY27" i="6" s="1"/>
  <c r="BD27" i="6" s="1"/>
  <c r="AZ27" i="6"/>
  <c r="BA27" i="6" s="1"/>
  <c r="AU11" i="6"/>
  <c r="AU15" i="6"/>
  <c r="AC15" i="4"/>
  <c r="AD15" i="4"/>
  <c r="AE15" i="4" s="1"/>
  <c r="AB13" i="4"/>
  <c r="AB6" i="4"/>
  <c r="AC14" i="4"/>
  <c r="AD14" i="4"/>
  <c r="AE14" i="4" s="1"/>
  <c r="Y6" i="4"/>
  <c r="AC6" i="4" s="1"/>
  <c r="Y13" i="4"/>
  <c r="AD13" i="4" s="1"/>
  <c r="AE13" i="4" s="1"/>
  <c r="AD29" i="4"/>
  <c r="AE29" i="4" s="1"/>
  <c r="AB4" i="4"/>
  <c r="Y4" i="4"/>
  <c r="AD4" i="4" s="1"/>
  <c r="AE4" i="4" s="1"/>
  <c r="AC12" i="4"/>
  <c r="AD12" i="4"/>
  <c r="AE12" i="4" s="1"/>
  <c r="AC20" i="4"/>
  <c r="AD20" i="4"/>
  <c r="AE20" i="4" s="1"/>
  <c r="AC28" i="4"/>
  <c r="AD28" i="4"/>
  <c r="AE28" i="4" s="1"/>
  <c r="AC4" i="4" l="1"/>
  <c r="AX22" i="6"/>
  <c r="AY22" i="6" s="1"/>
  <c r="BD22" i="6" s="1"/>
  <c r="BB6" i="6"/>
  <c r="BC6" i="6" s="1"/>
  <c r="AX6" i="6"/>
  <c r="AY6" i="6" s="1"/>
  <c r="BD6" i="6" s="1"/>
  <c r="AZ6" i="6"/>
  <c r="BA6" i="6" s="1"/>
  <c r="BB15" i="6"/>
  <c r="BC15" i="6" s="1"/>
  <c r="AX15" i="6"/>
  <c r="AY15" i="6" s="1"/>
  <c r="BD15" i="6" s="1"/>
  <c r="AZ15" i="6"/>
  <c r="BA15" i="6" s="1"/>
  <c r="BB11" i="6"/>
  <c r="BC11" i="6" s="1"/>
  <c r="AX11" i="6"/>
  <c r="AY11" i="6" s="1"/>
  <c r="BD11" i="6" s="1"/>
  <c r="AZ11" i="6"/>
  <c r="BA11" i="6" s="1"/>
  <c r="BB19" i="6"/>
  <c r="BC19" i="6" s="1"/>
  <c r="AX19" i="6"/>
  <c r="AY19" i="6" s="1"/>
  <c r="BD19" i="6" s="1"/>
  <c r="AZ19" i="6"/>
  <c r="BA19" i="6" s="1"/>
  <c r="AD6" i="4"/>
  <c r="AE6" i="4" s="1"/>
  <c r="AC13" i="4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4" i="3"/>
  <c r="AG29" i="3"/>
  <c r="AI29" i="3" s="1"/>
  <c r="Q29" i="3"/>
  <c r="O29" i="3"/>
  <c r="AG28" i="3"/>
  <c r="AH28" i="3" s="1"/>
  <c r="Q28" i="3"/>
  <c r="O28" i="3"/>
  <c r="AG27" i="3"/>
  <c r="AH27" i="3" s="1"/>
  <c r="Q27" i="3"/>
  <c r="O27" i="3"/>
  <c r="AG26" i="3"/>
  <c r="AI26" i="3" s="1"/>
  <c r="Q26" i="3"/>
  <c r="O26" i="3"/>
  <c r="P26" i="3" s="1"/>
  <c r="AG25" i="3"/>
  <c r="AI25" i="3" s="1"/>
  <c r="Q25" i="3"/>
  <c r="O25" i="3"/>
  <c r="AG24" i="3"/>
  <c r="AI24" i="3" s="1"/>
  <c r="Q24" i="3"/>
  <c r="O24" i="3"/>
  <c r="AG23" i="3"/>
  <c r="AI23" i="3" s="1"/>
  <c r="Q23" i="3"/>
  <c r="O23" i="3"/>
  <c r="AG22" i="3"/>
  <c r="AI22" i="3" s="1"/>
  <c r="Q22" i="3"/>
  <c r="O22" i="3"/>
  <c r="AG21" i="3"/>
  <c r="AI21" i="3" s="1"/>
  <c r="Q21" i="3"/>
  <c r="O21" i="3"/>
  <c r="AG20" i="3"/>
  <c r="AI20" i="3" s="1"/>
  <c r="Q20" i="3"/>
  <c r="O20" i="3"/>
  <c r="AG19" i="3"/>
  <c r="AI19" i="3" s="1"/>
  <c r="Q19" i="3"/>
  <c r="O19" i="3"/>
  <c r="AG18" i="3"/>
  <c r="AI18" i="3" s="1"/>
  <c r="Q18" i="3"/>
  <c r="O18" i="3"/>
  <c r="AG17" i="3"/>
  <c r="AI17" i="3" s="1"/>
  <c r="Q17" i="3"/>
  <c r="O17" i="3"/>
  <c r="AG16" i="3"/>
  <c r="AI16" i="3" s="1"/>
  <c r="Q16" i="3"/>
  <c r="O16" i="3"/>
  <c r="P16" i="3" s="1"/>
  <c r="AG15" i="3"/>
  <c r="AI15" i="3" s="1"/>
  <c r="Q15" i="3"/>
  <c r="O15" i="3"/>
  <c r="AG14" i="3"/>
  <c r="AH14" i="3" s="1"/>
  <c r="Q14" i="3"/>
  <c r="O14" i="3"/>
  <c r="P14" i="3" s="1"/>
  <c r="AG13" i="3"/>
  <c r="AH13" i="3" s="1"/>
  <c r="Q13" i="3"/>
  <c r="O13" i="3"/>
  <c r="AG12" i="3"/>
  <c r="AH12" i="3" s="1"/>
  <c r="Q12" i="3"/>
  <c r="O12" i="3"/>
  <c r="AG11" i="3"/>
  <c r="AI11" i="3" s="1"/>
  <c r="Q11" i="3"/>
  <c r="O11" i="3"/>
  <c r="AG10" i="3"/>
  <c r="AI10" i="3" s="1"/>
  <c r="Q10" i="3"/>
  <c r="O10" i="3"/>
  <c r="P10" i="3" s="1"/>
  <c r="AG9" i="3"/>
  <c r="AH9" i="3" s="1"/>
  <c r="Q9" i="3"/>
  <c r="O9" i="3"/>
  <c r="AG8" i="3"/>
  <c r="AI8" i="3" s="1"/>
  <c r="Q8" i="3"/>
  <c r="O8" i="3"/>
  <c r="AG7" i="3"/>
  <c r="AI7" i="3" s="1"/>
  <c r="Q7" i="3"/>
  <c r="O7" i="3"/>
  <c r="F7" i="3"/>
  <c r="AG6" i="3"/>
  <c r="AI6" i="3" s="1"/>
  <c r="Q6" i="3"/>
  <c r="O6" i="3"/>
  <c r="M6" i="3"/>
  <c r="AG5" i="3"/>
  <c r="AI5" i="3" s="1"/>
  <c r="Q5" i="3"/>
  <c r="O5" i="3"/>
  <c r="M5" i="3"/>
  <c r="AG4" i="3"/>
  <c r="AH4" i="3" s="1"/>
  <c r="Q4" i="3"/>
  <c r="O4" i="3"/>
  <c r="AI14" i="3" l="1"/>
  <c r="AC14" i="3"/>
  <c r="V20" i="3"/>
  <c r="X20" i="3" s="1"/>
  <c r="V22" i="3"/>
  <c r="X22" i="3" s="1"/>
  <c r="P28" i="3"/>
  <c r="AC28" i="3" s="1"/>
  <c r="AH11" i="3"/>
  <c r="AH26" i="3"/>
  <c r="AI13" i="3"/>
  <c r="AI12" i="3"/>
  <c r="V12" i="3"/>
  <c r="X12" i="3" s="1"/>
  <c r="V15" i="3"/>
  <c r="W15" i="3" s="1"/>
  <c r="V17" i="3"/>
  <c r="X17" i="3" s="1"/>
  <c r="V19" i="3"/>
  <c r="W19" i="3" s="1"/>
  <c r="V21" i="3"/>
  <c r="W21" i="3" s="1"/>
  <c r="V28" i="3"/>
  <c r="X28" i="3" s="1"/>
  <c r="AA26" i="3"/>
  <c r="AA10" i="3"/>
  <c r="V27" i="3"/>
  <c r="W27" i="3" s="1"/>
  <c r="AA16" i="3"/>
  <c r="AC26" i="3"/>
  <c r="AC10" i="3"/>
  <c r="V24" i="3"/>
  <c r="X24" i="3" s="1"/>
  <c r="V29" i="3"/>
  <c r="W29" i="3" s="1"/>
  <c r="AA14" i="3"/>
  <c r="AI9" i="3"/>
  <c r="AI27" i="3"/>
  <c r="AC16" i="3"/>
  <c r="V10" i="3"/>
  <c r="X10" i="3" s="1"/>
  <c r="V14" i="3"/>
  <c r="X14" i="3" s="1"/>
  <c r="AH25" i="3"/>
  <c r="V4" i="3"/>
  <c r="X4" i="3" s="1"/>
  <c r="V7" i="3"/>
  <c r="W7" i="3" s="1"/>
  <c r="V9" i="3"/>
  <c r="W9" i="3" s="1"/>
  <c r="V13" i="3"/>
  <c r="W13" i="3" s="1"/>
  <c r="AI28" i="3"/>
  <c r="AH10" i="3"/>
  <c r="V16" i="3"/>
  <c r="X16" i="3" s="1"/>
  <c r="V18" i="3"/>
  <c r="X18" i="3" s="1"/>
  <c r="AH22" i="3"/>
  <c r="V26" i="3"/>
  <c r="X26" i="3" s="1"/>
  <c r="V6" i="3"/>
  <c r="X6" i="3" s="1"/>
  <c r="V11" i="3"/>
  <c r="W11" i="3" s="1"/>
  <c r="AH21" i="3"/>
  <c r="V23" i="3"/>
  <c r="W23" i="3" s="1"/>
  <c r="V25" i="3"/>
  <c r="W25" i="3" s="1"/>
  <c r="AH7" i="3"/>
  <c r="AH23" i="3"/>
  <c r="AH24" i="3"/>
  <c r="U28" i="3"/>
  <c r="AH19" i="3"/>
  <c r="AH20" i="3"/>
  <c r="P6" i="3"/>
  <c r="U6" i="3" s="1"/>
  <c r="P8" i="3"/>
  <c r="U8" i="3" s="1"/>
  <c r="AH17" i="3"/>
  <c r="AH18" i="3"/>
  <c r="P24" i="3"/>
  <c r="U24" i="3" s="1"/>
  <c r="AH8" i="3"/>
  <c r="AI4" i="3"/>
  <c r="P5" i="3"/>
  <c r="U5" i="3" s="1"/>
  <c r="AH15" i="3"/>
  <c r="AH16" i="3"/>
  <c r="P22" i="3"/>
  <c r="AA22" i="3" s="1"/>
  <c r="AH6" i="3"/>
  <c r="U10" i="3"/>
  <c r="U26" i="3"/>
  <c r="V5" i="3"/>
  <c r="X5" i="3" s="1"/>
  <c r="P20" i="3"/>
  <c r="AH29" i="3"/>
  <c r="U14" i="3"/>
  <c r="P12" i="3"/>
  <c r="U12" i="3" s="1"/>
  <c r="V8" i="3"/>
  <c r="X8" i="3" s="1"/>
  <c r="U16" i="3"/>
  <c r="P18" i="3"/>
  <c r="U18" i="3" s="1"/>
  <c r="M7" i="3"/>
  <c r="W6" i="3"/>
  <c r="W18" i="3"/>
  <c r="W20" i="3"/>
  <c r="W22" i="3"/>
  <c r="W24" i="3"/>
  <c r="W28" i="3"/>
  <c r="S10" i="3"/>
  <c r="W17" i="3"/>
  <c r="P7" i="3"/>
  <c r="T7" i="3" s="1"/>
  <c r="P9" i="3"/>
  <c r="S9" i="3" s="1"/>
  <c r="AJ9" i="3" s="1"/>
  <c r="T10" i="3"/>
  <c r="P11" i="3"/>
  <c r="P13" i="3"/>
  <c r="AC13" i="3" s="1"/>
  <c r="T14" i="3"/>
  <c r="P15" i="3"/>
  <c r="T15" i="3" s="1"/>
  <c r="X15" i="3"/>
  <c r="T16" i="3"/>
  <c r="P17" i="3"/>
  <c r="S17" i="3" s="1"/>
  <c r="P19" i="3"/>
  <c r="U19" i="3" s="1"/>
  <c r="X19" i="3"/>
  <c r="P21" i="3"/>
  <c r="U21" i="3" s="1"/>
  <c r="X21" i="3"/>
  <c r="P23" i="3"/>
  <c r="T23" i="3" s="1"/>
  <c r="T24" i="3"/>
  <c r="P25" i="3"/>
  <c r="U25" i="3" s="1"/>
  <c r="T26" i="3"/>
  <c r="P27" i="3"/>
  <c r="U27" i="3" s="1"/>
  <c r="X27" i="3"/>
  <c r="T28" i="3"/>
  <c r="P29" i="3"/>
  <c r="U29" i="3" s="1"/>
  <c r="AH5" i="3"/>
  <c r="S12" i="3"/>
  <c r="S14" i="3"/>
  <c r="S16" i="3"/>
  <c r="S26" i="3"/>
  <c r="P4" i="3"/>
  <c r="AA4" i="3" s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4" i="1"/>
  <c r="AA9" i="1"/>
  <c r="X11" i="3" l="1"/>
  <c r="X13" i="3"/>
  <c r="T12" i="3"/>
  <c r="S6" i="3"/>
  <c r="AC12" i="3"/>
  <c r="AD22" i="3"/>
  <c r="AE22" i="3" s="1"/>
  <c r="AF10" i="3"/>
  <c r="AL10" i="3" s="1"/>
  <c r="AD10" i="3"/>
  <c r="AA19" i="3"/>
  <c r="AD4" i="3"/>
  <c r="AE4" i="3" s="1"/>
  <c r="W12" i="3"/>
  <c r="AA15" i="3"/>
  <c r="AD26" i="3"/>
  <c r="AE26" i="3" s="1"/>
  <c r="AF26" i="3"/>
  <c r="AL26" i="3" s="1"/>
  <c r="W4" i="3"/>
  <c r="W8" i="3"/>
  <c r="AA23" i="3"/>
  <c r="AF16" i="3"/>
  <c r="AL16" i="3" s="1"/>
  <c r="AD16" i="3"/>
  <c r="AE16" i="3" s="1"/>
  <c r="S28" i="3"/>
  <c r="AJ28" i="3" s="1"/>
  <c r="X29" i="3"/>
  <c r="AF14" i="3"/>
  <c r="AL14" i="3" s="1"/>
  <c r="AD14" i="3"/>
  <c r="AE14" i="3" s="1"/>
  <c r="AA28" i="3"/>
  <c r="AJ6" i="3"/>
  <c r="S20" i="3"/>
  <c r="AJ20" i="3" s="1"/>
  <c r="AC20" i="3"/>
  <c r="AA17" i="3"/>
  <c r="AC21" i="3"/>
  <c r="AA21" i="3"/>
  <c r="X25" i="3"/>
  <c r="S24" i="3"/>
  <c r="AJ24" i="3" s="1"/>
  <c r="AA25" i="3"/>
  <c r="AC29" i="3"/>
  <c r="AA27" i="3"/>
  <c r="AC19" i="3"/>
  <c r="AA13" i="3"/>
  <c r="AC6" i="3"/>
  <c r="AC17" i="3"/>
  <c r="AA8" i="3"/>
  <c r="AA29" i="3"/>
  <c r="AC15" i="3"/>
  <c r="AC24" i="3"/>
  <c r="S8" i="3"/>
  <c r="AJ8" i="3" s="1"/>
  <c r="W16" i="3"/>
  <c r="AJ16" i="3" s="1"/>
  <c r="AA18" i="3"/>
  <c r="AC27" i="3"/>
  <c r="AC8" i="3"/>
  <c r="AC18" i="3"/>
  <c r="U11" i="3"/>
  <c r="AA11" i="3"/>
  <c r="S5" i="3"/>
  <c r="S4" i="3"/>
  <c r="AC4" i="3"/>
  <c r="AF4" i="3" s="1"/>
  <c r="AL4" i="3" s="1"/>
  <c r="X9" i="3"/>
  <c r="W14" i="3"/>
  <c r="AJ14" i="3" s="1"/>
  <c r="T22" i="3"/>
  <c r="AK22" i="3" s="1"/>
  <c r="AC22" i="3"/>
  <c r="AF22" i="3" s="1"/>
  <c r="AL22" i="3" s="1"/>
  <c r="AA24" i="3"/>
  <c r="AA12" i="3"/>
  <c r="AA6" i="3"/>
  <c r="AC11" i="3"/>
  <c r="AA7" i="3"/>
  <c r="AC5" i="3"/>
  <c r="AC25" i="3"/>
  <c r="AA20" i="3"/>
  <c r="AC7" i="3"/>
  <c r="T20" i="3"/>
  <c r="T8" i="3"/>
  <c r="AA9" i="3"/>
  <c r="AC23" i="3"/>
  <c r="AC9" i="3"/>
  <c r="AA5" i="3"/>
  <c r="S18" i="3"/>
  <c r="AJ18" i="3" s="1"/>
  <c r="W26" i="3"/>
  <c r="AJ26" i="3" s="1"/>
  <c r="W10" i="3"/>
  <c r="AJ10" i="3" s="1"/>
  <c r="W5" i="3"/>
  <c r="X7" i="3"/>
  <c r="X23" i="3"/>
  <c r="T18" i="3"/>
  <c r="U7" i="3"/>
  <c r="T5" i="3"/>
  <c r="S15" i="3"/>
  <c r="AJ15" i="3" s="1"/>
  <c r="U22" i="3"/>
  <c r="U9" i="3"/>
  <c r="U20" i="3"/>
  <c r="S23" i="3"/>
  <c r="AJ23" i="3" s="1"/>
  <c r="S22" i="3"/>
  <c r="AJ22" i="3" s="1"/>
  <c r="T29" i="3"/>
  <c r="AJ17" i="3"/>
  <c r="T21" i="3"/>
  <c r="S7" i="3"/>
  <c r="AJ7" i="3" s="1"/>
  <c r="U23" i="3"/>
  <c r="AJ12" i="3"/>
  <c r="T6" i="3"/>
  <c r="T13" i="3"/>
  <c r="T4" i="3"/>
  <c r="U4" i="3"/>
  <c r="T27" i="3"/>
  <c r="T19" i="3"/>
  <c r="T11" i="3"/>
  <c r="S29" i="3"/>
  <c r="AJ29" i="3" s="1"/>
  <c r="S21" i="3"/>
  <c r="AJ21" i="3" s="1"/>
  <c r="S13" i="3"/>
  <c r="AJ13" i="3" s="1"/>
  <c r="U17" i="3"/>
  <c r="U15" i="3"/>
  <c r="T25" i="3"/>
  <c r="T17" i="3"/>
  <c r="T9" i="3"/>
  <c r="S27" i="3"/>
  <c r="AJ27" i="3" s="1"/>
  <c r="S19" i="3"/>
  <c r="AJ19" i="3" s="1"/>
  <c r="S11" i="3"/>
  <c r="AJ11" i="3" s="1"/>
  <c r="U13" i="3"/>
  <c r="S25" i="3"/>
  <c r="AJ25" i="3" s="1"/>
  <c r="AJ5" i="3" l="1"/>
  <c r="AD9" i="3"/>
  <c r="AE9" i="3" s="1"/>
  <c r="AF9" i="3"/>
  <c r="AL9" i="3" s="1"/>
  <c r="AF18" i="3"/>
  <c r="AL18" i="3" s="1"/>
  <c r="AD18" i="3"/>
  <c r="AE18" i="3" s="1"/>
  <c r="AF21" i="3"/>
  <c r="AL21" i="3" s="1"/>
  <c r="AD21" i="3"/>
  <c r="AE21" i="3" s="1"/>
  <c r="AD28" i="3"/>
  <c r="AF28" i="3"/>
  <c r="AL28" i="3" s="1"/>
  <c r="AF23" i="3"/>
  <c r="AL23" i="3" s="1"/>
  <c r="AD23" i="3"/>
  <c r="AF6" i="3"/>
  <c r="AL6" i="3" s="1"/>
  <c r="AD6" i="3"/>
  <c r="AE6" i="3" s="1"/>
  <c r="AJ4" i="3"/>
  <c r="AF13" i="3"/>
  <c r="AL13" i="3" s="1"/>
  <c r="AD13" i="3"/>
  <c r="AE13" i="3" s="1"/>
  <c r="AF19" i="3"/>
  <c r="AL19" i="3" s="1"/>
  <c r="AD19" i="3"/>
  <c r="AE19" i="3" s="1"/>
  <c r="AF12" i="3"/>
  <c r="AL12" i="3" s="1"/>
  <c r="AD12" i="3"/>
  <c r="AD17" i="3"/>
  <c r="AE17" i="3" s="1"/>
  <c r="AF17" i="3"/>
  <c r="AL17" i="3" s="1"/>
  <c r="AK10" i="3"/>
  <c r="AM10" i="3" s="1"/>
  <c r="AO10" i="3" s="1"/>
  <c r="AP10" i="3" s="1"/>
  <c r="AE10" i="3"/>
  <c r="AK4" i="3"/>
  <c r="AF24" i="3"/>
  <c r="AL24" i="3" s="1"/>
  <c r="AD24" i="3"/>
  <c r="AF11" i="3"/>
  <c r="AL11" i="3" s="1"/>
  <c r="AD11" i="3"/>
  <c r="AE11" i="3" s="1"/>
  <c r="AF27" i="3"/>
  <c r="AL27" i="3" s="1"/>
  <c r="AD27" i="3"/>
  <c r="AE27" i="3" s="1"/>
  <c r="AF20" i="3"/>
  <c r="AL20" i="3" s="1"/>
  <c r="AD20" i="3"/>
  <c r="AE20" i="3" s="1"/>
  <c r="AK16" i="3"/>
  <c r="AM16" i="3" s="1"/>
  <c r="AK9" i="3"/>
  <c r="AM9" i="3" s="1"/>
  <c r="AN9" i="3" s="1"/>
  <c r="AF7" i="3"/>
  <c r="AL7" i="3" s="1"/>
  <c r="AD7" i="3"/>
  <c r="AE7" i="3" s="1"/>
  <c r="AK18" i="3"/>
  <c r="AF5" i="3"/>
  <c r="AL5" i="3" s="1"/>
  <c r="AD5" i="3"/>
  <c r="AE5" i="3" s="1"/>
  <c r="AF29" i="3"/>
  <c r="AL29" i="3" s="1"/>
  <c r="AD29" i="3"/>
  <c r="AE29" i="3" s="1"/>
  <c r="AD25" i="3"/>
  <c r="AE25" i="3" s="1"/>
  <c r="AF25" i="3"/>
  <c r="AL25" i="3" s="1"/>
  <c r="AF15" i="3"/>
  <c r="AL15" i="3" s="1"/>
  <c r="AD15" i="3"/>
  <c r="AK14" i="3"/>
  <c r="AM14" i="3" s="1"/>
  <c r="AO14" i="3" s="1"/>
  <c r="AP14" i="3" s="1"/>
  <c r="AK26" i="3"/>
  <c r="AM26" i="3" s="1"/>
  <c r="AN26" i="3" s="1"/>
  <c r="AF8" i="3"/>
  <c r="AL8" i="3" s="1"/>
  <c r="AD8" i="3"/>
  <c r="AE8" i="3" s="1"/>
  <c r="AM22" i="3"/>
  <c r="AN22" i="3" s="1"/>
  <c r="AM4" i="3" l="1"/>
  <c r="AN4" i="3" s="1"/>
  <c r="AK21" i="3"/>
  <c r="AM21" i="3" s="1"/>
  <c r="AN21" i="3" s="1"/>
  <c r="AK25" i="3"/>
  <c r="AM25" i="3" s="1"/>
  <c r="AM18" i="3"/>
  <c r="AO18" i="3" s="1"/>
  <c r="AP18" i="3" s="1"/>
  <c r="AO16" i="3"/>
  <c r="AP16" i="3" s="1"/>
  <c r="AN16" i="3"/>
  <c r="AK27" i="3"/>
  <c r="AM27" i="3" s="1"/>
  <c r="AO27" i="3" s="1"/>
  <c r="AP27" i="3" s="1"/>
  <c r="AE23" i="3"/>
  <c r="AK23" i="3"/>
  <c r="AM23" i="3" s="1"/>
  <c r="AN23" i="3" s="1"/>
  <c r="AE24" i="3"/>
  <c r="AK24" i="3"/>
  <c r="AM24" i="3" s="1"/>
  <c r="AO24" i="3" s="1"/>
  <c r="AP24" i="3" s="1"/>
  <c r="AE12" i="3"/>
  <c r="AK12" i="3"/>
  <c r="AM12" i="3" s="1"/>
  <c r="AK19" i="3"/>
  <c r="AM19" i="3" s="1"/>
  <c r="AN19" i="3" s="1"/>
  <c r="AE15" i="3"/>
  <c r="AK15" i="3"/>
  <c r="AM15" i="3" s="1"/>
  <c r="AN15" i="3" s="1"/>
  <c r="AK29" i="3"/>
  <c r="AM29" i="3" s="1"/>
  <c r="AN29" i="3" s="1"/>
  <c r="AK5" i="3"/>
  <c r="AM5" i="3" s="1"/>
  <c r="AN5" i="3" s="1"/>
  <c r="AK20" i="3"/>
  <c r="AM20" i="3" s="1"/>
  <c r="AN20" i="3" s="1"/>
  <c r="AE28" i="3"/>
  <c r="AK28" i="3"/>
  <c r="AM28" i="3" s="1"/>
  <c r="AO28" i="3" s="1"/>
  <c r="AP28" i="3" s="1"/>
  <c r="AK17" i="3"/>
  <c r="AM17" i="3" s="1"/>
  <c r="AO17" i="3" s="1"/>
  <c r="AP17" i="3" s="1"/>
  <c r="AK6" i="3"/>
  <c r="AM6" i="3" s="1"/>
  <c r="AK13" i="3"/>
  <c r="AM13" i="3" s="1"/>
  <c r="AO13" i="3" s="1"/>
  <c r="AP13" i="3" s="1"/>
  <c r="AK11" i="3"/>
  <c r="AM11" i="3" s="1"/>
  <c r="AN11" i="3" s="1"/>
  <c r="AK8" i="3"/>
  <c r="AM8" i="3" s="1"/>
  <c r="AN8" i="3" s="1"/>
  <c r="AK7" i="3"/>
  <c r="AM7" i="3" s="1"/>
  <c r="AN7" i="3" s="1"/>
  <c r="AN14" i="3"/>
  <c r="AO22" i="3"/>
  <c r="AP22" i="3" s="1"/>
  <c r="AN28" i="3"/>
  <c r="AO26" i="3"/>
  <c r="AP26" i="3" s="1"/>
  <c r="AN10" i="3"/>
  <c r="AO9" i="3"/>
  <c r="AP9" i="3" s="1"/>
  <c r="AO4" i="3"/>
  <c r="AP4" i="3" s="1"/>
  <c r="Q7" i="1"/>
  <c r="AN18" i="3" l="1"/>
  <c r="AO19" i="3"/>
  <c r="AP19" i="3" s="1"/>
  <c r="AN25" i="3"/>
  <c r="AO25" i="3"/>
  <c r="AP25" i="3" s="1"/>
  <c r="AN17" i="3"/>
  <c r="AN13" i="3"/>
  <c r="AN27" i="3"/>
  <c r="AO21" i="3"/>
  <c r="AP21" i="3" s="1"/>
  <c r="AO15" i="3"/>
  <c r="AP15" i="3" s="1"/>
  <c r="AO11" i="3"/>
  <c r="AP11" i="3" s="1"/>
  <c r="AO5" i="3"/>
  <c r="AP5" i="3" s="1"/>
  <c r="AO8" i="3"/>
  <c r="AP8" i="3" s="1"/>
  <c r="AO7" i="3"/>
  <c r="AP7" i="3" s="1"/>
  <c r="AO20" i="3"/>
  <c r="AP20" i="3" s="1"/>
  <c r="AN6" i="3"/>
  <c r="AO6" i="3"/>
  <c r="AP6" i="3" s="1"/>
  <c r="AO29" i="3"/>
  <c r="AP29" i="3" s="1"/>
  <c r="AN24" i="3"/>
  <c r="AO23" i="3"/>
  <c r="AP23" i="3" s="1"/>
  <c r="AN12" i="3"/>
  <c r="AO12" i="3"/>
  <c r="AP12" i="3" s="1"/>
  <c r="F7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4" i="1"/>
  <c r="AA5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4" i="1"/>
  <c r="O5" i="1"/>
  <c r="O6" i="1"/>
  <c r="O7" i="1"/>
  <c r="V7" i="1" s="1"/>
  <c r="O8" i="1"/>
  <c r="O9" i="1"/>
  <c r="O10" i="1"/>
  <c r="O11" i="1"/>
  <c r="O12" i="1"/>
  <c r="O4" i="1"/>
  <c r="P4" i="1" s="1"/>
  <c r="Q5" i="1"/>
  <c r="Q6" i="1"/>
  <c r="Q8" i="1"/>
  <c r="V8" i="1" s="1"/>
  <c r="Q9" i="1"/>
  <c r="V9" i="1" s="1"/>
  <c r="Q10" i="1"/>
  <c r="V10" i="1" s="1"/>
  <c r="Q11" i="1"/>
  <c r="Q12" i="1"/>
  <c r="V12" i="1" s="1"/>
  <c r="Q13" i="1"/>
  <c r="Q14" i="1"/>
  <c r="Q15" i="1"/>
  <c r="V15" i="1" s="1"/>
  <c r="Q16" i="1"/>
  <c r="V16" i="1" s="1"/>
  <c r="Q17" i="1"/>
  <c r="V17" i="1" s="1"/>
  <c r="Q18" i="1"/>
  <c r="V18" i="1" s="1"/>
  <c r="Q19" i="1"/>
  <c r="V19" i="1" s="1"/>
  <c r="Q20" i="1"/>
  <c r="V20" i="1" s="1"/>
  <c r="Q21" i="1"/>
  <c r="Q22" i="1"/>
  <c r="Q23" i="1"/>
  <c r="V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Q4" i="1"/>
  <c r="M7" i="1"/>
  <c r="M6" i="1"/>
  <c r="M5" i="1"/>
  <c r="V11" i="1" l="1"/>
  <c r="X19" i="1"/>
  <c r="W19" i="1"/>
  <c r="X17" i="1"/>
  <c r="W17" i="1"/>
  <c r="V4" i="1"/>
  <c r="V22" i="1"/>
  <c r="V14" i="1"/>
  <c r="V6" i="1"/>
  <c r="V29" i="1"/>
  <c r="V21" i="1"/>
  <c r="V13" i="1"/>
  <c r="V5" i="1"/>
  <c r="W20" i="1"/>
  <c r="X20" i="1"/>
  <c r="X26" i="1"/>
  <c r="W26" i="1"/>
  <c r="W18" i="1"/>
  <c r="X18" i="1"/>
  <c r="W10" i="1"/>
  <c r="X10" i="1"/>
  <c r="W12" i="1"/>
  <c r="X12" i="1"/>
  <c r="X11" i="1"/>
  <c r="W11" i="1"/>
  <c r="X9" i="1"/>
  <c r="W9" i="1"/>
  <c r="X24" i="1"/>
  <c r="W24" i="1"/>
  <c r="X16" i="1"/>
  <c r="W16" i="1"/>
  <c r="X8" i="1"/>
  <c r="W8" i="1"/>
  <c r="X28" i="1"/>
  <c r="W28" i="1"/>
  <c r="X27" i="1"/>
  <c r="W27" i="1"/>
  <c r="X25" i="1"/>
  <c r="W25" i="1"/>
  <c r="X23" i="1"/>
  <c r="W23" i="1"/>
  <c r="X15" i="1"/>
  <c r="W15" i="1"/>
  <c r="X7" i="1"/>
  <c r="W7" i="1"/>
  <c r="P5" i="1"/>
  <c r="P6" i="1"/>
  <c r="P7" i="1"/>
  <c r="P8" i="1"/>
  <c r="P9" i="1"/>
  <c r="P10" i="1"/>
  <c r="P11" i="1"/>
  <c r="P12" i="1"/>
  <c r="P13" i="1"/>
  <c r="P14" i="1"/>
  <c r="P15" i="1"/>
  <c r="U15" i="1" s="1"/>
  <c r="AE15" i="1" s="1"/>
  <c r="P16" i="1"/>
  <c r="U16" i="1" s="1"/>
  <c r="AE16" i="1" s="1"/>
  <c r="P17" i="1"/>
  <c r="U17" i="1" s="1"/>
  <c r="AE17" i="1" s="1"/>
  <c r="P18" i="1"/>
  <c r="U18" i="1" s="1"/>
  <c r="AE18" i="1" s="1"/>
  <c r="P19" i="1"/>
  <c r="U19" i="1" s="1"/>
  <c r="AE19" i="1" s="1"/>
  <c r="P20" i="1"/>
  <c r="U20" i="1" s="1"/>
  <c r="AE20" i="1" s="1"/>
  <c r="P21" i="1"/>
  <c r="U21" i="1" s="1"/>
  <c r="AE21" i="1" s="1"/>
  <c r="P22" i="1"/>
  <c r="U22" i="1" s="1"/>
  <c r="AE22" i="1" s="1"/>
  <c r="P23" i="1"/>
  <c r="U23" i="1" s="1"/>
  <c r="AE23" i="1" s="1"/>
  <c r="P24" i="1"/>
  <c r="U24" i="1" s="1"/>
  <c r="AE24" i="1" s="1"/>
  <c r="P25" i="1"/>
  <c r="U25" i="1" s="1"/>
  <c r="AE25" i="1" s="1"/>
  <c r="P26" i="1"/>
  <c r="U26" i="1" s="1"/>
  <c r="AE26" i="1" s="1"/>
  <c r="P27" i="1"/>
  <c r="U27" i="1" s="1"/>
  <c r="AE27" i="1" s="1"/>
  <c r="P28" i="1"/>
  <c r="U28" i="1" s="1"/>
  <c r="AE28" i="1" s="1"/>
  <c r="P29" i="1"/>
  <c r="U29" i="1" s="1"/>
  <c r="AE29" i="1" s="1"/>
  <c r="X6" i="1" l="1"/>
  <c r="W6" i="1"/>
  <c r="X14" i="1"/>
  <c r="W14" i="1"/>
  <c r="X22" i="1"/>
  <c r="W22" i="1"/>
  <c r="W4" i="1"/>
  <c r="X4" i="1"/>
  <c r="W5" i="1"/>
  <c r="X5" i="1"/>
  <c r="W13" i="1"/>
  <c r="X13" i="1"/>
  <c r="W21" i="1"/>
  <c r="X21" i="1"/>
  <c r="W29" i="1"/>
  <c r="X29" i="1"/>
  <c r="U14" i="1"/>
  <c r="AE14" i="1" s="1"/>
  <c r="U6" i="1"/>
  <c r="AE6" i="1" s="1"/>
  <c r="U13" i="1"/>
  <c r="AE13" i="1" s="1"/>
  <c r="U5" i="1"/>
  <c r="AE5" i="1" s="1"/>
  <c r="U11" i="1"/>
  <c r="AE11" i="1" s="1"/>
  <c r="U12" i="1"/>
  <c r="AE12" i="1" s="1"/>
  <c r="U10" i="1"/>
  <c r="AE10" i="1" s="1"/>
  <c r="U9" i="1"/>
  <c r="AE9" i="1" s="1"/>
  <c r="U8" i="1"/>
  <c r="AE8" i="1" s="1"/>
  <c r="U7" i="1"/>
  <c r="AE7" i="1" s="1"/>
  <c r="T28" i="1"/>
  <c r="AD28" i="1" s="1"/>
  <c r="S28" i="1"/>
  <c r="AC28" i="1" s="1"/>
  <c r="T5" i="1"/>
  <c r="AD5" i="1" s="1"/>
  <c r="S5" i="1"/>
  <c r="T19" i="1"/>
  <c r="AD19" i="1" s="1"/>
  <c r="S19" i="1"/>
  <c r="AC19" i="1" s="1"/>
  <c r="AF19" i="1" s="1"/>
  <c r="T21" i="1"/>
  <c r="AD21" i="1" s="1"/>
  <c r="S21" i="1"/>
  <c r="S26" i="1"/>
  <c r="AC26" i="1" s="1"/>
  <c r="T26" i="1"/>
  <c r="AD26" i="1" s="1"/>
  <c r="T29" i="1"/>
  <c r="S29" i="1"/>
  <c r="AC29" i="1" s="1"/>
  <c r="T12" i="1"/>
  <c r="AD12" i="1" s="1"/>
  <c r="S12" i="1"/>
  <c r="AC12" i="1" s="1"/>
  <c r="AF12" i="1" s="1"/>
  <c r="T11" i="1"/>
  <c r="AD11" i="1" s="1"/>
  <c r="S11" i="1"/>
  <c r="AC11" i="1" s="1"/>
  <c r="S18" i="1"/>
  <c r="AC18" i="1" s="1"/>
  <c r="T18" i="1"/>
  <c r="AD18" i="1" s="1"/>
  <c r="T17" i="1"/>
  <c r="AD17" i="1" s="1"/>
  <c r="S17" i="1"/>
  <c r="AC17" i="1" s="1"/>
  <c r="S24" i="1"/>
  <c r="AC24" i="1" s="1"/>
  <c r="T24" i="1"/>
  <c r="AD24" i="1" s="1"/>
  <c r="S8" i="1"/>
  <c r="AC8" i="1" s="1"/>
  <c r="T8" i="1"/>
  <c r="AD8" i="1" s="1"/>
  <c r="T15" i="1"/>
  <c r="AD15" i="1" s="1"/>
  <c r="S15" i="1"/>
  <c r="AC15" i="1" s="1"/>
  <c r="T7" i="1"/>
  <c r="AD7" i="1" s="1"/>
  <c r="S7" i="1"/>
  <c r="AC7" i="1" s="1"/>
  <c r="T13" i="1"/>
  <c r="S13" i="1"/>
  <c r="AC13" i="1" s="1"/>
  <c r="T20" i="1"/>
  <c r="AD20" i="1" s="1"/>
  <c r="S20" i="1"/>
  <c r="AC20" i="1" s="1"/>
  <c r="S27" i="1"/>
  <c r="AC27" i="1" s="1"/>
  <c r="T27" i="1"/>
  <c r="AD27" i="1" s="1"/>
  <c r="S10" i="1"/>
  <c r="AC10" i="1" s="1"/>
  <c r="T10" i="1"/>
  <c r="AD10" i="1" s="1"/>
  <c r="T25" i="1"/>
  <c r="AD25" i="1" s="1"/>
  <c r="S25" i="1"/>
  <c r="AC25" i="1" s="1"/>
  <c r="T9" i="1"/>
  <c r="AD9" i="1" s="1"/>
  <c r="S9" i="1"/>
  <c r="AC9" i="1" s="1"/>
  <c r="S16" i="1"/>
  <c r="AC16" i="1" s="1"/>
  <c r="T16" i="1"/>
  <c r="AD16" i="1" s="1"/>
  <c r="T23" i="1"/>
  <c r="AD23" i="1" s="1"/>
  <c r="S23" i="1"/>
  <c r="AC23" i="1" s="1"/>
  <c r="T22" i="1"/>
  <c r="S22" i="1"/>
  <c r="AC22" i="1" s="1"/>
  <c r="T14" i="1"/>
  <c r="AD14" i="1" s="1"/>
  <c r="S14" i="1"/>
  <c r="T6" i="1"/>
  <c r="AD6" i="1" s="1"/>
  <c r="S6" i="1"/>
  <c r="AC6" i="1" s="1"/>
  <c r="AF6" i="1" s="1"/>
  <c r="S4" i="1"/>
  <c r="T4" i="1"/>
  <c r="U4" i="1"/>
  <c r="AE4" i="1" s="1"/>
  <c r="AF25" i="1" l="1"/>
  <c r="AD22" i="1"/>
  <c r="AF22" i="1" s="1"/>
  <c r="AD4" i="1"/>
  <c r="AF15" i="1"/>
  <c r="AF7" i="1"/>
  <c r="AG7" i="1" s="1"/>
  <c r="AC14" i="1"/>
  <c r="AF14" i="1" s="1"/>
  <c r="AG14" i="1" s="1"/>
  <c r="AF23" i="1"/>
  <c r="AG23" i="1" s="1"/>
  <c r="AF28" i="1"/>
  <c r="AH28" i="1" s="1"/>
  <c r="AI28" i="1" s="1"/>
  <c r="AC21" i="1"/>
  <c r="AF8" i="1"/>
  <c r="AG8" i="1" s="1"/>
  <c r="AF17" i="1"/>
  <c r="AH17" i="1" s="1"/>
  <c r="AI17" i="1" s="1"/>
  <c r="AD13" i="1"/>
  <c r="AF13" i="1" s="1"/>
  <c r="AG13" i="1" s="1"/>
  <c r="AF24" i="1"/>
  <c r="AH24" i="1" s="1"/>
  <c r="AI24" i="1" s="1"/>
  <c r="AC5" i="1"/>
  <c r="AF5" i="1" s="1"/>
  <c r="AH5" i="1" s="1"/>
  <c r="AI5" i="1" s="1"/>
  <c r="AF10" i="1"/>
  <c r="AG10" i="1" s="1"/>
  <c r="AD29" i="1"/>
  <c r="AF29" i="1" s="1"/>
  <c r="AF16" i="1"/>
  <c r="AG16" i="1" s="1"/>
  <c r="AF27" i="1"/>
  <c r="AH27" i="1" s="1"/>
  <c r="AI27" i="1" s="1"/>
  <c r="AF18" i="1"/>
  <c r="AH18" i="1" s="1"/>
  <c r="AI18" i="1" s="1"/>
  <c r="AF26" i="1"/>
  <c r="AH26" i="1" s="1"/>
  <c r="AI26" i="1" s="1"/>
  <c r="AF9" i="1"/>
  <c r="AG9" i="1" s="1"/>
  <c r="AF20" i="1"/>
  <c r="AH20" i="1" s="1"/>
  <c r="AI20" i="1" s="1"/>
  <c r="AF11" i="1"/>
  <c r="AG11" i="1" s="1"/>
  <c r="AF21" i="1"/>
  <c r="AG21" i="1" s="1"/>
  <c r="AC4" i="1"/>
  <c r="AG12" i="1"/>
  <c r="AH12" i="1"/>
  <c r="AI12" i="1" s="1"/>
  <c r="AG19" i="1"/>
  <c r="AH19" i="1"/>
  <c r="AI19" i="1" s="1"/>
  <c r="AH7" i="1"/>
  <c r="AI7" i="1" s="1"/>
  <c r="AH25" i="1"/>
  <c r="AI25" i="1" s="1"/>
  <c r="AG25" i="1"/>
  <c r="AH6" i="1"/>
  <c r="AI6" i="1" s="1"/>
  <c r="AG6" i="1"/>
  <c r="AG15" i="1"/>
  <c r="AH15" i="1"/>
  <c r="AI15" i="1" s="1"/>
  <c r="AH9" i="1"/>
  <c r="AI9" i="1" s="1"/>
  <c r="AH23" i="1" l="1"/>
  <c r="AI23" i="1" s="1"/>
  <c r="AH22" i="1"/>
  <c r="AI22" i="1" s="1"/>
  <c r="AG22" i="1"/>
  <c r="AF4" i="1"/>
  <c r="AH4" i="1" s="1"/>
  <c r="AI4" i="1" s="1"/>
  <c r="AG28" i="1"/>
  <c r="AG5" i="1"/>
  <c r="AG26" i="1"/>
  <c r="AH8" i="1"/>
  <c r="AI8" i="1" s="1"/>
  <c r="AG17" i="1"/>
  <c r="AH14" i="1"/>
  <c r="AI14" i="1" s="1"/>
  <c r="AH16" i="1"/>
  <c r="AI16" i="1" s="1"/>
  <c r="AG20" i="1"/>
  <c r="AH11" i="1"/>
  <c r="AI11" i="1" s="1"/>
  <c r="AH10" i="1"/>
  <c r="AI10" i="1" s="1"/>
  <c r="AG18" i="1"/>
  <c r="AH13" i="1"/>
  <c r="AI13" i="1" s="1"/>
  <c r="AG24" i="1"/>
  <c r="AG29" i="1"/>
  <c r="AH29" i="1"/>
  <c r="AI29" i="1" s="1"/>
  <c r="AG27" i="1"/>
  <c r="AH21" i="1"/>
  <c r="AI21" i="1" s="1"/>
  <c r="A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 inclinación del terreno, por lo tanto se toma como 1</t>
        </r>
      </text>
    </comment>
  </commentList>
</comments>
</file>

<file path=xl/sharedStrings.xml><?xml version="1.0" encoding="utf-8"?>
<sst xmlns="http://schemas.openxmlformats.org/spreadsheetml/2006/main" count="295" uniqueCount="135">
  <si>
    <t>Cálculo del ancho de la zapata por Meyerhof</t>
  </si>
  <si>
    <t>Qproy=</t>
  </si>
  <si>
    <t>FS=</t>
  </si>
  <si>
    <t>Df(inicial)=</t>
  </si>
  <si>
    <t>B(inicial)=</t>
  </si>
  <si>
    <t>B/L=2</t>
  </si>
  <si>
    <t>C=</t>
  </si>
  <si>
    <t>ϕ=</t>
  </si>
  <si>
    <t>°</t>
  </si>
  <si>
    <t>KN/m3</t>
  </si>
  <si>
    <t>γ=</t>
  </si>
  <si>
    <t>γsat=</t>
  </si>
  <si>
    <t>KN</t>
  </si>
  <si>
    <t>F.S.=</t>
  </si>
  <si>
    <t>γw=</t>
  </si>
  <si>
    <t>Zapata rectangular</t>
  </si>
  <si>
    <t>Factores de capacidad de carga</t>
  </si>
  <si>
    <t>B</t>
  </si>
  <si>
    <t>(m)</t>
  </si>
  <si>
    <t>L</t>
  </si>
  <si>
    <t>Df</t>
  </si>
  <si>
    <t>q</t>
  </si>
  <si>
    <t>(KPA)</t>
  </si>
  <si>
    <t>Fctores de forma</t>
  </si>
  <si>
    <t>Fcs</t>
  </si>
  <si>
    <t>Fqs</t>
  </si>
  <si>
    <t>Frs</t>
  </si>
  <si>
    <t xml:space="preserve">Factores de inclinación </t>
  </si>
  <si>
    <t>b (°)</t>
  </si>
  <si>
    <t>Fci =Fqi</t>
  </si>
  <si>
    <t>Capacidad de carga a la falla (Kpa)</t>
  </si>
  <si>
    <t xml:space="preserve">1er término </t>
  </si>
  <si>
    <t>2do. Término</t>
  </si>
  <si>
    <t>3er. Término</t>
  </si>
  <si>
    <t>qadm</t>
  </si>
  <si>
    <t>(Kpa)</t>
  </si>
  <si>
    <t>Qadm</t>
  </si>
  <si>
    <t>Qproy-Qadm</t>
  </si>
  <si>
    <t>(KN)</t>
  </si>
  <si>
    <t>Nc=</t>
  </si>
  <si>
    <t>Nq=</t>
  </si>
  <si>
    <t>Nr=</t>
  </si>
  <si>
    <t>Tabla 3.1</t>
  </si>
  <si>
    <t>Factores de capacidad de carga Terzaghi</t>
  </si>
  <si>
    <t>Φ</t>
  </si>
  <si>
    <t>Nc</t>
  </si>
  <si>
    <t>Nq</t>
  </si>
  <si>
    <t>Nγ</t>
  </si>
  <si>
    <t>Tabla 3.4</t>
  </si>
  <si>
    <t>Factor de capacidad de carga</t>
  </si>
  <si>
    <t>Factores de profundidad</t>
  </si>
  <si>
    <t>DF/B</t>
  </si>
  <si>
    <t>Fcd</t>
  </si>
  <si>
    <t>Fqd</t>
  </si>
  <si>
    <t>Frd</t>
  </si>
  <si>
    <t>qc</t>
  </si>
  <si>
    <r>
      <rPr>
        <sz val="11"/>
        <color theme="1"/>
        <rFont val="GreekC"/>
      </rPr>
      <t>b</t>
    </r>
    <r>
      <rPr>
        <sz val="11"/>
        <color theme="1"/>
        <rFont val="Calibri"/>
        <family val="2"/>
        <scheme val="minor"/>
      </rPr>
      <t xml:space="preserve"> =</t>
    </r>
  </si>
  <si>
    <t>(°)</t>
  </si>
  <si>
    <t>NAF=</t>
  </si>
  <si>
    <t>m</t>
  </si>
  <si>
    <t>Ca</t>
  </si>
  <si>
    <t>Af</t>
  </si>
  <si>
    <t>Hi</t>
  </si>
  <si>
    <t>bc=</t>
  </si>
  <si>
    <t>bq=</t>
  </si>
  <si>
    <t>br=</t>
  </si>
  <si>
    <t>gc=</t>
  </si>
  <si>
    <t>gq=</t>
  </si>
  <si>
    <t>gr=</t>
  </si>
  <si>
    <t>Inclinación del terreno</t>
  </si>
  <si>
    <t>V=</t>
  </si>
  <si>
    <t>ir</t>
  </si>
  <si>
    <t>iq</t>
  </si>
  <si>
    <t>ic</t>
  </si>
  <si>
    <t>Tabla 3.2</t>
  </si>
  <si>
    <t>N'c</t>
  </si>
  <si>
    <t>N'q</t>
  </si>
  <si>
    <t>N'γ</t>
  </si>
  <si>
    <t>Capacidad de carga a la falla general(Kpa)</t>
  </si>
  <si>
    <t>Capacidad de carga a la falla local (Kpa)</t>
  </si>
  <si>
    <t>Sc</t>
  </si>
  <si>
    <t>Sr</t>
  </si>
  <si>
    <t>N'c=</t>
  </si>
  <si>
    <t>N'q=</t>
  </si>
  <si>
    <t>N'r=</t>
  </si>
  <si>
    <t>Parte 1</t>
  </si>
  <si>
    <t>Parte 2</t>
  </si>
  <si>
    <t>Total</t>
  </si>
  <si>
    <t>Factores de forma</t>
  </si>
  <si>
    <t>Cálculo del ancho de la zapata por Terzaghi</t>
  </si>
  <si>
    <t xml:space="preserve"> </t>
  </si>
  <si>
    <t>α</t>
  </si>
  <si>
    <t>µs</t>
  </si>
  <si>
    <t>Q=</t>
  </si>
  <si>
    <t>qo</t>
  </si>
  <si>
    <t>Es=</t>
  </si>
  <si>
    <t>KN/m2</t>
  </si>
  <si>
    <t>Se (m)</t>
  </si>
  <si>
    <t>Se(mm)</t>
  </si>
  <si>
    <t>α/2</t>
  </si>
  <si>
    <t>Asentamiento elastico Centro</t>
  </si>
  <si>
    <t>Asentamiento elastico Esquina</t>
  </si>
  <si>
    <t>H=</t>
  </si>
  <si>
    <t>Hprom=</t>
  </si>
  <si>
    <t>q total</t>
  </si>
  <si>
    <t>n</t>
  </si>
  <si>
    <t>Zsup</t>
  </si>
  <si>
    <t>Zmed</t>
  </si>
  <si>
    <t>Zinf</t>
  </si>
  <si>
    <t>wo</t>
  </si>
  <si>
    <t>Δ'm</t>
  </si>
  <si>
    <t>Promedio</t>
  </si>
  <si>
    <t>Cc=</t>
  </si>
  <si>
    <t>e0=</t>
  </si>
  <si>
    <t>Cs=</t>
  </si>
  <si>
    <t>Pc=</t>
  </si>
  <si>
    <t>Asentamiento total (Se+Sc)</t>
  </si>
  <si>
    <t>Caso 1</t>
  </si>
  <si>
    <t>Caso 2</t>
  </si>
  <si>
    <t>Caso 3</t>
  </si>
  <si>
    <t>Zsuperior</t>
  </si>
  <si>
    <t>Zmedia</t>
  </si>
  <si>
    <t>Zinferior</t>
  </si>
  <si>
    <t>Roca</t>
  </si>
  <si>
    <t>NAF</t>
  </si>
  <si>
    <t>Debajo de desplante</t>
  </si>
  <si>
    <t>Abajo del terreno natural</t>
  </si>
  <si>
    <t>b =</t>
  </si>
  <si>
    <t>Preconsolizada (m)</t>
  </si>
  <si>
    <t>(mm)</t>
  </si>
  <si>
    <t>Preconsolizada (mm)</t>
  </si>
  <si>
    <t>Arcilla preconsolidadas (m)</t>
  </si>
  <si>
    <t>arcilla normalmente consolidada (mm)</t>
  </si>
  <si>
    <t>arcilla normalmente consolidada (m)</t>
  </si>
  <si>
    <t>qo (KN/m2)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</si>
</sst>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\ &quot;m&quot;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GreekC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0"/>
      <name val="Arial"/>
      <family val="2"/>
    </font>
    <font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2" borderId="5" xfId="0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2" borderId="6" xfId="0" applyFill="1" applyBorder="1" applyAlignment="1">
      <alignment horizontal="right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2" borderId="8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0" borderId="0" xfId="0" applyFont="1"/>
    <xf numFmtId="0" fontId="0" fillId="0" borderId="1" xfId="0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0" fontId="0" fillId="2" borderId="8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Border="1"/>
    <xf numFmtId="0" fontId="1" fillId="0" borderId="11" xfId="0" applyFont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9" fillId="0" borderId="1" xfId="0" applyNumberFormat="1" applyFont="1" applyFill="1" applyBorder="1"/>
    <xf numFmtId="0" fontId="1" fillId="0" borderId="11" xfId="0" applyNumberFormat="1" applyFont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5" borderId="0" xfId="0" applyFill="1" applyAlignment="1">
      <alignment horizontal="center"/>
    </xf>
    <xf numFmtId="0" fontId="2" fillId="5" borderId="1" xfId="0" applyFont="1" applyFill="1" applyBorder="1"/>
    <xf numFmtId="0" fontId="8" fillId="5" borderId="1" xfId="0" applyFont="1" applyFill="1" applyBorder="1"/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166" fontId="0" fillId="0" borderId="1" xfId="0" applyNumberFormat="1" applyFill="1" applyBorder="1"/>
    <xf numFmtId="165" fontId="0" fillId="6" borderId="1" xfId="0" applyNumberFormat="1" applyFill="1" applyBorder="1"/>
    <xf numFmtId="164" fontId="0" fillId="6" borderId="1" xfId="0" applyNumberFormat="1" applyFill="1" applyBorder="1"/>
    <xf numFmtId="0" fontId="8" fillId="5" borderId="1" xfId="0" applyFont="1" applyFill="1" applyBorder="1" applyAlignment="1">
      <alignment horizontal="center"/>
    </xf>
    <xf numFmtId="167" fontId="0" fillId="0" borderId="0" xfId="0" applyNumberFormat="1"/>
    <xf numFmtId="0" fontId="1" fillId="0" borderId="0" xfId="0" applyFont="1"/>
    <xf numFmtId="167" fontId="0" fillId="0" borderId="0" xfId="0" applyNumberFormat="1" applyAlignment="1">
      <alignment horizontal="left"/>
    </xf>
    <xf numFmtId="0" fontId="10" fillId="0" borderId="0" xfId="0" applyFont="1" applyAlignment="1"/>
    <xf numFmtId="0" fontId="11" fillId="2" borderId="5" xfId="0" applyFont="1" applyFill="1" applyBorder="1" applyAlignment="1">
      <alignment horizontal="right"/>
    </xf>
    <xf numFmtId="0" fontId="12" fillId="0" borderId="6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1" fillId="2" borderId="6" xfId="0" applyFont="1" applyFill="1" applyBorder="1" applyAlignment="1">
      <alignment horizontal="right"/>
    </xf>
    <xf numFmtId="0" fontId="11" fillId="0" borderId="6" xfId="0" applyFont="1" applyBorder="1"/>
    <xf numFmtId="0" fontId="11" fillId="0" borderId="7" xfId="0" applyFont="1" applyBorder="1"/>
    <xf numFmtId="0" fontId="11" fillId="2" borderId="8" xfId="0" applyFont="1" applyFill="1" applyBorder="1" applyAlignment="1">
      <alignment horizontal="right"/>
    </xf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1" fillId="0" borderId="9" xfId="0" applyFont="1" applyBorder="1"/>
    <xf numFmtId="0" fontId="11" fillId="0" borderId="0" xfId="0" applyFont="1" applyBorder="1" applyAlignment="1">
      <alignment horizontal="center"/>
    </xf>
    <xf numFmtId="0" fontId="11" fillId="2" borderId="10" xfId="0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1" fillId="0" borderId="11" xfId="0" applyFont="1" applyBorder="1"/>
    <xf numFmtId="0" fontId="11" fillId="2" borderId="11" xfId="0" applyFont="1" applyFill="1" applyBorder="1" applyAlignment="1">
      <alignment horizontal="right"/>
    </xf>
    <xf numFmtId="0" fontId="11" fillId="0" borderId="12" xfId="0" applyFont="1" applyBorder="1"/>
    <xf numFmtId="0" fontId="11" fillId="0" borderId="0" xfId="0" applyFont="1"/>
    <xf numFmtId="0" fontId="11" fillId="2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3" fillId="0" borderId="0" xfId="0" applyFont="1"/>
    <xf numFmtId="2" fontId="11" fillId="0" borderId="0" xfId="0" applyNumberFormat="1" applyFont="1" applyBorder="1"/>
    <xf numFmtId="0" fontId="12" fillId="0" borderId="1" xfId="0" applyFont="1" applyFill="1" applyBorder="1" applyAlignment="1">
      <alignment horizontal="center"/>
    </xf>
    <xf numFmtId="167" fontId="11" fillId="0" borderId="0" xfId="0" applyNumberFormat="1" applyFont="1" applyAlignment="1">
      <alignment horizontal="left"/>
    </xf>
    <xf numFmtId="167" fontId="11" fillId="0" borderId="0" xfId="0" applyNumberFormat="1" applyFont="1"/>
    <xf numFmtId="0" fontId="7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5" borderId="14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Dimensión</a:t>
            </a:r>
            <a:r>
              <a:rPr lang="es-MX" baseline="0"/>
              <a:t> (m)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529459217510717"/>
          <c:y val="0.19874301498603"/>
          <c:w val="0.8197054955906129"/>
          <c:h val="0.695591503683007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Terzaghi!$Q$4:$Q$29</c:f>
              <c:numCache>
                <c:formatCode>0.00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</c:numCache>
            </c:numRef>
          </c:xVal>
          <c:yVal>
            <c:numRef>
              <c:f>Terzaghi!$AE$4:$AE$29</c:f>
              <c:numCache>
                <c:formatCode>General</c:formatCode>
                <c:ptCount val="26"/>
                <c:pt idx="0">
                  <c:v>989.67551423999998</c:v>
                </c:pt>
                <c:pt idx="1">
                  <c:v>958.05717695999999</c:v>
                </c:pt>
                <c:pt idx="2">
                  <c:v>904.17766815999994</c:v>
                </c:pt>
                <c:pt idx="3">
                  <c:v>827.06966783999997</c:v>
                </c:pt>
                <c:pt idx="4">
                  <c:v>725.76585599999999</c:v>
                </c:pt>
                <c:pt idx="5">
                  <c:v>599.29891264000003</c:v>
                </c:pt>
                <c:pt idx="6">
                  <c:v>446.70151776</c:v>
                </c:pt>
                <c:pt idx="7">
                  <c:v>267.00635135999994</c:v>
                </c:pt>
                <c:pt idx="8">
                  <c:v>59.246093440000095</c:v>
                </c:pt>
                <c:pt idx="9">
                  <c:v>-177.54657599999996</c:v>
                </c:pt>
                <c:pt idx="10">
                  <c:v>-444.33897696000008</c:v>
                </c:pt>
                <c:pt idx="11">
                  <c:v>-742.09842944000047</c:v>
                </c:pt>
                <c:pt idx="12">
                  <c:v>-1071.79225344</c:v>
                </c:pt>
                <c:pt idx="13">
                  <c:v>-1434.3877689600008</c:v>
                </c:pt>
                <c:pt idx="14">
                  <c:v>-1830.8522959999996</c:v>
                </c:pt>
                <c:pt idx="15">
                  <c:v>-2262.1531545600005</c:v>
                </c:pt>
                <c:pt idx="16">
                  <c:v>-2729.2576646400007</c:v>
                </c:pt>
                <c:pt idx="17">
                  <c:v>-3233.1331462400003</c:v>
                </c:pt>
                <c:pt idx="18">
                  <c:v>-3774.74691936</c:v>
                </c:pt>
                <c:pt idx="19">
                  <c:v>-4355.0663039999999</c:v>
                </c:pt>
                <c:pt idx="20">
                  <c:v>-4975.0586201600008</c:v>
                </c:pt>
                <c:pt idx="21">
                  <c:v>-5635.6911878400015</c:v>
                </c:pt>
                <c:pt idx="22">
                  <c:v>-6337.9313270400016</c:v>
                </c:pt>
                <c:pt idx="23">
                  <c:v>-7082.746357760002</c:v>
                </c:pt>
                <c:pt idx="24">
                  <c:v>-7871.1036000000004</c:v>
                </c:pt>
                <c:pt idx="25">
                  <c:v>-8703.9703737600012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C-41A9-B258-5963E68D9D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Terzaghi!$R$4:$R$29</c:f>
              <c:numCache>
                <c:formatCode>0.00</c:formatCode>
                <c:ptCount val="26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</c:numCache>
            </c:numRef>
          </c:xVal>
          <c:yVal>
            <c:numRef>
              <c:f>Terzaghi!$AE$4:$AE$29</c:f>
              <c:numCache>
                <c:formatCode>General</c:formatCode>
                <c:ptCount val="26"/>
                <c:pt idx="0">
                  <c:v>989.67551423999998</c:v>
                </c:pt>
                <c:pt idx="1">
                  <c:v>958.05717695999999</c:v>
                </c:pt>
                <c:pt idx="2">
                  <c:v>904.17766815999994</c:v>
                </c:pt>
                <c:pt idx="3">
                  <c:v>827.06966783999997</c:v>
                </c:pt>
                <c:pt idx="4">
                  <c:v>725.76585599999999</c:v>
                </c:pt>
                <c:pt idx="5">
                  <c:v>599.29891264000003</c:v>
                </c:pt>
                <c:pt idx="6">
                  <c:v>446.70151776</c:v>
                </c:pt>
                <c:pt idx="7">
                  <c:v>267.00635135999994</c:v>
                </c:pt>
                <c:pt idx="8">
                  <c:v>59.246093440000095</c:v>
                </c:pt>
                <c:pt idx="9">
                  <c:v>-177.54657599999996</c:v>
                </c:pt>
                <c:pt idx="10">
                  <c:v>-444.33897696000008</c:v>
                </c:pt>
                <c:pt idx="11">
                  <c:v>-742.09842944000047</c:v>
                </c:pt>
                <c:pt idx="12">
                  <c:v>-1071.79225344</c:v>
                </c:pt>
                <c:pt idx="13">
                  <c:v>-1434.3877689600008</c:v>
                </c:pt>
                <c:pt idx="14">
                  <c:v>-1830.8522959999996</c:v>
                </c:pt>
                <c:pt idx="15">
                  <c:v>-2262.1531545600005</c:v>
                </c:pt>
                <c:pt idx="16">
                  <c:v>-2729.2576646400007</c:v>
                </c:pt>
                <c:pt idx="17">
                  <c:v>-3233.1331462400003</c:v>
                </c:pt>
                <c:pt idx="18">
                  <c:v>-3774.74691936</c:v>
                </c:pt>
                <c:pt idx="19">
                  <c:v>-4355.0663039999999</c:v>
                </c:pt>
                <c:pt idx="20">
                  <c:v>-4975.0586201600008</c:v>
                </c:pt>
                <c:pt idx="21">
                  <c:v>-5635.6911878400015</c:v>
                </c:pt>
                <c:pt idx="22">
                  <c:v>-6337.9313270400016</c:v>
                </c:pt>
                <c:pt idx="23">
                  <c:v>-7082.746357760002</c:v>
                </c:pt>
                <c:pt idx="24">
                  <c:v>-7871.1036000000004</c:v>
                </c:pt>
                <c:pt idx="25">
                  <c:v>-8703.9703737600012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C-41A9-B258-5963E68D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88288"/>
        <c:axId val="929149312"/>
      </c:scatterChart>
      <c:valAx>
        <c:axId val="9219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9149312"/>
        <c:crosses val="autoZero"/>
        <c:crossBetween val="midCat"/>
      </c:valAx>
      <c:valAx>
        <c:axId val="9291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Qproy-Qadm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19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Dimensión</a:t>
            </a:r>
            <a:r>
              <a:rPr lang="es-MX" baseline="0"/>
              <a:t> (m)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529459217510717"/>
          <c:y val="0.19874301498603"/>
          <c:w val="0.8197054955906129"/>
          <c:h val="0.695591503683007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'Ecuación General'!$O$4:$O$29</c:f>
              <c:numCache>
                <c:formatCode>0.00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</c:numCache>
            </c:numRef>
          </c:xVal>
          <c:yVal>
            <c:numRef>
              <c:f>'Ecuación General'!$AI$4:$AI$29</c:f>
              <c:numCache>
                <c:formatCode>0.00</c:formatCode>
                <c:ptCount val="26"/>
                <c:pt idx="0">
                  <c:v>985.85825907994501</c:v>
                </c:pt>
                <c:pt idx="1">
                  <c:v>944.96902098352768</c:v>
                </c:pt>
                <c:pt idx="2">
                  <c:v>879.17554290362011</c:v>
                </c:pt>
                <c:pt idx="3">
                  <c:v>789.54875505155928</c:v>
                </c:pt>
                <c:pt idx="4">
                  <c:v>676.42992206954841</c:v>
                </c:pt>
                <c:pt idx="5">
                  <c:v>512.72384533687841</c:v>
                </c:pt>
                <c:pt idx="6">
                  <c:v>353.23423328740489</c:v>
                </c:pt>
                <c:pt idx="7">
                  <c:v>168.80101373156367</c:v>
                </c:pt>
                <c:pt idx="8">
                  <c:v>-41.54285333064513</c:v>
                </c:pt>
                <c:pt idx="9">
                  <c:v>-278.7644078992214</c:v>
                </c:pt>
                <c:pt idx="10">
                  <c:v>-543.83068997416581</c:v>
                </c:pt>
                <c:pt idx="11">
                  <c:v>-837.70873955547745</c:v>
                </c:pt>
                <c:pt idx="12">
                  <c:v>-1161.3655966431566</c:v>
                </c:pt>
                <c:pt idx="13">
                  <c:v>-1515.768301237204</c:v>
                </c:pt>
                <c:pt idx="14">
                  <c:v>-1901.8838933376178</c:v>
                </c:pt>
                <c:pt idx="15">
                  <c:v>-2320.6794129444002</c:v>
                </c:pt>
                <c:pt idx="16">
                  <c:v>-2773.1219000575497</c:v>
                </c:pt>
                <c:pt idx="17">
                  <c:v>-3260.1783946770674</c:v>
                </c:pt>
                <c:pt idx="18">
                  <c:v>-3782.8159368029528</c:v>
                </c:pt>
                <c:pt idx="19">
                  <c:v>-4342.0015664352049</c:v>
                </c:pt>
                <c:pt idx="20">
                  <c:v>-4938.7023235738243</c:v>
                </c:pt>
                <c:pt idx="21">
                  <c:v>-5573.8852482188131</c:v>
                </c:pt>
                <c:pt idx="22">
                  <c:v>-6248.51738037017</c:v>
                </c:pt>
                <c:pt idx="23">
                  <c:v>-6963.5657600278928</c:v>
                </c:pt>
                <c:pt idx="24">
                  <c:v>-7719.9974271919818</c:v>
                </c:pt>
                <c:pt idx="25">
                  <c:v>-8518.7794218624422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A-476C-95E9-6C79E5AD0B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'Ecuación General'!$P$4:$P$29</c:f>
              <c:numCache>
                <c:formatCode>0.00</c:formatCode>
                <c:ptCount val="26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</c:numCache>
            </c:numRef>
          </c:xVal>
          <c:yVal>
            <c:numRef>
              <c:f>'Ecuación General'!$AI$4:$AI$29</c:f>
              <c:numCache>
                <c:formatCode>0.00</c:formatCode>
                <c:ptCount val="26"/>
                <c:pt idx="0">
                  <c:v>985.85825907994501</c:v>
                </c:pt>
                <c:pt idx="1">
                  <c:v>944.96902098352768</c:v>
                </c:pt>
                <c:pt idx="2">
                  <c:v>879.17554290362011</c:v>
                </c:pt>
                <c:pt idx="3">
                  <c:v>789.54875505155928</c:v>
                </c:pt>
                <c:pt idx="4">
                  <c:v>676.42992206954841</c:v>
                </c:pt>
                <c:pt idx="5">
                  <c:v>512.72384533687841</c:v>
                </c:pt>
                <c:pt idx="6">
                  <c:v>353.23423328740489</c:v>
                </c:pt>
                <c:pt idx="7">
                  <c:v>168.80101373156367</c:v>
                </c:pt>
                <c:pt idx="8">
                  <c:v>-41.54285333064513</c:v>
                </c:pt>
                <c:pt idx="9">
                  <c:v>-278.7644078992214</c:v>
                </c:pt>
                <c:pt idx="10">
                  <c:v>-543.83068997416581</c:v>
                </c:pt>
                <c:pt idx="11">
                  <c:v>-837.70873955547745</c:v>
                </c:pt>
                <c:pt idx="12">
                  <c:v>-1161.3655966431566</c:v>
                </c:pt>
                <c:pt idx="13">
                  <c:v>-1515.768301237204</c:v>
                </c:pt>
                <c:pt idx="14">
                  <c:v>-1901.8838933376178</c:v>
                </c:pt>
                <c:pt idx="15">
                  <c:v>-2320.6794129444002</c:v>
                </c:pt>
                <c:pt idx="16">
                  <c:v>-2773.1219000575497</c:v>
                </c:pt>
                <c:pt idx="17">
                  <c:v>-3260.1783946770674</c:v>
                </c:pt>
                <c:pt idx="18">
                  <c:v>-3782.8159368029528</c:v>
                </c:pt>
                <c:pt idx="19">
                  <c:v>-4342.0015664352049</c:v>
                </c:pt>
                <c:pt idx="20">
                  <c:v>-4938.7023235738243</c:v>
                </c:pt>
                <c:pt idx="21">
                  <c:v>-5573.8852482188131</c:v>
                </c:pt>
                <c:pt idx="22">
                  <c:v>-6248.51738037017</c:v>
                </c:pt>
                <c:pt idx="23">
                  <c:v>-6963.5657600278928</c:v>
                </c:pt>
                <c:pt idx="24">
                  <c:v>-7719.9974271919818</c:v>
                </c:pt>
                <c:pt idx="25">
                  <c:v>-8518.7794218624422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A-476C-95E9-6C79E5AD0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88288"/>
        <c:axId val="929149312"/>
      </c:scatterChart>
      <c:valAx>
        <c:axId val="9219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9149312"/>
        <c:crosses val="autoZero"/>
        <c:crossBetween val="midCat"/>
      </c:valAx>
      <c:valAx>
        <c:axId val="9291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Qproy-Qadm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19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Dimensión</a:t>
            </a:r>
            <a:r>
              <a:rPr lang="es-MX" baseline="0"/>
              <a:t> (m)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529459217510717"/>
          <c:y val="0.19874301498603"/>
          <c:w val="0.8197054955906129"/>
          <c:h val="0.695591503683007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Vesic!$O$4:$O$29</c:f>
              <c:numCache>
                <c:formatCode>0.00</c:formatCode>
                <c:ptCount val="2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</c:numCache>
            </c:numRef>
          </c:xVal>
          <c:yVal>
            <c:numRef>
              <c:f>Vesic!$AP$4:$AP$29</c:f>
              <c:numCache>
                <c:formatCode>0.00</c:formatCode>
                <c:ptCount val="26"/>
                <c:pt idx="0">
                  <c:v>984.54614366157955</c:v>
                </c:pt>
                <c:pt idx="1">
                  <c:v>943.12081416094452</c:v>
                </c:pt>
                <c:pt idx="2">
                  <c:v>875.16484418810603</c:v>
                </c:pt>
                <c:pt idx="3">
                  <c:v>782.59742984419302</c:v>
                </c:pt>
                <c:pt idx="4">
                  <c:v>665.83366260183379</c:v>
                </c:pt>
                <c:pt idx="5">
                  <c:v>497.23419868476611</c:v>
                </c:pt>
                <c:pt idx="6">
                  <c:v>332.93622940184821</c:v>
                </c:pt>
                <c:pt idx="7">
                  <c:v>143.1907737903083</c:v>
                </c:pt>
                <c:pt idx="8">
                  <c:v>-72.912474082788776</c:v>
                </c:pt>
                <c:pt idx="9">
                  <c:v>-316.28387611078915</c:v>
                </c:pt>
                <c:pt idx="10">
                  <c:v>-587.83385297311111</c:v>
                </c:pt>
                <c:pt idx="11">
                  <c:v>-888.4728729402093</c:v>
                </c:pt>
                <c:pt idx="12">
                  <c:v>-1219.1114402419194</c:v>
                </c:pt>
                <c:pt idx="13">
                  <c:v>-1580.6600857651997</c:v>
                </c:pt>
                <c:pt idx="14">
                  <c:v>-1974.0293601402645</c:v>
                </c:pt>
                <c:pt idx="15">
                  <c:v>-2400.1298287163718</c:v>
                </c:pt>
                <c:pt idx="16">
                  <c:v>-2859.8720679231933</c:v>
                </c:pt>
                <c:pt idx="17">
                  <c:v>-3354.166662622848</c:v>
                </c:pt>
                <c:pt idx="18">
                  <c:v>-3883.9242041663138</c:v>
                </c:pt>
                <c:pt idx="19">
                  <c:v>-4450.055288952276</c:v>
                </c:pt>
                <c:pt idx="20">
                  <c:v>-5053.4705173470575</c:v>
                </c:pt>
                <c:pt idx="21">
                  <c:v>-5695.0804928664702</c:v>
                </c:pt>
                <c:pt idx="22">
                  <c:v>-6375.7958215495992</c:v>
                </c:pt>
                <c:pt idx="23">
                  <c:v>-7096.5271114746802</c:v>
                </c:pt>
                <c:pt idx="24">
                  <c:v>-7858.1849723813084</c:v>
                </c:pt>
                <c:pt idx="25">
                  <c:v>-8661.6800153729328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B-4C85-80D3-3E77E51CD0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Vesic!$P$4:$P$29</c:f>
              <c:numCache>
                <c:formatCode>0.00</c:formatCode>
                <c:ptCount val="26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</c:numCache>
            </c:numRef>
          </c:xVal>
          <c:yVal>
            <c:numRef>
              <c:f>Vesic!$AP$4:$AP$29</c:f>
              <c:numCache>
                <c:formatCode>0.00</c:formatCode>
                <c:ptCount val="26"/>
                <c:pt idx="0">
                  <c:v>984.54614366157955</c:v>
                </c:pt>
                <c:pt idx="1">
                  <c:v>943.12081416094452</c:v>
                </c:pt>
                <c:pt idx="2">
                  <c:v>875.16484418810603</c:v>
                </c:pt>
                <c:pt idx="3">
                  <c:v>782.59742984419302</c:v>
                </c:pt>
                <c:pt idx="4">
                  <c:v>665.83366260183379</c:v>
                </c:pt>
                <c:pt idx="5">
                  <c:v>497.23419868476611</c:v>
                </c:pt>
                <c:pt idx="6">
                  <c:v>332.93622940184821</c:v>
                </c:pt>
                <c:pt idx="7">
                  <c:v>143.1907737903083</c:v>
                </c:pt>
                <c:pt idx="8">
                  <c:v>-72.912474082788776</c:v>
                </c:pt>
                <c:pt idx="9">
                  <c:v>-316.28387611078915</c:v>
                </c:pt>
                <c:pt idx="10">
                  <c:v>-587.83385297311111</c:v>
                </c:pt>
                <c:pt idx="11">
                  <c:v>-888.4728729402093</c:v>
                </c:pt>
                <c:pt idx="12">
                  <c:v>-1219.1114402419194</c:v>
                </c:pt>
                <c:pt idx="13">
                  <c:v>-1580.6600857651997</c:v>
                </c:pt>
                <c:pt idx="14">
                  <c:v>-1974.0293601402645</c:v>
                </c:pt>
                <c:pt idx="15">
                  <c:v>-2400.1298287163718</c:v>
                </c:pt>
                <c:pt idx="16">
                  <c:v>-2859.8720679231933</c:v>
                </c:pt>
                <c:pt idx="17">
                  <c:v>-3354.166662622848</c:v>
                </c:pt>
                <c:pt idx="18">
                  <c:v>-3883.9242041663138</c:v>
                </c:pt>
                <c:pt idx="19">
                  <c:v>-4450.055288952276</c:v>
                </c:pt>
                <c:pt idx="20">
                  <c:v>-5053.4705173470575</c:v>
                </c:pt>
                <c:pt idx="21">
                  <c:v>-5695.0804928664702</c:v>
                </c:pt>
                <c:pt idx="22">
                  <c:v>-6375.7958215495992</c:v>
                </c:pt>
                <c:pt idx="23">
                  <c:v>-7096.5271114746802</c:v>
                </c:pt>
                <c:pt idx="24">
                  <c:v>-7858.1849723813084</c:v>
                </c:pt>
                <c:pt idx="25">
                  <c:v>-8661.6800153729328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B-4C85-80D3-3E77E51C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988288"/>
        <c:axId val="929149312"/>
      </c:scatterChart>
      <c:valAx>
        <c:axId val="9219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9149312"/>
        <c:crosses val="autoZero"/>
        <c:crossBetween val="midCat"/>
      </c:valAx>
      <c:valAx>
        <c:axId val="9291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Qproy-Qadm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19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9530626225041339"/>
          <c:y val="0.17171296296296296"/>
          <c:w val="0.75193592928436892"/>
          <c:h val="0.62329432779235916"/>
        </c:manualLayout>
      </c:layout>
      <c:scatterChart>
        <c:scatterStyle val="smoothMarker"/>
        <c:varyColors val="0"/>
        <c:ser>
          <c:idx val="0"/>
          <c:order val="0"/>
          <c:tx>
            <c:v>Dimensión de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'Tercer Parcial'!$S$4:$S$38</c:f>
              <c:numCache>
                <c:formatCode>0.00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</c:numCache>
            </c:numRef>
          </c:xVal>
          <c:yVal>
            <c:numRef>
              <c:f>'Tercer Parcial'!$BD$4:$BD$38</c:f>
              <c:numCache>
                <c:formatCode>0.000</c:formatCode>
                <c:ptCount val="35"/>
                <c:pt idx="0">
                  <c:v>2128.7112211553335</c:v>
                </c:pt>
                <c:pt idx="1">
                  <c:v>1448.0948186889389</c:v>
                </c:pt>
                <c:pt idx="2">
                  <c:v>1089.4674768100822</c:v>
                </c:pt>
                <c:pt idx="3">
                  <c:v>856.58927932140739</c:v>
                </c:pt>
                <c:pt idx="4">
                  <c:v>692.06334026275704</c:v>
                </c:pt>
                <c:pt idx="5">
                  <c:v>570.47042511292182</c:v>
                </c:pt>
                <c:pt idx="6">
                  <c:v>477.99422628187546</c:v>
                </c:pt>
                <c:pt idx="7">
                  <c:v>406.18438665383798</c:v>
                </c:pt>
                <c:pt idx="8">
                  <c:v>349.48783908982085</c:v>
                </c:pt>
                <c:pt idx="9">
                  <c:v>304.08502400751979</c:v>
                </c:pt>
                <c:pt idx="10">
                  <c:v>267.26659714018865</c:v>
                </c:pt>
                <c:pt idx="11">
                  <c:v>237.06732117985786</c:v>
                </c:pt>
                <c:pt idx="12">
                  <c:v>212.0365938271066</c:v>
                </c:pt>
                <c:pt idx="13">
                  <c:v>191.08798559416499</c:v>
                </c:pt>
                <c:pt idx="14">
                  <c:v>173.39739927198096</c:v>
                </c:pt>
                <c:pt idx="15">
                  <c:v>158.33251337623986</c:v>
                </c:pt>
                <c:pt idx="16">
                  <c:v>145.40300764840484</c:v>
                </c:pt>
                <c:pt idx="17">
                  <c:v>134.2249238949949</c:v>
                </c:pt>
                <c:pt idx="18">
                  <c:v>124.49481870538754</c:v>
                </c:pt>
                <c:pt idx="19">
                  <c:v>115.97080133354248</c:v>
                </c:pt>
                <c:pt idx="20">
                  <c:v>108.45847530864104</c:v>
                </c:pt>
                <c:pt idx="21">
                  <c:v>101.80041265842196</c:v>
                </c:pt>
                <c:pt idx="22">
                  <c:v>95.868199741751909</c:v>
                </c:pt>
                <c:pt idx="23">
                  <c:v>90.556373449642578</c:v>
                </c:pt>
                <c:pt idx="24">
                  <c:v>85.777759830697292</c:v>
                </c:pt>
                <c:pt idx="25">
                  <c:v>81.459862265067812</c:v>
                </c:pt>
                <c:pt idx="26">
                  <c:v>77.542041662701209</c:v>
                </c:pt>
                <c:pt idx="27">
                  <c:v>73.973299118560803</c:v>
                </c:pt>
                <c:pt idx="28">
                  <c:v>70.710520325979459</c:v>
                </c:pt>
                <c:pt idx="29">
                  <c:v>67.717076491651497</c:v>
                </c:pt>
                <c:pt idx="30">
                  <c:v>64.961702410882836</c:v>
                </c:pt>
                <c:pt idx="31">
                  <c:v>62.417591459287742</c:v>
                </c:pt>
                <c:pt idx="32">
                  <c:v>60.061661436824117</c:v>
                </c:pt>
                <c:pt idx="33">
                  <c:v>57.873955804776564</c:v>
                </c:pt>
                <c:pt idx="34">
                  <c:v>55.837152842840474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152-4668-9BF9-B34CB595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04960"/>
        <c:axId val="1266001840"/>
      </c:scatterChart>
      <c:valAx>
        <c:axId val="13367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Dimesión</a:t>
                </a:r>
                <a:r>
                  <a:rPr lang="es-MX" baseline="0"/>
                  <a:t> de B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001840"/>
        <c:crosses val="autoZero"/>
        <c:crossBetween val="midCat"/>
      </c:valAx>
      <c:valAx>
        <c:axId val="12660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Asentamiento</a:t>
                </a:r>
                <a:r>
                  <a:rPr lang="es-MX" baseline="0"/>
                  <a:t> Se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67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Dimensión de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9530626225041339"/>
          <c:y val="0.17171296296296296"/>
          <c:w val="0.75193592928436892"/>
          <c:h val="0.62329432779235916"/>
        </c:manualLayout>
      </c:layout>
      <c:scatterChart>
        <c:scatterStyle val="smoothMarker"/>
        <c:varyColors val="0"/>
        <c:ser>
          <c:idx val="0"/>
          <c:order val="0"/>
          <c:tx>
            <c:v>Dimensión de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'Tercer Parcial'!$T$4:$T$38</c:f>
              <c:numCache>
                <c:formatCode>0.00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</c:numCache>
            </c:numRef>
          </c:xVal>
          <c:yVal>
            <c:numRef>
              <c:f>'Tercer Parcial'!$BD$4:$BD$38</c:f>
              <c:numCache>
                <c:formatCode>0.000</c:formatCode>
                <c:ptCount val="35"/>
                <c:pt idx="0">
                  <c:v>2128.7112211553335</c:v>
                </c:pt>
                <c:pt idx="1">
                  <c:v>1448.0948186889389</c:v>
                </c:pt>
                <c:pt idx="2">
                  <c:v>1089.4674768100822</c:v>
                </c:pt>
                <c:pt idx="3">
                  <c:v>856.58927932140739</c:v>
                </c:pt>
                <c:pt idx="4">
                  <c:v>692.06334026275704</c:v>
                </c:pt>
                <c:pt idx="5">
                  <c:v>570.47042511292182</c:v>
                </c:pt>
                <c:pt idx="6">
                  <c:v>477.99422628187546</c:v>
                </c:pt>
                <c:pt idx="7">
                  <c:v>406.18438665383798</c:v>
                </c:pt>
                <c:pt idx="8">
                  <c:v>349.48783908982085</c:v>
                </c:pt>
                <c:pt idx="9">
                  <c:v>304.08502400751979</c:v>
                </c:pt>
                <c:pt idx="10">
                  <c:v>267.26659714018865</c:v>
                </c:pt>
                <c:pt idx="11">
                  <c:v>237.06732117985786</c:v>
                </c:pt>
                <c:pt idx="12">
                  <c:v>212.0365938271066</c:v>
                </c:pt>
                <c:pt idx="13">
                  <c:v>191.08798559416499</c:v>
                </c:pt>
                <c:pt idx="14">
                  <c:v>173.39739927198096</c:v>
                </c:pt>
                <c:pt idx="15">
                  <c:v>158.33251337623986</c:v>
                </c:pt>
                <c:pt idx="16">
                  <c:v>145.40300764840484</c:v>
                </c:pt>
                <c:pt idx="17">
                  <c:v>134.2249238949949</c:v>
                </c:pt>
                <c:pt idx="18">
                  <c:v>124.49481870538754</c:v>
                </c:pt>
                <c:pt idx="19">
                  <c:v>115.97080133354248</c:v>
                </c:pt>
                <c:pt idx="20">
                  <c:v>108.45847530864104</c:v>
                </c:pt>
                <c:pt idx="21">
                  <c:v>101.80041265842196</c:v>
                </c:pt>
                <c:pt idx="22">
                  <c:v>95.868199741751909</c:v>
                </c:pt>
                <c:pt idx="23">
                  <c:v>90.556373449642578</c:v>
                </c:pt>
                <c:pt idx="24">
                  <c:v>85.777759830697292</c:v>
                </c:pt>
                <c:pt idx="25">
                  <c:v>81.459862265067812</c:v>
                </c:pt>
                <c:pt idx="26">
                  <c:v>77.542041662701209</c:v>
                </c:pt>
                <c:pt idx="27">
                  <c:v>73.973299118560803</c:v>
                </c:pt>
                <c:pt idx="28">
                  <c:v>70.710520325979459</c:v>
                </c:pt>
                <c:pt idx="29">
                  <c:v>67.717076491651497</c:v>
                </c:pt>
                <c:pt idx="30">
                  <c:v>64.961702410882836</c:v>
                </c:pt>
                <c:pt idx="31">
                  <c:v>62.417591459287742</c:v>
                </c:pt>
                <c:pt idx="32">
                  <c:v>60.061661436824117</c:v>
                </c:pt>
                <c:pt idx="33">
                  <c:v>57.873955804776564</c:v>
                </c:pt>
                <c:pt idx="34">
                  <c:v>55.837152842840474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9-45C3-87B5-0086AF1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04960"/>
        <c:axId val="1266001840"/>
      </c:scatterChart>
      <c:valAx>
        <c:axId val="13367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Dimesión</a:t>
                </a:r>
                <a:r>
                  <a:rPr lang="es-MX" baseline="0"/>
                  <a:t> de B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001840"/>
        <c:crosses val="autoZero"/>
        <c:crossBetween val="midCat"/>
      </c:valAx>
      <c:valAx>
        <c:axId val="12660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Asentamiento</a:t>
                </a:r>
                <a:r>
                  <a:rPr lang="es-MX" baseline="0"/>
                  <a:t> Se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67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F$13" lockText="1" noThreeD="1"/>
</file>

<file path=xl/ctrlProps/ctrlProp10.xml><?xml version="1.0" encoding="utf-8"?>
<formControlPr xmlns="http://schemas.microsoft.com/office/spreadsheetml/2009/9/main" objectType="Radio" firstButton="1" fmlaLink="$G$13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firstButton="1" fmlaLink="$G$25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checked="Checked" lockText="1" noThreeD="1"/>
</file>

<file path=xl/ctrlProps/ctrlProp17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firstButton="1" fmlaLink="$F$13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firstButton="1" fmlaLink="$F$13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8</xdr:row>
          <xdr:rowOff>161925</xdr:rowOff>
        </xdr:from>
        <xdr:to>
          <xdr:col>10</xdr:col>
          <xdr:colOff>1638300</xdr:colOff>
          <xdr:row>10</xdr:row>
          <xdr:rowOff>19050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 la superficie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9</xdr:row>
          <xdr:rowOff>171450</xdr:rowOff>
        </xdr:from>
        <xdr:to>
          <xdr:col>10</xdr:col>
          <xdr:colOff>1533525</xdr:colOff>
          <xdr:row>11</xdr:row>
          <xdr:rowOff>38100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freatico abajo del desplante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10</xdr:row>
          <xdr:rowOff>152400</xdr:rowOff>
        </xdr:from>
        <xdr:to>
          <xdr:col>13</xdr:col>
          <xdr:colOff>190500</xdr:colOff>
          <xdr:row>12</xdr:row>
          <xdr:rowOff>19050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entre superficie y desplante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704850</xdr:colOff>
      <xdr:row>38</xdr:row>
      <xdr:rowOff>104775</xdr:rowOff>
    </xdr:from>
    <xdr:to>
      <xdr:col>22</xdr:col>
      <xdr:colOff>259291</xdr:colOff>
      <xdr:row>55</xdr:row>
      <xdr:rowOff>15875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639679</xdr:colOff>
      <xdr:row>13</xdr:row>
      <xdr:rowOff>130342</xdr:rowOff>
    </xdr:from>
    <xdr:to>
      <xdr:col>10</xdr:col>
      <xdr:colOff>970548</xdr:colOff>
      <xdr:row>19</xdr:row>
      <xdr:rowOff>160421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078454" y="2768767"/>
          <a:ext cx="330869" cy="1173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521368</xdr:colOff>
      <xdr:row>19</xdr:row>
      <xdr:rowOff>160421</xdr:rowOff>
    </xdr:from>
    <xdr:to>
      <xdr:col>11</xdr:col>
      <xdr:colOff>531394</xdr:colOff>
      <xdr:row>21</xdr:row>
      <xdr:rowOff>90237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950493" y="4170446"/>
          <a:ext cx="1838826" cy="310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120315</xdr:colOff>
      <xdr:row>13</xdr:row>
      <xdr:rowOff>140369</xdr:rowOff>
    </xdr:from>
    <xdr:to>
      <xdr:col>8</xdr:col>
      <xdr:colOff>130342</xdr:colOff>
      <xdr:row>21</xdr:row>
      <xdr:rowOff>100263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4549440" y="3007394"/>
          <a:ext cx="10027" cy="14838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120316</xdr:colOff>
      <xdr:row>21</xdr:row>
      <xdr:rowOff>80211</xdr:rowOff>
    </xdr:from>
    <xdr:to>
      <xdr:col>12</xdr:col>
      <xdr:colOff>441158</xdr:colOff>
      <xdr:row>21</xdr:row>
      <xdr:rowOff>100263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549441" y="4471236"/>
          <a:ext cx="2759242" cy="2005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110289</xdr:colOff>
      <xdr:row>13</xdr:row>
      <xdr:rowOff>140368</xdr:rowOff>
    </xdr:from>
    <xdr:to>
      <xdr:col>12</xdr:col>
      <xdr:colOff>481263</xdr:colOff>
      <xdr:row>13</xdr:row>
      <xdr:rowOff>140368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539414" y="3007393"/>
          <a:ext cx="2809374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142875</xdr:rowOff>
    </xdr:from>
    <xdr:to>
      <xdr:col>13</xdr:col>
      <xdr:colOff>9525</xdr:colOff>
      <xdr:row>19</xdr:row>
      <xdr:rowOff>152400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039100" y="2781300"/>
          <a:ext cx="9525" cy="1152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8</xdr:row>
          <xdr:rowOff>171450</xdr:rowOff>
        </xdr:from>
        <xdr:to>
          <xdr:col>10</xdr:col>
          <xdr:colOff>9525</xdr:colOff>
          <xdr:row>10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 la superficie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</xdr:row>
          <xdr:rowOff>161925</xdr:rowOff>
        </xdr:from>
        <xdr:to>
          <xdr:col>9</xdr:col>
          <xdr:colOff>514350</xdr:colOff>
          <xdr:row>11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freatico abajo del desplante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10</xdr:row>
          <xdr:rowOff>161925</xdr:rowOff>
        </xdr:from>
        <xdr:to>
          <xdr:col>10</xdr:col>
          <xdr:colOff>333375</xdr:colOff>
          <xdr:row>12</xdr:row>
          <xdr:rowOff>28575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entre superficie y desplante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21168</xdr:colOff>
      <xdr:row>31</xdr:row>
      <xdr:rowOff>14818</xdr:rowOff>
    </xdr:from>
    <xdr:to>
      <xdr:col>24</xdr:col>
      <xdr:colOff>169334</xdr:colOff>
      <xdr:row>47</xdr:row>
      <xdr:rowOff>116418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30079</xdr:colOff>
      <xdr:row>14</xdr:row>
      <xdr:rowOff>130342</xdr:rowOff>
    </xdr:from>
    <xdr:to>
      <xdr:col>9</xdr:col>
      <xdr:colOff>360948</xdr:colOff>
      <xdr:row>20</xdr:row>
      <xdr:rowOff>160421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5678404" y="2806867"/>
          <a:ext cx="330869" cy="1173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521368</xdr:colOff>
      <xdr:row>20</xdr:row>
      <xdr:rowOff>160421</xdr:rowOff>
    </xdr:from>
    <xdr:to>
      <xdr:col>10</xdr:col>
      <xdr:colOff>531394</xdr:colOff>
      <xdr:row>22</xdr:row>
      <xdr:rowOff>90237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4950493" y="3979946"/>
          <a:ext cx="1838826" cy="310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120315</xdr:colOff>
      <xdr:row>14</xdr:row>
      <xdr:rowOff>140369</xdr:rowOff>
    </xdr:from>
    <xdr:to>
      <xdr:col>7</xdr:col>
      <xdr:colOff>130342</xdr:colOff>
      <xdr:row>22</xdr:row>
      <xdr:rowOff>100263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4549440" y="2816894"/>
          <a:ext cx="10027" cy="14838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120316</xdr:colOff>
      <xdr:row>22</xdr:row>
      <xdr:rowOff>80211</xdr:rowOff>
    </xdr:from>
    <xdr:to>
      <xdr:col>11</xdr:col>
      <xdr:colOff>441158</xdr:colOff>
      <xdr:row>22</xdr:row>
      <xdr:rowOff>100263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4549441" y="4280736"/>
          <a:ext cx="2759242" cy="2005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110289</xdr:colOff>
      <xdr:row>14</xdr:row>
      <xdr:rowOff>140368</xdr:rowOff>
    </xdr:from>
    <xdr:to>
      <xdr:col>11</xdr:col>
      <xdr:colOff>481263</xdr:colOff>
      <xdr:row>14</xdr:row>
      <xdr:rowOff>140368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>
          <a:off x="4539414" y="2816893"/>
          <a:ext cx="2809374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14</xdr:row>
      <xdr:rowOff>133350</xdr:rowOff>
    </xdr:from>
    <xdr:to>
      <xdr:col>11</xdr:col>
      <xdr:colOff>466725</xdr:colOff>
      <xdr:row>19</xdr:row>
      <xdr:rowOff>57150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H="1">
          <a:off x="7324725" y="3000375"/>
          <a:ext cx="952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142875</xdr:rowOff>
        </xdr:from>
        <xdr:to>
          <xdr:col>9</xdr:col>
          <xdr:colOff>581025</xdr:colOff>
          <xdr:row>10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 la superficie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9</xdr:row>
          <xdr:rowOff>142875</xdr:rowOff>
        </xdr:from>
        <xdr:to>
          <xdr:col>9</xdr:col>
          <xdr:colOff>495300</xdr:colOff>
          <xdr:row>11</xdr:row>
          <xdr:rowOff>9525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freatico abajo del desplante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10</xdr:row>
          <xdr:rowOff>161925</xdr:rowOff>
        </xdr:from>
        <xdr:to>
          <xdr:col>10</xdr:col>
          <xdr:colOff>514350</xdr:colOff>
          <xdr:row>12</xdr:row>
          <xdr:rowOff>9525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entre superficie y desplante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21168</xdr:colOff>
      <xdr:row>31</xdr:row>
      <xdr:rowOff>14818</xdr:rowOff>
    </xdr:from>
    <xdr:to>
      <xdr:col>24</xdr:col>
      <xdr:colOff>169334</xdr:colOff>
      <xdr:row>47</xdr:row>
      <xdr:rowOff>116418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30079</xdr:colOff>
      <xdr:row>13</xdr:row>
      <xdr:rowOff>130342</xdr:rowOff>
    </xdr:from>
    <xdr:to>
      <xdr:col>9</xdr:col>
      <xdr:colOff>360948</xdr:colOff>
      <xdr:row>19</xdr:row>
      <xdr:rowOff>160421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116804" y="2416342"/>
          <a:ext cx="330869" cy="1173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521368</xdr:colOff>
      <xdr:row>19</xdr:row>
      <xdr:rowOff>160421</xdr:rowOff>
    </xdr:from>
    <xdr:to>
      <xdr:col>10</xdr:col>
      <xdr:colOff>531394</xdr:colOff>
      <xdr:row>21</xdr:row>
      <xdr:rowOff>90237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388893" y="3589421"/>
          <a:ext cx="1838826" cy="310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120315</xdr:colOff>
      <xdr:row>13</xdr:row>
      <xdr:rowOff>140369</xdr:rowOff>
    </xdr:from>
    <xdr:to>
      <xdr:col>7</xdr:col>
      <xdr:colOff>130342</xdr:colOff>
      <xdr:row>21</xdr:row>
      <xdr:rowOff>100263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H="1">
          <a:off x="6987840" y="2426369"/>
          <a:ext cx="10027" cy="14838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120316</xdr:colOff>
      <xdr:row>21</xdr:row>
      <xdr:rowOff>80211</xdr:rowOff>
    </xdr:from>
    <xdr:to>
      <xdr:col>11</xdr:col>
      <xdr:colOff>441158</xdr:colOff>
      <xdr:row>21</xdr:row>
      <xdr:rowOff>100263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6987841" y="3890211"/>
          <a:ext cx="2759242" cy="2005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110289</xdr:colOff>
      <xdr:row>13</xdr:row>
      <xdr:rowOff>140368</xdr:rowOff>
    </xdr:from>
    <xdr:to>
      <xdr:col>11</xdr:col>
      <xdr:colOff>481263</xdr:colOff>
      <xdr:row>13</xdr:row>
      <xdr:rowOff>140368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6977814" y="2426368"/>
          <a:ext cx="2809374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13</xdr:row>
      <xdr:rowOff>137583</xdr:rowOff>
    </xdr:from>
    <xdr:to>
      <xdr:col>11</xdr:col>
      <xdr:colOff>486834</xdr:colOff>
      <xdr:row>19</xdr:row>
      <xdr:rowOff>127000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>
          <a:off x="7387167" y="2825750"/>
          <a:ext cx="10584" cy="11324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13</xdr:row>
          <xdr:rowOff>123825</xdr:rowOff>
        </xdr:from>
        <xdr:to>
          <xdr:col>11</xdr:col>
          <xdr:colOff>0</xdr:colOff>
          <xdr:row>14</xdr:row>
          <xdr:rowOff>180975</xdr:rowOff>
        </xdr:to>
        <xdr:sp macro="" textlink="">
          <xdr:nvSpPr>
            <xdr:cNvPr id="7169" name="Option 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 la superficie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15</xdr:row>
          <xdr:rowOff>123825</xdr:rowOff>
        </xdr:from>
        <xdr:to>
          <xdr:col>10</xdr:col>
          <xdr:colOff>504825</xdr:colOff>
          <xdr:row>16</xdr:row>
          <xdr:rowOff>180975</xdr:rowOff>
        </xdr:to>
        <xdr:sp macro="" textlink="">
          <xdr:nvSpPr>
            <xdr:cNvPr id="7170" name="Option 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freatico abajo del desplante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18</xdr:row>
          <xdr:rowOff>123825</xdr:rowOff>
        </xdr:from>
        <xdr:to>
          <xdr:col>11</xdr:col>
          <xdr:colOff>314325</xdr:colOff>
          <xdr:row>19</xdr:row>
          <xdr:rowOff>180975</xdr:rowOff>
        </xdr:to>
        <xdr:sp macro="" textlink="">
          <xdr:nvSpPr>
            <xdr:cNvPr id="7171" name="Option 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entre superficie y desplante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11</xdr:row>
          <xdr:rowOff>123825</xdr:rowOff>
        </xdr:from>
        <xdr:to>
          <xdr:col>11</xdr:col>
          <xdr:colOff>371475</xdr:colOff>
          <xdr:row>21</xdr:row>
          <xdr:rowOff>95250</xdr:rowOff>
        </xdr:to>
        <xdr:sp macro="" textlink="">
          <xdr:nvSpPr>
            <xdr:cNvPr id="7172" name="Group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Parte superior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23</xdr:row>
          <xdr:rowOff>123825</xdr:rowOff>
        </xdr:from>
        <xdr:to>
          <xdr:col>11</xdr:col>
          <xdr:colOff>0</xdr:colOff>
          <xdr:row>24</xdr:row>
          <xdr:rowOff>180975</xdr:rowOff>
        </xdr:to>
        <xdr:sp macro="" textlink="">
          <xdr:nvSpPr>
            <xdr:cNvPr id="7173" name="Option Butto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 la superficie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25</xdr:row>
          <xdr:rowOff>123825</xdr:rowOff>
        </xdr:from>
        <xdr:to>
          <xdr:col>10</xdr:col>
          <xdr:colOff>504825</xdr:colOff>
          <xdr:row>26</xdr:row>
          <xdr:rowOff>180975</xdr:rowOff>
        </xdr:to>
        <xdr:sp macro="" textlink="">
          <xdr:nvSpPr>
            <xdr:cNvPr id="7174" name="Option Butto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freatico abajo del desplante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27</xdr:row>
          <xdr:rowOff>123825</xdr:rowOff>
        </xdr:from>
        <xdr:to>
          <xdr:col>11</xdr:col>
          <xdr:colOff>257175</xdr:colOff>
          <xdr:row>28</xdr:row>
          <xdr:rowOff>171450</xdr:rowOff>
        </xdr:to>
        <xdr:sp macro="" textlink="">
          <xdr:nvSpPr>
            <xdr:cNvPr id="7175" name="Option Butto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3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Nivel fratico entre superficie y desplante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21</xdr:row>
          <xdr:rowOff>133350</xdr:rowOff>
        </xdr:from>
        <xdr:to>
          <xdr:col>11</xdr:col>
          <xdr:colOff>361950</xdr:colOff>
          <xdr:row>30</xdr:row>
          <xdr:rowOff>123825</xdr:rowOff>
        </xdr:to>
        <xdr:sp macro="" textlink="">
          <xdr:nvSpPr>
            <xdr:cNvPr id="7176" name="Group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3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Parte inferior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30079</xdr:colOff>
      <xdr:row>10</xdr:row>
      <xdr:rowOff>130342</xdr:rowOff>
    </xdr:from>
    <xdr:to>
      <xdr:col>14</xdr:col>
      <xdr:colOff>360948</xdr:colOff>
      <xdr:row>16</xdr:row>
      <xdr:rowOff>160421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141368" y="2416342"/>
          <a:ext cx="330869" cy="1173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521368</xdr:colOff>
      <xdr:row>16</xdr:row>
      <xdr:rowOff>160421</xdr:rowOff>
    </xdr:from>
    <xdr:to>
      <xdr:col>15</xdr:col>
      <xdr:colOff>531394</xdr:colOff>
      <xdr:row>18</xdr:row>
      <xdr:rowOff>90237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409447" y="3589421"/>
          <a:ext cx="1844842" cy="310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120315</xdr:colOff>
      <xdr:row>10</xdr:row>
      <xdr:rowOff>140369</xdr:rowOff>
    </xdr:from>
    <xdr:to>
      <xdr:col>12</xdr:col>
      <xdr:colOff>130342</xdr:colOff>
      <xdr:row>18</xdr:row>
      <xdr:rowOff>100263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7008394" y="2426369"/>
          <a:ext cx="10027" cy="14838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110289</xdr:colOff>
      <xdr:row>18</xdr:row>
      <xdr:rowOff>90237</xdr:rowOff>
    </xdr:from>
    <xdr:to>
      <xdr:col>12</xdr:col>
      <xdr:colOff>120316</xdr:colOff>
      <xdr:row>26</xdr:row>
      <xdr:rowOff>50131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6998368" y="3900237"/>
          <a:ext cx="10027" cy="14838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581526</xdr:colOff>
      <xdr:row>26</xdr:row>
      <xdr:rowOff>70184</xdr:rowOff>
    </xdr:from>
    <xdr:to>
      <xdr:col>16</xdr:col>
      <xdr:colOff>360947</xdr:colOff>
      <xdr:row>26</xdr:row>
      <xdr:rowOff>80211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858000" y="5404184"/>
          <a:ext cx="2837447" cy="1002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120316</xdr:colOff>
      <xdr:row>18</xdr:row>
      <xdr:rowOff>80211</xdr:rowOff>
    </xdr:from>
    <xdr:to>
      <xdr:col>16</xdr:col>
      <xdr:colOff>441158</xdr:colOff>
      <xdr:row>18</xdr:row>
      <xdr:rowOff>100263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7008395" y="3890211"/>
          <a:ext cx="2767263" cy="2005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110289</xdr:colOff>
      <xdr:row>10</xdr:row>
      <xdr:rowOff>140368</xdr:rowOff>
    </xdr:from>
    <xdr:to>
      <xdr:col>16</xdr:col>
      <xdr:colOff>481263</xdr:colOff>
      <xdr:row>10</xdr:row>
      <xdr:rowOff>140368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6998368" y="2426368"/>
          <a:ext cx="281739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469445</xdr:colOff>
      <xdr:row>30</xdr:row>
      <xdr:rowOff>179615</xdr:rowOff>
    </xdr:from>
    <xdr:to>
      <xdr:col>16</xdr:col>
      <xdr:colOff>605516</xdr:colOff>
      <xdr:row>45</xdr:row>
      <xdr:rowOff>65315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451185</xdr:colOff>
      <xdr:row>45</xdr:row>
      <xdr:rowOff>180473</xdr:rowOff>
    </xdr:from>
    <xdr:to>
      <xdr:col>16</xdr:col>
      <xdr:colOff>587255</xdr:colOff>
      <xdr:row>60</xdr:row>
      <xdr:rowOff>66173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8571</xdr:colOff>
      <xdr:row>31</xdr:row>
      <xdr:rowOff>18333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7628571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omments" Target="../comments1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32"/>
  <sheetViews>
    <sheetView showGridLines="0" topLeftCell="D1" workbookViewId="0">
      <selection activeCell="T8" sqref="T8"/>
    </sheetView>
  </sheetViews>
  <sheetFormatPr baseColWidth="10" defaultColWidth="9.140625" defaultRowHeight="15" x14ac:dyDescent="0.25"/>
  <cols>
    <col min="2" max="2" width="10.7109375" bestFit="1" customWidth="1"/>
    <col min="3" max="3" width="5" bestFit="1" customWidth="1"/>
    <col min="4" max="4" width="17.42578125" bestFit="1" customWidth="1"/>
    <col min="5" max="5" width="5.5703125" bestFit="1" customWidth="1"/>
    <col min="6" max="6" width="7" bestFit="1" customWidth="1"/>
    <col min="7" max="7" width="7.140625" bestFit="1" customWidth="1"/>
    <col min="8" max="8" width="5.7109375" bestFit="1" customWidth="1"/>
    <col min="9" max="9" width="6.7109375" bestFit="1" customWidth="1"/>
    <col min="10" max="10" width="7.140625" bestFit="1" customWidth="1"/>
    <col min="11" max="11" width="28.42578125" bestFit="1" customWidth="1"/>
    <col min="12" max="12" width="4.5703125" bestFit="1" customWidth="1"/>
    <col min="13" max="13" width="6" bestFit="1" customWidth="1"/>
    <col min="14" max="14" width="5" bestFit="1" customWidth="1"/>
    <col min="15" max="15" width="6" bestFit="1" customWidth="1"/>
    <col min="16" max="16" width="3" bestFit="1" customWidth="1"/>
    <col min="17" max="18" width="4.5703125" style="23" bestFit="1" customWidth="1"/>
    <col min="19" max="19" width="4.140625" style="23" bestFit="1" customWidth="1"/>
    <col min="20" max="20" width="6" style="23" bestFit="1" customWidth="1"/>
    <col min="21" max="22" width="7.7109375" style="23" customWidth="1"/>
    <col min="23" max="24" width="11.5703125" style="23" customWidth="1"/>
    <col min="25" max="25" width="11.5703125" style="24" customWidth="1"/>
    <col min="26" max="27" width="7.140625" style="24" bestFit="1" customWidth="1"/>
    <col min="28" max="28" width="12.42578125" style="24" customWidth="1"/>
    <col min="29" max="29" width="9" style="23" bestFit="1" customWidth="1"/>
    <col min="30" max="30" width="12" style="23" bestFit="1" customWidth="1"/>
    <col min="31" max="31" width="12.7109375" bestFit="1" customWidth="1"/>
  </cols>
  <sheetData>
    <row r="1" spans="2:31" ht="23.25" x14ac:dyDescent="0.35">
      <c r="B1" s="106" t="s">
        <v>89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2:31" x14ac:dyDescent="0.25">
      <c r="F2" s="18">
        <v>1</v>
      </c>
      <c r="Q2" s="59" t="s">
        <v>17</v>
      </c>
      <c r="R2" s="59" t="s">
        <v>19</v>
      </c>
      <c r="S2" s="59" t="s">
        <v>20</v>
      </c>
      <c r="T2" s="59" t="s">
        <v>21</v>
      </c>
      <c r="U2" s="109" t="s">
        <v>88</v>
      </c>
      <c r="V2" s="110"/>
      <c r="W2" s="111" t="s">
        <v>78</v>
      </c>
      <c r="X2" s="112"/>
      <c r="Y2" s="113"/>
      <c r="Z2" s="111" t="s">
        <v>79</v>
      </c>
      <c r="AA2" s="112"/>
      <c r="AB2" s="113"/>
      <c r="AC2" s="59" t="s">
        <v>34</v>
      </c>
      <c r="AD2" s="59" t="s">
        <v>36</v>
      </c>
      <c r="AE2" s="59" t="s">
        <v>37</v>
      </c>
    </row>
    <row r="3" spans="2:31" ht="15.75" thickBot="1" x14ac:dyDescent="0.3">
      <c r="Q3" s="59" t="s">
        <v>18</v>
      </c>
      <c r="R3" s="59" t="s">
        <v>18</v>
      </c>
      <c r="S3" s="59" t="s">
        <v>18</v>
      </c>
      <c r="T3" s="59" t="s">
        <v>22</v>
      </c>
      <c r="U3" s="59" t="s">
        <v>80</v>
      </c>
      <c r="V3" s="59" t="s">
        <v>81</v>
      </c>
      <c r="W3" s="60" t="s">
        <v>85</v>
      </c>
      <c r="X3" s="60" t="s">
        <v>86</v>
      </c>
      <c r="Y3" s="61" t="s">
        <v>87</v>
      </c>
      <c r="Z3" s="60" t="s">
        <v>85</v>
      </c>
      <c r="AA3" s="60" t="s">
        <v>86</v>
      </c>
      <c r="AB3" s="61" t="s">
        <v>87</v>
      </c>
      <c r="AC3" s="59" t="s">
        <v>35</v>
      </c>
      <c r="AD3" s="59" t="s">
        <v>35</v>
      </c>
      <c r="AE3" s="59" t="s">
        <v>38</v>
      </c>
    </row>
    <row r="4" spans="2:31" x14ac:dyDescent="0.25">
      <c r="B4" s="1" t="s">
        <v>1</v>
      </c>
      <c r="C4" s="5">
        <v>1000</v>
      </c>
      <c r="D4" s="2" t="s">
        <v>12</v>
      </c>
      <c r="E4" s="3" t="s">
        <v>6</v>
      </c>
      <c r="F4" s="5">
        <v>25</v>
      </c>
      <c r="G4" s="4"/>
      <c r="H4" s="3" t="s">
        <v>13</v>
      </c>
      <c r="I4" s="5">
        <v>3</v>
      </c>
      <c r="J4" s="4"/>
      <c r="K4" s="4" t="s">
        <v>16</v>
      </c>
      <c r="L4" s="4"/>
      <c r="M4" s="4"/>
      <c r="N4" s="4"/>
      <c r="O4" s="6"/>
      <c r="P4" s="18">
        <v>1</v>
      </c>
      <c r="Q4" s="32">
        <f>$C$7*P4</f>
        <v>0.1</v>
      </c>
      <c r="R4" s="32">
        <f>Q4*$C$8</f>
        <v>0.2</v>
      </c>
      <c r="S4" s="31">
        <f>$C$6</f>
        <v>0.6</v>
      </c>
      <c r="T4" s="32">
        <f>IF($F$13=1,$C$6*$F$6,IF($F$13=2,$F$7*$C$6,(($C$6-$I$8)*$F$6)+$I$8*($F$6-$I$6)))</f>
        <v>9.0581999999999994</v>
      </c>
      <c r="U4" s="32">
        <f>IFERROR(1+0.3*(Q4/R4),1.3)</f>
        <v>1.1499999999999999</v>
      </c>
      <c r="V4" s="32">
        <f>IFERROR(1-0.2*(Q4/R4),1.3)</f>
        <v>0.9</v>
      </c>
      <c r="W4" s="32">
        <f>$F$4*$M$5*U4+T4*$M$6</f>
        <v>1524.4898639999999</v>
      </c>
      <c r="X4" s="32">
        <f>0.5*$F$6*Q4*$M$7*V4</f>
        <v>24.183</v>
      </c>
      <c r="Y4" s="33">
        <f>W4+X4</f>
        <v>1548.6728639999999</v>
      </c>
      <c r="Z4" s="33">
        <f>(2/3)*$F$4*$O$5*U4+T4*$O$6</f>
        <v>494.51819066666661</v>
      </c>
      <c r="AA4" s="33">
        <f>0.5*$F$6*Q4*$O$7*V4</f>
        <v>8.838000000000001</v>
      </c>
      <c r="AB4" s="33">
        <f>Z4+AA4</f>
        <v>503.35619066666663</v>
      </c>
      <c r="AC4" s="31">
        <f t="shared" ref="AC4:AC29" si="0">((Y4-T4)/$I$4)</f>
        <v>513.20488799999998</v>
      </c>
      <c r="AD4" s="31">
        <f t="shared" ref="AD4:AD29" si="1">((Q4*R4)*Y4)/$I$4</f>
        <v>10.324485760000002</v>
      </c>
      <c r="AE4" s="31">
        <f>$C$4-AD4</f>
        <v>989.67551423999998</v>
      </c>
    </row>
    <row r="5" spans="2:31" x14ac:dyDescent="0.25">
      <c r="B5" s="7" t="s">
        <v>2</v>
      </c>
      <c r="C5" s="13">
        <v>3</v>
      </c>
      <c r="D5" s="9"/>
      <c r="E5" s="10" t="s">
        <v>7</v>
      </c>
      <c r="F5" s="13">
        <v>32</v>
      </c>
      <c r="G5" s="9" t="s">
        <v>8</v>
      </c>
      <c r="H5" s="11"/>
      <c r="I5" s="9"/>
      <c r="J5" s="9"/>
      <c r="K5" s="9"/>
      <c r="L5" s="9" t="s">
        <v>39</v>
      </c>
      <c r="M5" s="25">
        <v>44.04</v>
      </c>
      <c r="N5" s="9" t="s">
        <v>82</v>
      </c>
      <c r="O5" s="26">
        <f>VLOOKUP($F$5,'Base de datos'!$N$4:$Q$54,2,0)</f>
        <v>21.16</v>
      </c>
      <c r="P5" s="18">
        <v>2</v>
      </c>
      <c r="Q5" s="32">
        <f t="shared" ref="Q5:Q29" si="2">$C$7*P5</f>
        <v>0.2</v>
      </c>
      <c r="R5" s="32">
        <f t="shared" ref="R5:R29" si="3">Q5*$C$8</f>
        <v>0.4</v>
      </c>
      <c r="S5" s="31">
        <f t="shared" ref="S5:S29" si="4">$C$6</f>
        <v>0.6</v>
      </c>
      <c r="T5" s="32">
        <f t="shared" ref="T5:T29" si="5">IF($F$13=1,$C$6*$F$6,IF($F$13=2,$F$7*$C$6,(($C$6-$I$8)*$F$6)+$I$8*($F$6-$I$6)))</f>
        <v>9.0581999999999994</v>
      </c>
      <c r="U5" s="32">
        <f t="shared" ref="U5:U29" si="6">IFERROR(1+0.3*(Q5/R5),1.3)</f>
        <v>1.1499999999999999</v>
      </c>
      <c r="V5" s="32">
        <f t="shared" ref="V5:V29" si="7">IFERROR(1-0.2*(Q5/R5),1.3)</f>
        <v>0.9</v>
      </c>
      <c r="W5" s="32">
        <f t="shared" ref="W5:W29" si="8">$F$4*$M$5*U5+T5*$M$6</f>
        <v>1524.4898639999999</v>
      </c>
      <c r="X5" s="32">
        <f t="shared" ref="X5:X29" si="9">0.5*$F$6*Q5*$M$7*V5</f>
        <v>48.366</v>
      </c>
      <c r="Y5" s="33">
        <f t="shared" ref="Y5:Y29" si="10">W5+X5</f>
        <v>1572.8558639999999</v>
      </c>
      <c r="Z5" s="33">
        <f t="shared" ref="Z5:Z29" si="11">(2/3)*$F$4*$O$5*U5+T5*$O$6</f>
        <v>494.51819066666661</v>
      </c>
      <c r="AA5" s="33">
        <f t="shared" ref="AA5:AA29" si="12">0.5*$F$6*Q5*$O$7*V5</f>
        <v>17.676000000000002</v>
      </c>
      <c r="AB5" s="33">
        <f t="shared" ref="AB5:AB29" si="13">Z5+AA5</f>
        <v>512.1941906666666</v>
      </c>
      <c r="AC5" s="31">
        <f t="shared" si="0"/>
        <v>521.26588800000002</v>
      </c>
      <c r="AD5" s="31">
        <f t="shared" si="1"/>
        <v>41.94282304</v>
      </c>
      <c r="AE5" s="31">
        <f t="shared" ref="AE5:AE29" si="14">$C$4-AD5</f>
        <v>958.05717695999999</v>
      </c>
    </row>
    <row r="6" spans="2:31" x14ac:dyDescent="0.25">
      <c r="B6" s="7" t="s">
        <v>3</v>
      </c>
      <c r="C6" s="13">
        <v>0.6</v>
      </c>
      <c r="D6" s="9"/>
      <c r="E6" s="10" t="s">
        <v>11</v>
      </c>
      <c r="F6" s="13">
        <v>20</v>
      </c>
      <c r="G6" s="9" t="s">
        <v>9</v>
      </c>
      <c r="H6" s="10" t="s">
        <v>14</v>
      </c>
      <c r="I6" s="49">
        <v>9.8059999999999992</v>
      </c>
      <c r="J6" s="9" t="s">
        <v>9</v>
      </c>
      <c r="K6" s="9"/>
      <c r="L6" s="9" t="s">
        <v>40</v>
      </c>
      <c r="M6" s="25">
        <v>28.52</v>
      </c>
      <c r="N6" s="9" t="s">
        <v>83</v>
      </c>
      <c r="O6" s="26">
        <f>VLOOKUP($F$5,'Base de datos'!$N$4:$Q$54,3,0)</f>
        <v>9.82</v>
      </c>
      <c r="P6" s="18">
        <v>3</v>
      </c>
      <c r="Q6" s="32">
        <f t="shared" si="2"/>
        <v>0.30000000000000004</v>
      </c>
      <c r="R6" s="32">
        <f t="shared" si="3"/>
        <v>0.60000000000000009</v>
      </c>
      <c r="S6" s="31">
        <f t="shared" si="4"/>
        <v>0.6</v>
      </c>
      <c r="T6" s="32">
        <f t="shared" si="5"/>
        <v>9.0581999999999994</v>
      </c>
      <c r="U6" s="32">
        <f t="shared" si="6"/>
        <v>1.1499999999999999</v>
      </c>
      <c r="V6" s="32">
        <f t="shared" si="7"/>
        <v>0.9</v>
      </c>
      <c r="W6" s="32">
        <f t="shared" si="8"/>
        <v>1524.4898639999999</v>
      </c>
      <c r="X6" s="32">
        <f t="shared" si="9"/>
        <v>72.549000000000021</v>
      </c>
      <c r="Y6" s="33">
        <f t="shared" si="10"/>
        <v>1597.0388639999999</v>
      </c>
      <c r="Z6" s="33">
        <f t="shared" si="11"/>
        <v>494.51819066666661</v>
      </c>
      <c r="AA6" s="33">
        <f t="shared" si="12"/>
        <v>26.514000000000003</v>
      </c>
      <c r="AB6" s="33">
        <f t="shared" si="13"/>
        <v>521.03219066666657</v>
      </c>
      <c r="AC6" s="31">
        <f t="shared" si="0"/>
        <v>529.32688799999994</v>
      </c>
      <c r="AD6" s="31">
        <f t="shared" si="1"/>
        <v>95.822331840000018</v>
      </c>
      <c r="AE6" s="31">
        <f t="shared" si="14"/>
        <v>904.17766815999994</v>
      </c>
    </row>
    <row r="7" spans="2:31" ht="18" x14ac:dyDescent="0.4">
      <c r="B7" s="7" t="s">
        <v>4</v>
      </c>
      <c r="C7" s="13">
        <v>0.1</v>
      </c>
      <c r="D7" s="9"/>
      <c r="E7" s="10" t="s">
        <v>10</v>
      </c>
      <c r="F7" s="8">
        <f>F6-I6</f>
        <v>10.194000000000001</v>
      </c>
      <c r="G7" s="9" t="s">
        <v>9</v>
      </c>
      <c r="H7" s="10" t="s">
        <v>56</v>
      </c>
      <c r="I7" s="49">
        <v>0</v>
      </c>
      <c r="J7" s="9" t="s">
        <v>57</v>
      </c>
      <c r="K7" s="9"/>
      <c r="L7" s="9" t="s">
        <v>41</v>
      </c>
      <c r="M7" s="25">
        <v>26.87</v>
      </c>
      <c r="N7" s="9" t="s">
        <v>84</v>
      </c>
      <c r="O7" s="26">
        <f>VLOOKUP($F$5,'Base de datos'!$N$4:$Q$54,4,0)</f>
        <v>9.82</v>
      </c>
      <c r="P7" s="18">
        <v>4</v>
      </c>
      <c r="Q7" s="32">
        <f t="shared" si="2"/>
        <v>0.4</v>
      </c>
      <c r="R7" s="32">
        <f t="shared" si="3"/>
        <v>0.8</v>
      </c>
      <c r="S7" s="31">
        <f>$C$6</f>
        <v>0.6</v>
      </c>
      <c r="T7" s="32">
        <f t="shared" si="5"/>
        <v>9.0581999999999994</v>
      </c>
      <c r="U7" s="32">
        <f t="shared" si="6"/>
        <v>1.1499999999999999</v>
      </c>
      <c r="V7" s="32">
        <f t="shared" si="7"/>
        <v>0.9</v>
      </c>
      <c r="W7" s="32">
        <f t="shared" si="8"/>
        <v>1524.4898639999999</v>
      </c>
      <c r="X7" s="32">
        <f t="shared" si="9"/>
        <v>96.731999999999999</v>
      </c>
      <c r="Y7" s="33">
        <f t="shared" si="10"/>
        <v>1621.2218639999999</v>
      </c>
      <c r="Z7" s="33">
        <f t="shared" si="11"/>
        <v>494.51819066666661</v>
      </c>
      <c r="AA7" s="33">
        <f t="shared" si="12"/>
        <v>35.352000000000004</v>
      </c>
      <c r="AB7" s="33">
        <f t="shared" si="13"/>
        <v>529.87019066666664</v>
      </c>
      <c r="AC7" s="31">
        <f t="shared" si="0"/>
        <v>537.38788799999998</v>
      </c>
      <c r="AD7" s="31">
        <f t="shared" si="1"/>
        <v>172.93033216000003</v>
      </c>
      <c r="AE7" s="31">
        <f t="shared" si="14"/>
        <v>827.06966783999997</v>
      </c>
    </row>
    <row r="8" spans="2:31" ht="15.75" thickBot="1" x14ac:dyDescent="0.3">
      <c r="B8" s="14" t="s">
        <v>5</v>
      </c>
      <c r="C8" s="15">
        <v>2</v>
      </c>
      <c r="D8" s="16" t="s">
        <v>15</v>
      </c>
      <c r="E8" s="16"/>
      <c r="F8" s="16"/>
      <c r="G8" s="16"/>
      <c r="H8" s="27" t="s">
        <v>58</v>
      </c>
      <c r="I8" s="50">
        <v>0.3</v>
      </c>
      <c r="J8" s="16"/>
      <c r="K8" s="16"/>
      <c r="L8" s="16"/>
      <c r="M8" s="28"/>
      <c r="N8" s="28"/>
      <c r="O8" s="29"/>
      <c r="P8" s="18">
        <v>5</v>
      </c>
      <c r="Q8" s="32">
        <f t="shared" si="2"/>
        <v>0.5</v>
      </c>
      <c r="R8" s="32">
        <f t="shared" si="3"/>
        <v>1</v>
      </c>
      <c r="S8" s="31">
        <f t="shared" si="4"/>
        <v>0.6</v>
      </c>
      <c r="T8" s="32">
        <f t="shared" si="5"/>
        <v>9.0581999999999994</v>
      </c>
      <c r="U8" s="32">
        <f t="shared" si="6"/>
        <v>1.1499999999999999</v>
      </c>
      <c r="V8" s="32">
        <f t="shared" si="7"/>
        <v>0.9</v>
      </c>
      <c r="W8" s="32">
        <f t="shared" si="8"/>
        <v>1524.4898639999999</v>
      </c>
      <c r="X8" s="32">
        <f t="shared" si="9"/>
        <v>120.91499999999999</v>
      </c>
      <c r="Y8" s="33">
        <f t="shared" si="10"/>
        <v>1645.4048639999999</v>
      </c>
      <c r="Z8" s="33">
        <f t="shared" si="11"/>
        <v>494.51819066666661</v>
      </c>
      <c r="AA8" s="33">
        <f t="shared" si="12"/>
        <v>44.190000000000005</v>
      </c>
      <c r="AB8" s="33">
        <f t="shared" si="13"/>
        <v>538.70819066666661</v>
      </c>
      <c r="AC8" s="31">
        <f t="shared" si="0"/>
        <v>545.44888800000001</v>
      </c>
      <c r="AD8" s="31">
        <f t="shared" si="1"/>
        <v>274.23414399999996</v>
      </c>
      <c r="AE8" s="31">
        <f t="shared" si="14"/>
        <v>725.76585599999999</v>
      </c>
    </row>
    <row r="9" spans="2:31" x14ac:dyDescent="0.25">
      <c r="D9" s="77"/>
      <c r="E9" s="77"/>
      <c r="F9" s="77"/>
      <c r="G9" s="77"/>
      <c r="H9" s="77"/>
      <c r="I9" s="56"/>
      <c r="J9" s="77"/>
      <c r="K9" s="77"/>
      <c r="P9" s="18">
        <v>6</v>
      </c>
      <c r="Q9" s="32">
        <f t="shared" si="2"/>
        <v>0.60000000000000009</v>
      </c>
      <c r="R9" s="32">
        <f t="shared" si="3"/>
        <v>1.2000000000000002</v>
      </c>
      <c r="S9" s="31">
        <f t="shared" si="4"/>
        <v>0.6</v>
      </c>
      <c r="T9" s="32">
        <f t="shared" si="5"/>
        <v>9.0581999999999994</v>
      </c>
      <c r="U9" s="32">
        <f t="shared" si="6"/>
        <v>1.1499999999999999</v>
      </c>
      <c r="V9" s="32">
        <f t="shared" si="7"/>
        <v>0.9</v>
      </c>
      <c r="W9" s="32">
        <f t="shared" si="8"/>
        <v>1524.4898639999999</v>
      </c>
      <c r="X9" s="32">
        <f t="shared" si="9"/>
        <v>145.09800000000004</v>
      </c>
      <c r="Y9" s="33">
        <f t="shared" si="10"/>
        <v>1669.5878639999999</v>
      </c>
      <c r="Z9" s="33">
        <f t="shared" si="11"/>
        <v>494.51819066666661</v>
      </c>
      <c r="AA9" s="33">
        <f t="shared" si="12"/>
        <v>53.028000000000006</v>
      </c>
      <c r="AB9" s="33">
        <f t="shared" si="13"/>
        <v>547.54619066666658</v>
      </c>
      <c r="AC9" s="31">
        <f t="shared" si="0"/>
        <v>553.50988799999993</v>
      </c>
      <c r="AD9" s="31">
        <f t="shared" si="1"/>
        <v>400.70108736000003</v>
      </c>
      <c r="AE9" s="31">
        <f t="shared" si="14"/>
        <v>599.29891264000003</v>
      </c>
    </row>
    <row r="10" spans="2:31" x14ac:dyDescent="0.25">
      <c r="D10" s="77"/>
      <c r="E10" s="77"/>
      <c r="F10" s="77"/>
      <c r="G10" s="77"/>
      <c r="H10" s="77"/>
      <c r="I10" s="77"/>
      <c r="J10" s="77"/>
      <c r="K10" s="77"/>
      <c r="P10" s="18">
        <v>7</v>
      </c>
      <c r="Q10" s="32">
        <f t="shared" si="2"/>
        <v>0.70000000000000007</v>
      </c>
      <c r="R10" s="32">
        <f t="shared" si="3"/>
        <v>1.4000000000000001</v>
      </c>
      <c r="S10" s="31">
        <f t="shared" si="4"/>
        <v>0.6</v>
      </c>
      <c r="T10" s="32">
        <f t="shared" si="5"/>
        <v>9.0581999999999994</v>
      </c>
      <c r="U10" s="32">
        <f t="shared" si="6"/>
        <v>1.1499999999999999</v>
      </c>
      <c r="V10" s="32">
        <f t="shared" si="7"/>
        <v>0.9</v>
      </c>
      <c r="W10" s="32">
        <f t="shared" si="8"/>
        <v>1524.4898639999999</v>
      </c>
      <c r="X10" s="32">
        <f t="shared" si="9"/>
        <v>169.28100000000003</v>
      </c>
      <c r="Y10" s="33">
        <f t="shared" si="10"/>
        <v>1693.7708639999998</v>
      </c>
      <c r="Z10" s="33">
        <f t="shared" si="11"/>
        <v>494.51819066666661</v>
      </c>
      <c r="AA10" s="33">
        <f t="shared" si="12"/>
        <v>61.866000000000007</v>
      </c>
      <c r="AB10" s="33">
        <f t="shared" si="13"/>
        <v>556.38419066666665</v>
      </c>
      <c r="AC10" s="31">
        <f t="shared" si="0"/>
        <v>561.57088799999997</v>
      </c>
      <c r="AD10" s="31">
        <f t="shared" si="1"/>
        <v>553.29848224</v>
      </c>
      <c r="AE10" s="31">
        <f t="shared" si="14"/>
        <v>446.70151776</v>
      </c>
    </row>
    <row r="11" spans="2:31" x14ac:dyDescent="0.25">
      <c r="D11" s="77"/>
      <c r="E11" s="77"/>
      <c r="F11" s="77"/>
      <c r="G11" s="77"/>
      <c r="H11" s="77"/>
      <c r="I11" s="77"/>
      <c r="J11" s="77"/>
      <c r="K11" s="77"/>
      <c r="P11" s="18">
        <v>8</v>
      </c>
      <c r="Q11" s="32">
        <f t="shared" si="2"/>
        <v>0.8</v>
      </c>
      <c r="R11" s="32">
        <f t="shared" si="3"/>
        <v>1.6</v>
      </c>
      <c r="S11" s="31">
        <f t="shared" si="4"/>
        <v>0.6</v>
      </c>
      <c r="T11" s="32">
        <f t="shared" si="5"/>
        <v>9.0581999999999994</v>
      </c>
      <c r="U11" s="32">
        <f t="shared" si="6"/>
        <v>1.1499999999999999</v>
      </c>
      <c r="V11" s="32">
        <f t="shared" si="7"/>
        <v>0.9</v>
      </c>
      <c r="W11" s="32">
        <f t="shared" si="8"/>
        <v>1524.4898639999999</v>
      </c>
      <c r="X11" s="32">
        <f t="shared" si="9"/>
        <v>193.464</v>
      </c>
      <c r="Y11" s="33">
        <f t="shared" si="10"/>
        <v>1717.9538639999998</v>
      </c>
      <c r="Z11" s="33">
        <f t="shared" si="11"/>
        <v>494.51819066666661</v>
      </c>
      <c r="AA11" s="33">
        <f t="shared" si="12"/>
        <v>70.704000000000008</v>
      </c>
      <c r="AB11" s="33">
        <f t="shared" si="13"/>
        <v>565.22219066666662</v>
      </c>
      <c r="AC11" s="31">
        <f t="shared" si="0"/>
        <v>569.631888</v>
      </c>
      <c r="AD11" s="31">
        <f t="shared" si="1"/>
        <v>732.99364864000006</v>
      </c>
      <c r="AE11" s="31">
        <f t="shared" si="14"/>
        <v>267.00635135999994</v>
      </c>
    </row>
    <row r="12" spans="2:31" x14ac:dyDescent="0.25">
      <c r="D12" s="77"/>
      <c r="E12" s="77"/>
      <c r="F12" s="18"/>
      <c r="G12" s="18"/>
      <c r="H12" s="77"/>
      <c r="I12" s="77"/>
      <c r="J12" s="77"/>
      <c r="K12" s="77"/>
      <c r="P12" s="18">
        <v>9</v>
      </c>
      <c r="Q12" s="32">
        <f t="shared" si="2"/>
        <v>0.9</v>
      </c>
      <c r="R12" s="32">
        <f t="shared" si="3"/>
        <v>1.8</v>
      </c>
      <c r="S12" s="31">
        <f t="shared" si="4"/>
        <v>0.6</v>
      </c>
      <c r="T12" s="32">
        <f t="shared" si="5"/>
        <v>9.0581999999999994</v>
      </c>
      <c r="U12" s="32">
        <f t="shared" si="6"/>
        <v>1.1499999999999999</v>
      </c>
      <c r="V12" s="32">
        <f t="shared" si="7"/>
        <v>0.9</v>
      </c>
      <c r="W12" s="32">
        <f t="shared" si="8"/>
        <v>1524.4898639999999</v>
      </c>
      <c r="X12" s="32">
        <f t="shared" si="9"/>
        <v>217.64700000000002</v>
      </c>
      <c r="Y12" s="33">
        <f t="shared" si="10"/>
        <v>1742.1368639999998</v>
      </c>
      <c r="Z12" s="33">
        <f t="shared" si="11"/>
        <v>494.51819066666661</v>
      </c>
      <c r="AA12" s="33">
        <f t="shared" si="12"/>
        <v>79.542000000000002</v>
      </c>
      <c r="AB12" s="33">
        <f t="shared" si="13"/>
        <v>574.06019066666659</v>
      </c>
      <c r="AC12" s="31">
        <f t="shared" si="0"/>
        <v>577.69288799999993</v>
      </c>
      <c r="AD12" s="31">
        <f t="shared" si="1"/>
        <v>940.7539065599999</v>
      </c>
      <c r="AE12" s="31">
        <f t="shared" si="14"/>
        <v>59.246093440000095</v>
      </c>
    </row>
    <row r="13" spans="2:31" x14ac:dyDescent="0.25">
      <c r="D13" s="77"/>
      <c r="E13" s="77"/>
      <c r="F13" s="18">
        <v>3</v>
      </c>
      <c r="G13" s="18"/>
      <c r="H13" s="77"/>
      <c r="I13" s="77"/>
      <c r="J13" s="77"/>
      <c r="K13" s="77"/>
      <c r="P13" s="18">
        <v>10</v>
      </c>
      <c r="Q13" s="32">
        <f t="shared" si="2"/>
        <v>1</v>
      </c>
      <c r="R13" s="32">
        <f t="shared" si="3"/>
        <v>2</v>
      </c>
      <c r="S13" s="31">
        <f t="shared" si="4"/>
        <v>0.6</v>
      </c>
      <c r="T13" s="32">
        <f t="shared" si="5"/>
        <v>9.0581999999999994</v>
      </c>
      <c r="U13" s="32">
        <f t="shared" si="6"/>
        <v>1.1499999999999999</v>
      </c>
      <c r="V13" s="32">
        <f t="shared" si="7"/>
        <v>0.9</v>
      </c>
      <c r="W13" s="32">
        <f t="shared" si="8"/>
        <v>1524.4898639999999</v>
      </c>
      <c r="X13" s="32">
        <f t="shared" si="9"/>
        <v>241.82999999999998</v>
      </c>
      <c r="Y13" s="33">
        <f t="shared" si="10"/>
        <v>1766.3198639999998</v>
      </c>
      <c r="Z13" s="33">
        <f t="shared" si="11"/>
        <v>494.51819066666661</v>
      </c>
      <c r="AA13" s="33">
        <f t="shared" si="12"/>
        <v>88.38000000000001</v>
      </c>
      <c r="AB13" s="33">
        <f t="shared" si="13"/>
        <v>582.89819066666666</v>
      </c>
      <c r="AC13" s="31">
        <f t="shared" si="0"/>
        <v>585.75388799999996</v>
      </c>
      <c r="AD13" s="31">
        <f t="shared" si="1"/>
        <v>1177.546576</v>
      </c>
      <c r="AE13" s="31">
        <f t="shared" si="14"/>
        <v>-177.54657599999996</v>
      </c>
    </row>
    <row r="14" spans="2:31" x14ac:dyDescent="0.25">
      <c r="D14" s="77"/>
      <c r="E14" s="77"/>
      <c r="F14" s="18"/>
      <c r="G14" s="18"/>
      <c r="L14" s="43"/>
      <c r="M14" s="43"/>
      <c r="P14" s="18">
        <v>11</v>
      </c>
      <c r="Q14" s="32">
        <f t="shared" si="2"/>
        <v>1.1000000000000001</v>
      </c>
      <c r="R14" s="32">
        <f t="shared" si="3"/>
        <v>2.2000000000000002</v>
      </c>
      <c r="S14" s="31">
        <f t="shared" si="4"/>
        <v>0.6</v>
      </c>
      <c r="T14" s="32">
        <f t="shared" si="5"/>
        <v>9.0581999999999994</v>
      </c>
      <c r="U14" s="32">
        <f t="shared" si="6"/>
        <v>1.1499999999999999</v>
      </c>
      <c r="V14" s="32">
        <f t="shared" si="7"/>
        <v>0.9</v>
      </c>
      <c r="W14" s="32">
        <f t="shared" si="8"/>
        <v>1524.4898639999999</v>
      </c>
      <c r="X14" s="32">
        <f t="shared" si="9"/>
        <v>266.01299999999998</v>
      </c>
      <c r="Y14" s="33">
        <f t="shared" si="10"/>
        <v>1790.5028639999998</v>
      </c>
      <c r="Z14" s="33">
        <f t="shared" si="11"/>
        <v>494.51819066666661</v>
      </c>
      <c r="AA14" s="33">
        <f t="shared" si="12"/>
        <v>97.218000000000018</v>
      </c>
      <c r="AB14" s="33">
        <f t="shared" si="13"/>
        <v>591.73619066666663</v>
      </c>
      <c r="AC14" s="31">
        <f t="shared" si="0"/>
        <v>593.814888</v>
      </c>
      <c r="AD14" s="31">
        <f t="shared" si="1"/>
        <v>1444.3389769600001</v>
      </c>
      <c r="AE14" s="31">
        <f t="shared" si="14"/>
        <v>-444.33897696000008</v>
      </c>
    </row>
    <row r="15" spans="2:31" x14ac:dyDescent="0.25">
      <c r="D15" s="77"/>
      <c r="E15" s="77"/>
      <c r="F15" s="18"/>
      <c r="G15" s="18"/>
      <c r="L15" s="43"/>
      <c r="M15" s="43"/>
      <c r="P15" s="18">
        <v>12</v>
      </c>
      <c r="Q15" s="32">
        <f t="shared" si="2"/>
        <v>1.2000000000000002</v>
      </c>
      <c r="R15" s="32">
        <f t="shared" si="3"/>
        <v>2.4000000000000004</v>
      </c>
      <c r="S15" s="31">
        <f t="shared" si="4"/>
        <v>0.6</v>
      </c>
      <c r="T15" s="32">
        <f t="shared" si="5"/>
        <v>9.0581999999999994</v>
      </c>
      <c r="U15" s="32">
        <f t="shared" si="6"/>
        <v>1.1499999999999999</v>
      </c>
      <c r="V15" s="32">
        <f t="shared" si="7"/>
        <v>0.9</v>
      </c>
      <c r="W15" s="32">
        <f t="shared" si="8"/>
        <v>1524.4898639999999</v>
      </c>
      <c r="X15" s="32">
        <f t="shared" si="9"/>
        <v>290.19600000000008</v>
      </c>
      <c r="Y15" s="33">
        <f t="shared" si="10"/>
        <v>1814.685864</v>
      </c>
      <c r="Z15" s="33">
        <f t="shared" si="11"/>
        <v>494.51819066666661</v>
      </c>
      <c r="AA15" s="33">
        <f t="shared" si="12"/>
        <v>106.05600000000001</v>
      </c>
      <c r="AB15" s="33">
        <f t="shared" si="13"/>
        <v>600.5741906666666</v>
      </c>
      <c r="AC15" s="31">
        <f t="shared" si="0"/>
        <v>601.87588800000003</v>
      </c>
      <c r="AD15" s="31">
        <f t="shared" si="1"/>
        <v>1742.0984294400005</v>
      </c>
      <c r="AE15" s="31">
        <f t="shared" si="14"/>
        <v>-742.09842944000047</v>
      </c>
    </row>
    <row r="16" spans="2:31" x14ac:dyDescent="0.25">
      <c r="D16" s="77"/>
      <c r="E16" s="77"/>
      <c r="F16" s="18"/>
      <c r="G16" s="18"/>
      <c r="L16" s="43"/>
      <c r="M16" s="43"/>
      <c r="N16" s="107">
        <f>I8</f>
        <v>0.3</v>
      </c>
      <c r="O16" s="107"/>
      <c r="P16" s="18">
        <v>13</v>
      </c>
      <c r="Q16" s="32">
        <f t="shared" si="2"/>
        <v>1.3</v>
      </c>
      <c r="R16" s="32">
        <f t="shared" si="3"/>
        <v>2.6</v>
      </c>
      <c r="S16" s="31">
        <f t="shared" si="4"/>
        <v>0.6</v>
      </c>
      <c r="T16" s="32">
        <f t="shared" si="5"/>
        <v>9.0581999999999994</v>
      </c>
      <c r="U16" s="32">
        <f t="shared" si="6"/>
        <v>1.1499999999999999</v>
      </c>
      <c r="V16" s="32">
        <f t="shared" si="7"/>
        <v>0.9</v>
      </c>
      <c r="W16" s="32">
        <f t="shared" si="8"/>
        <v>1524.4898639999999</v>
      </c>
      <c r="X16" s="32">
        <f t="shared" si="9"/>
        <v>314.37900000000002</v>
      </c>
      <c r="Y16" s="33">
        <f t="shared" si="10"/>
        <v>1838.868864</v>
      </c>
      <c r="Z16" s="33">
        <f t="shared" si="11"/>
        <v>494.51819066666661</v>
      </c>
      <c r="AA16" s="33">
        <f t="shared" si="12"/>
        <v>114.89400000000001</v>
      </c>
      <c r="AB16" s="33">
        <f t="shared" si="13"/>
        <v>609.41219066666667</v>
      </c>
      <c r="AC16" s="31">
        <f t="shared" si="0"/>
        <v>609.93688800000007</v>
      </c>
      <c r="AD16" s="31">
        <f t="shared" si="1"/>
        <v>2071.79225344</v>
      </c>
      <c r="AE16" s="31">
        <f t="shared" si="14"/>
        <v>-1071.79225344</v>
      </c>
    </row>
    <row r="17" spans="4:31" x14ac:dyDescent="0.25">
      <c r="D17" s="77"/>
      <c r="E17" s="77"/>
      <c r="F17" s="77"/>
      <c r="G17" s="77"/>
      <c r="L17" s="43"/>
      <c r="M17" s="43"/>
      <c r="P17" s="18">
        <v>14</v>
      </c>
      <c r="Q17" s="32">
        <f t="shared" si="2"/>
        <v>1.4000000000000001</v>
      </c>
      <c r="R17" s="32">
        <f t="shared" si="3"/>
        <v>2.8000000000000003</v>
      </c>
      <c r="S17" s="31">
        <f t="shared" si="4"/>
        <v>0.6</v>
      </c>
      <c r="T17" s="32">
        <f t="shared" si="5"/>
        <v>9.0581999999999994</v>
      </c>
      <c r="U17" s="32">
        <f t="shared" si="6"/>
        <v>1.1499999999999999</v>
      </c>
      <c r="V17" s="32">
        <f t="shared" si="7"/>
        <v>0.9</v>
      </c>
      <c r="W17" s="32">
        <f t="shared" si="8"/>
        <v>1524.4898639999999</v>
      </c>
      <c r="X17" s="32">
        <f t="shared" si="9"/>
        <v>338.56200000000007</v>
      </c>
      <c r="Y17" s="33">
        <f t="shared" si="10"/>
        <v>1863.051864</v>
      </c>
      <c r="Z17" s="33">
        <f t="shared" si="11"/>
        <v>494.51819066666661</v>
      </c>
      <c r="AA17" s="33">
        <f t="shared" si="12"/>
        <v>123.73200000000001</v>
      </c>
      <c r="AB17" s="33">
        <f t="shared" si="13"/>
        <v>618.25019066666664</v>
      </c>
      <c r="AC17" s="31">
        <f t="shared" si="0"/>
        <v>617.99788799999999</v>
      </c>
      <c r="AD17" s="31">
        <f t="shared" si="1"/>
        <v>2434.3877689600008</v>
      </c>
      <c r="AE17" s="31">
        <f t="shared" si="14"/>
        <v>-1434.3877689600008</v>
      </c>
    </row>
    <row r="18" spans="4:31" x14ac:dyDescent="0.25">
      <c r="D18" s="77"/>
      <c r="E18" s="77"/>
      <c r="F18" s="77"/>
      <c r="G18" s="77"/>
      <c r="I18" s="107">
        <f>C6</f>
        <v>0.6</v>
      </c>
      <c r="J18" s="107"/>
      <c r="L18" s="43"/>
      <c r="M18" s="43"/>
      <c r="P18" s="18">
        <v>15</v>
      </c>
      <c r="Q18" s="32">
        <f t="shared" si="2"/>
        <v>1.5</v>
      </c>
      <c r="R18" s="32">
        <f t="shared" si="3"/>
        <v>3</v>
      </c>
      <c r="S18" s="31">
        <f t="shared" si="4"/>
        <v>0.6</v>
      </c>
      <c r="T18" s="32">
        <f t="shared" si="5"/>
        <v>9.0581999999999994</v>
      </c>
      <c r="U18" s="32">
        <f t="shared" si="6"/>
        <v>1.1499999999999999</v>
      </c>
      <c r="V18" s="32">
        <f t="shared" si="7"/>
        <v>0.9</v>
      </c>
      <c r="W18" s="32">
        <f t="shared" si="8"/>
        <v>1524.4898639999999</v>
      </c>
      <c r="X18" s="32">
        <f t="shared" si="9"/>
        <v>362.745</v>
      </c>
      <c r="Y18" s="33">
        <f t="shared" si="10"/>
        <v>1887.234864</v>
      </c>
      <c r="Z18" s="33">
        <f t="shared" si="11"/>
        <v>494.51819066666661</v>
      </c>
      <c r="AA18" s="33">
        <f t="shared" si="12"/>
        <v>132.57000000000002</v>
      </c>
      <c r="AB18" s="33">
        <f t="shared" si="13"/>
        <v>627.08819066666661</v>
      </c>
      <c r="AC18" s="31">
        <f t="shared" si="0"/>
        <v>626.05888800000002</v>
      </c>
      <c r="AD18" s="31">
        <f t="shared" si="1"/>
        <v>2830.8522959999996</v>
      </c>
      <c r="AE18" s="31">
        <f t="shared" si="14"/>
        <v>-1830.8522959999996</v>
      </c>
    </row>
    <row r="19" spans="4:31" x14ac:dyDescent="0.25">
      <c r="D19" s="77"/>
      <c r="E19" s="77"/>
      <c r="F19" s="77"/>
      <c r="G19" s="77"/>
      <c r="L19" s="43"/>
      <c r="M19" s="43"/>
      <c r="N19" s="43" t="s">
        <v>124</v>
      </c>
      <c r="P19" s="18">
        <v>16</v>
      </c>
      <c r="Q19" s="32">
        <f t="shared" si="2"/>
        <v>1.6</v>
      </c>
      <c r="R19" s="32">
        <f t="shared" si="3"/>
        <v>3.2</v>
      </c>
      <c r="S19" s="31">
        <f t="shared" si="4"/>
        <v>0.6</v>
      </c>
      <c r="T19" s="32">
        <f t="shared" si="5"/>
        <v>9.0581999999999994</v>
      </c>
      <c r="U19" s="32">
        <f t="shared" si="6"/>
        <v>1.1499999999999999</v>
      </c>
      <c r="V19" s="32">
        <f t="shared" si="7"/>
        <v>0.9</v>
      </c>
      <c r="W19" s="32">
        <f t="shared" si="8"/>
        <v>1524.4898639999999</v>
      </c>
      <c r="X19" s="32">
        <f t="shared" si="9"/>
        <v>386.928</v>
      </c>
      <c r="Y19" s="33">
        <f t="shared" si="10"/>
        <v>1911.417864</v>
      </c>
      <c r="Z19" s="33">
        <f t="shared" si="11"/>
        <v>494.51819066666661</v>
      </c>
      <c r="AA19" s="33">
        <f t="shared" si="12"/>
        <v>141.40800000000002</v>
      </c>
      <c r="AB19" s="33">
        <f t="shared" si="13"/>
        <v>635.92619066666657</v>
      </c>
      <c r="AC19" s="31">
        <f t="shared" si="0"/>
        <v>634.11988800000006</v>
      </c>
      <c r="AD19" s="31">
        <f t="shared" si="1"/>
        <v>3262.1531545600005</v>
      </c>
      <c r="AE19" s="31">
        <f t="shared" si="14"/>
        <v>-2262.1531545600005</v>
      </c>
    </row>
    <row r="20" spans="4:31" x14ac:dyDescent="0.25">
      <c r="D20" s="77"/>
      <c r="E20" s="77"/>
      <c r="F20" s="77"/>
      <c r="G20" s="77"/>
      <c r="L20" s="43"/>
      <c r="M20" s="43"/>
      <c r="P20" s="18">
        <v>17</v>
      </c>
      <c r="Q20" s="32">
        <f t="shared" si="2"/>
        <v>1.7000000000000002</v>
      </c>
      <c r="R20" s="32">
        <f t="shared" si="3"/>
        <v>3.4000000000000004</v>
      </c>
      <c r="S20" s="31">
        <f t="shared" si="4"/>
        <v>0.6</v>
      </c>
      <c r="T20" s="32">
        <f t="shared" si="5"/>
        <v>9.0581999999999994</v>
      </c>
      <c r="U20" s="32">
        <f t="shared" si="6"/>
        <v>1.1499999999999999</v>
      </c>
      <c r="V20" s="32">
        <f t="shared" si="7"/>
        <v>0.9</v>
      </c>
      <c r="W20" s="32">
        <f t="shared" si="8"/>
        <v>1524.4898639999999</v>
      </c>
      <c r="X20" s="32">
        <f t="shared" si="9"/>
        <v>411.11100000000005</v>
      </c>
      <c r="Y20" s="33">
        <f t="shared" si="10"/>
        <v>1935.600864</v>
      </c>
      <c r="Z20" s="33">
        <f t="shared" si="11"/>
        <v>494.51819066666661</v>
      </c>
      <c r="AA20" s="33">
        <f t="shared" si="12"/>
        <v>150.24600000000001</v>
      </c>
      <c r="AB20" s="33">
        <f t="shared" si="13"/>
        <v>644.76419066666665</v>
      </c>
      <c r="AC20" s="31">
        <f t="shared" si="0"/>
        <v>642.18088799999998</v>
      </c>
      <c r="AD20" s="31">
        <f t="shared" si="1"/>
        <v>3729.2576646400007</v>
      </c>
      <c r="AE20" s="31">
        <f t="shared" si="14"/>
        <v>-2729.2576646400007</v>
      </c>
    </row>
    <row r="21" spans="4:31" x14ac:dyDescent="0.25">
      <c r="D21" s="77"/>
      <c r="E21" s="77"/>
      <c r="F21" s="77"/>
      <c r="G21" s="77"/>
      <c r="L21" s="43"/>
      <c r="M21" s="43"/>
      <c r="P21" s="18">
        <v>18</v>
      </c>
      <c r="Q21" s="32">
        <f t="shared" si="2"/>
        <v>1.8</v>
      </c>
      <c r="R21" s="32">
        <f t="shared" si="3"/>
        <v>3.6</v>
      </c>
      <c r="S21" s="31">
        <f t="shared" si="4"/>
        <v>0.6</v>
      </c>
      <c r="T21" s="32">
        <f t="shared" si="5"/>
        <v>9.0581999999999994</v>
      </c>
      <c r="U21" s="32">
        <f t="shared" si="6"/>
        <v>1.1499999999999999</v>
      </c>
      <c r="V21" s="32">
        <f t="shared" si="7"/>
        <v>0.9</v>
      </c>
      <c r="W21" s="32">
        <f t="shared" si="8"/>
        <v>1524.4898639999999</v>
      </c>
      <c r="X21" s="32">
        <f t="shared" si="9"/>
        <v>435.29400000000004</v>
      </c>
      <c r="Y21" s="33">
        <f t="shared" si="10"/>
        <v>1959.783864</v>
      </c>
      <c r="Z21" s="33">
        <f t="shared" si="11"/>
        <v>494.51819066666661</v>
      </c>
      <c r="AA21" s="33">
        <f t="shared" si="12"/>
        <v>159.084</v>
      </c>
      <c r="AB21" s="33">
        <f t="shared" si="13"/>
        <v>653.60219066666662</v>
      </c>
      <c r="AC21" s="31">
        <f t="shared" si="0"/>
        <v>650.24188800000002</v>
      </c>
      <c r="AD21" s="31">
        <f t="shared" si="1"/>
        <v>4233.1331462400003</v>
      </c>
      <c r="AE21" s="31">
        <f t="shared" si="14"/>
        <v>-3233.1331462400003</v>
      </c>
    </row>
    <row r="22" spans="4:31" x14ac:dyDescent="0.25">
      <c r="D22" s="77"/>
      <c r="E22" s="77"/>
      <c r="F22" s="77"/>
      <c r="G22" s="77"/>
      <c r="L22" s="43"/>
      <c r="M22" s="43"/>
      <c r="P22" s="18">
        <v>19</v>
      </c>
      <c r="Q22" s="32">
        <f t="shared" si="2"/>
        <v>1.9000000000000001</v>
      </c>
      <c r="R22" s="32">
        <f t="shared" si="3"/>
        <v>3.8000000000000003</v>
      </c>
      <c r="S22" s="31">
        <f t="shared" si="4"/>
        <v>0.6</v>
      </c>
      <c r="T22" s="32">
        <f t="shared" si="5"/>
        <v>9.0581999999999994</v>
      </c>
      <c r="U22" s="32">
        <f t="shared" si="6"/>
        <v>1.1499999999999999</v>
      </c>
      <c r="V22" s="32">
        <f t="shared" si="7"/>
        <v>0.9</v>
      </c>
      <c r="W22" s="32">
        <f t="shared" si="8"/>
        <v>1524.4898639999999</v>
      </c>
      <c r="X22" s="32">
        <f t="shared" si="9"/>
        <v>459.47700000000003</v>
      </c>
      <c r="Y22" s="33">
        <f t="shared" si="10"/>
        <v>1983.966864</v>
      </c>
      <c r="Z22" s="33">
        <f t="shared" si="11"/>
        <v>494.51819066666661</v>
      </c>
      <c r="AA22" s="33">
        <f t="shared" si="12"/>
        <v>167.92200000000003</v>
      </c>
      <c r="AB22" s="33">
        <f t="shared" si="13"/>
        <v>662.44019066666669</v>
      </c>
      <c r="AC22" s="31">
        <f t="shared" si="0"/>
        <v>658.30288800000005</v>
      </c>
      <c r="AD22" s="31">
        <f t="shared" si="1"/>
        <v>4774.74691936</v>
      </c>
      <c r="AE22" s="31">
        <f t="shared" si="14"/>
        <v>-3774.74691936</v>
      </c>
    </row>
    <row r="23" spans="4:31" x14ac:dyDescent="0.25">
      <c r="D23" s="77"/>
      <c r="E23" s="77"/>
      <c r="F23" s="77"/>
      <c r="G23" s="77"/>
      <c r="L23" s="43"/>
      <c r="M23" s="43"/>
      <c r="P23" s="18">
        <v>20</v>
      </c>
      <c r="Q23" s="32">
        <f t="shared" si="2"/>
        <v>2</v>
      </c>
      <c r="R23" s="32">
        <f t="shared" si="3"/>
        <v>4</v>
      </c>
      <c r="S23" s="31">
        <f t="shared" si="4"/>
        <v>0.6</v>
      </c>
      <c r="T23" s="32">
        <f t="shared" si="5"/>
        <v>9.0581999999999994</v>
      </c>
      <c r="U23" s="32">
        <f t="shared" si="6"/>
        <v>1.1499999999999999</v>
      </c>
      <c r="V23" s="32">
        <f t="shared" si="7"/>
        <v>0.9</v>
      </c>
      <c r="W23" s="32">
        <f t="shared" si="8"/>
        <v>1524.4898639999999</v>
      </c>
      <c r="X23" s="32">
        <f t="shared" si="9"/>
        <v>483.65999999999997</v>
      </c>
      <c r="Y23" s="33">
        <f t="shared" si="10"/>
        <v>2008.149864</v>
      </c>
      <c r="Z23" s="33">
        <f t="shared" si="11"/>
        <v>494.51819066666661</v>
      </c>
      <c r="AA23" s="33">
        <f t="shared" si="12"/>
        <v>176.76000000000002</v>
      </c>
      <c r="AB23" s="33">
        <f t="shared" si="13"/>
        <v>671.27819066666666</v>
      </c>
      <c r="AC23" s="31">
        <f t="shared" si="0"/>
        <v>666.36388799999997</v>
      </c>
      <c r="AD23" s="31">
        <f t="shared" si="1"/>
        <v>5355.0663039999999</v>
      </c>
      <c r="AE23" s="31">
        <f t="shared" si="14"/>
        <v>-4355.0663039999999</v>
      </c>
    </row>
    <row r="24" spans="4:31" x14ac:dyDescent="0.25">
      <c r="D24" s="77"/>
      <c r="E24" s="77"/>
      <c r="F24" s="77"/>
      <c r="G24" s="77"/>
      <c r="J24" s="108" t="s">
        <v>123</v>
      </c>
      <c r="K24" s="108"/>
      <c r="L24" s="108"/>
      <c r="M24" s="108"/>
      <c r="P24" s="18">
        <v>21</v>
      </c>
      <c r="Q24" s="32">
        <f t="shared" si="2"/>
        <v>2.1</v>
      </c>
      <c r="R24" s="32">
        <f t="shared" si="3"/>
        <v>4.2</v>
      </c>
      <c r="S24" s="31">
        <f t="shared" si="4"/>
        <v>0.6</v>
      </c>
      <c r="T24" s="32">
        <f t="shared" si="5"/>
        <v>9.0581999999999994</v>
      </c>
      <c r="U24" s="32">
        <f t="shared" si="6"/>
        <v>1.1499999999999999</v>
      </c>
      <c r="V24" s="32">
        <f t="shared" si="7"/>
        <v>0.9</v>
      </c>
      <c r="W24" s="32">
        <f t="shared" si="8"/>
        <v>1524.4898639999999</v>
      </c>
      <c r="X24" s="32">
        <f t="shared" si="9"/>
        <v>507.84300000000002</v>
      </c>
      <c r="Y24" s="33">
        <f t="shared" si="10"/>
        <v>2032.332864</v>
      </c>
      <c r="Z24" s="33">
        <f t="shared" si="11"/>
        <v>494.51819066666661</v>
      </c>
      <c r="AA24" s="33">
        <f t="shared" si="12"/>
        <v>185.59800000000001</v>
      </c>
      <c r="AB24" s="33">
        <f t="shared" si="13"/>
        <v>680.11619066666663</v>
      </c>
      <c r="AC24" s="31">
        <f t="shared" si="0"/>
        <v>674.42488800000001</v>
      </c>
      <c r="AD24" s="31">
        <f t="shared" si="1"/>
        <v>5975.0586201600008</v>
      </c>
      <c r="AE24" s="31">
        <f t="shared" si="14"/>
        <v>-4975.0586201600008</v>
      </c>
    </row>
    <row r="25" spans="4:31" x14ac:dyDescent="0.25">
      <c r="D25" s="77"/>
      <c r="E25" s="77"/>
      <c r="F25" s="77"/>
      <c r="G25" s="77"/>
      <c r="I25" s="76"/>
      <c r="J25" s="108"/>
      <c r="K25" s="108"/>
      <c r="L25" s="108"/>
      <c r="M25" s="108"/>
      <c r="P25" s="18">
        <v>22</v>
      </c>
      <c r="Q25" s="32">
        <f t="shared" si="2"/>
        <v>2.2000000000000002</v>
      </c>
      <c r="R25" s="32">
        <f t="shared" si="3"/>
        <v>4.4000000000000004</v>
      </c>
      <c r="S25" s="31">
        <f t="shared" si="4"/>
        <v>0.6</v>
      </c>
      <c r="T25" s="32">
        <f t="shared" si="5"/>
        <v>9.0581999999999994</v>
      </c>
      <c r="U25" s="32">
        <f t="shared" si="6"/>
        <v>1.1499999999999999</v>
      </c>
      <c r="V25" s="32">
        <f t="shared" si="7"/>
        <v>0.9</v>
      </c>
      <c r="W25" s="32">
        <f t="shared" si="8"/>
        <v>1524.4898639999999</v>
      </c>
      <c r="X25" s="32">
        <f t="shared" si="9"/>
        <v>532.02599999999995</v>
      </c>
      <c r="Y25" s="33">
        <f t="shared" si="10"/>
        <v>2056.515864</v>
      </c>
      <c r="Z25" s="33">
        <f t="shared" si="11"/>
        <v>494.51819066666661</v>
      </c>
      <c r="AA25" s="33">
        <f t="shared" si="12"/>
        <v>194.43600000000004</v>
      </c>
      <c r="AB25" s="33">
        <f t="shared" si="13"/>
        <v>688.95419066666659</v>
      </c>
      <c r="AC25" s="31">
        <f t="shared" si="0"/>
        <v>682.48588800000005</v>
      </c>
      <c r="AD25" s="31">
        <f t="shared" si="1"/>
        <v>6635.6911878400015</v>
      </c>
      <c r="AE25" s="31">
        <f t="shared" si="14"/>
        <v>-5635.6911878400015</v>
      </c>
    </row>
    <row r="26" spans="4:31" x14ac:dyDescent="0.25">
      <c r="L26" s="43"/>
      <c r="M26" s="43"/>
      <c r="P26" s="18">
        <v>23</v>
      </c>
      <c r="Q26" s="32">
        <f t="shared" si="2"/>
        <v>2.3000000000000003</v>
      </c>
      <c r="R26" s="32">
        <f t="shared" si="3"/>
        <v>4.6000000000000005</v>
      </c>
      <c r="S26" s="31">
        <f t="shared" si="4"/>
        <v>0.6</v>
      </c>
      <c r="T26" s="32">
        <f t="shared" si="5"/>
        <v>9.0581999999999994</v>
      </c>
      <c r="U26" s="32">
        <f t="shared" si="6"/>
        <v>1.1499999999999999</v>
      </c>
      <c r="V26" s="32">
        <f t="shared" si="7"/>
        <v>0.9</v>
      </c>
      <c r="W26" s="32">
        <f t="shared" si="8"/>
        <v>1524.4898639999999</v>
      </c>
      <c r="X26" s="32">
        <f t="shared" si="9"/>
        <v>556.20900000000006</v>
      </c>
      <c r="Y26" s="33">
        <f t="shared" si="10"/>
        <v>2080.698864</v>
      </c>
      <c r="Z26" s="33">
        <f t="shared" si="11"/>
        <v>494.51819066666661</v>
      </c>
      <c r="AA26" s="33">
        <f t="shared" si="12"/>
        <v>203.27400000000003</v>
      </c>
      <c r="AB26" s="33">
        <f t="shared" si="13"/>
        <v>697.79219066666667</v>
      </c>
      <c r="AC26" s="31">
        <f t="shared" si="0"/>
        <v>690.54688799999997</v>
      </c>
      <c r="AD26" s="31">
        <f t="shared" si="1"/>
        <v>7337.9313270400016</v>
      </c>
      <c r="AE26" s="31">
        <f t="shared" si="14"/>
        <v>-6337.9313270400016</v>
      </c>
    </row>
    <row r="27" spans="4:31" x14ac:dyDescent="0.25">
      <c r="L27" s="43"/>
      <c r="M27" s="43"/>
      <c r="P27" s="18">
        <v>24</v>
      </c>
      <c r="Q27" s="32">
        <f t="shared" si="2"/>
        <v>2.4000000000000004</v>
      </c>
      <c r="R27" s="32">
        <f t="shared" si="3"/>
        <v>4.8000000000000007</v>
      </c>
      <c r="S27" s="31">
        <f t="shared" si="4"/>
        <v>0.6</v>
      </c>
      <c r="T27" s="32">
        <f t="shared" si="5"/>
        <v>9.0581999999999994</v>
      </c>
      <c r="U27" s="32">
        <f t="shared" si="6"/>
        <v>1.1499999999999999</v>
      </c>
      <c r="V27" s="32">
        <f t="shared" si="7"/>
        <v>0.9</v>
      </c>
      <c r="W27" s="32">
        <f t="shared" si="8"/>
        <v>1524.4898639999999</v>
      </c>
      <c r="X27" s="32">
        <f t="shared" si="9"/>
        <v>580.39200000000017</v>
      </c>
      <c r="Y27" s="33">
        <f t="shared" si="10"/>
        <v>2104.881864</v>
      </c>
      <c r="Z27" s="33">
        <f t="shared" si="11"/>
        <v>494.51819066666661</v>
      </c>
      <c r="AA27" s="33">
        <f t="shared" si="12"/>
        <v>212.11200000000002</v>
      </c>
      <c r="AB27" s="33">
        <f t="shared" si="13"/>
        <v>706.63019066666664</v>
      </c>
      <c r="AC27" s="31">
        <f t="shared" si="0"/>
        <v>698.607888</v>
      </c>
      <c r="AD27" s="31">
        <f t="shared" si="1"/>
        <v>8082.746357760002</v>
      </c>
      <c r="AE27" s="31">
        <f t="shared" si="14"/>
        <v>-7082.746357760002</v>
      </c>
    </row>
    <row r="28" spans="4:31" x14ac:dyDescent="0.25">
      <c r="L28" s="43"/>
      <c r="M28" s="43"/>
      <c r="P28" s="18">
        <v>25</v>
      </c>
      <c r="Q28" s="32">
        <f t="shared" si="2"/>
        <v>2.5</v>
      </c>
      <c r="R28" s="32">
        <f t="shared" si="3"/>
        <v>5</v>
      </c>
      <c r="S28" s="31">
        <f t="shared" si="4"/>
        <v>0.6</v>
      </c>
      <c r="T28" s="32">
        <f t="shared" si="5"/>
        <v>9.0581999999999994</v>
      </c>
      <c r="U28" s="32">
        <f t="shared" si="6"/>
        <v>1.1499999999999999</v>
      </c>
      <c r="V28" s="32">
        <f t="shared" si="7"/>
        <v>0.9</v>
      </c>
      <c r="W28" s="32">
        <f t="shared" si="8"/>
        <v>1524.4898639999999</v>
      </c>
      <c r="X28" s="32">
        <f t="shared" si="9"/>
        <v>604.57500000000005</v>
      </c>
      <c r="Y28" s="33">
        <f t="shared" si="10"/>
        <v>2129.0648639999999</v>
      </c>
      <c r="Z28" s="33">
        <f t="shared" si="11"/>
        <v>494.51819066666661</v>
      </c>
      <c r="AA28" s="33">
        <f t="shared" si="12"/>
        <v>220.95000000000002</v>
      </c>
      <c r="AB28" s="33">
        <f t="shared" si="13"/>
        <v>715.4681906666666</v>
      </c>
      <c r="AC28" s="31">
        <f t="shared" si="0"/>
        <v>706.66888800000004</v>
      </c>
      <c r="AD28" s="31">
        <f t="shared" si="1"/>
        <v>8871.1036000000004</v>
      </c>
      <c r="AE28" s="31">
        <f t="shared" si="14"/>
        <v>-7871.1036000000004</v>
      </c>
    </row>
    <row r="29" spans="4:31" x14ac:dyDescent="0.25">
      <c r="L29" s="43"/>
      <c r="M29" s="43"/>
      <c r="P29" s="18">
        <v>26</v>
      </c>
      <c r="Q29" s="32">
        <f t="shared" si="2"/>
        <v>2.6</v>
      </c>
      <c r="R29" s="32">
        <f t="shared" si="3"/>
        <v>5.2</v>
      </c>
      <c r="S29" s="31">
        <f t="shared" si="4"/>
        <v>0.6</v>
      </c>
      <c r="T29" s="32">
        <f t="shared" si="5"/>
        <v>9.0581999999999994</v>
      </c>
      <c r="U29" s="32">
        <f t="shared" si="6"/>
        <v>1.1499999999999999</v>
      </c>
      <c r="V29" s="32">
        <f t="shared" si="7"/>
        <v>0.9</v>
      </c>
      <c r="W29" s="32">
        <f t="shared" si="8"/>
        <v>1524.4898639999999</v>
      </c>
      <c r="X29" s="32">
        <f t="shared" si="9"/>
        <v>628.75800000000004</v>
      </c>
      <c r="Y29" s="33">
        <f t="shared" si="10"/>
        <v>2153.2478639999999</v>
      </c>
      <c r="Z29" s="33">
        <f t="shared" si="11"/>
        <v>494.51819066666661</v>
      </c>
      <c r="AA29" s="33">
        <f t="shared" si="12"/>
        <v>229.78800000000001</v>
      </c>
      <c r="AB29" s="33">
        <f t="shared" si="13"/>
        <v>724.30619066666668</v>
      </c>
      <c r="AC29" s="31">
        <f t="shared" si="0"/>
        <v>714.72988799999996</v>
      </c>
      <c r="AD29" s="31">
        <f t="shared" si="1"/>
        <v>9703.9703737600012</v>
      </c>
      <c r="AE29" s="31">
        <f t="shared" si="14"/>
        <v>-8703.9703737600012</v>
      </c>
    </row>
    <row r="30" spans="4:31" x14ac:dyDescent="0.25">
      <c r="L30" s="43"/>
      <c r="M30" s="43"/>
    </row>
    <row r="31" spans="4:31" ht="15" customHeight="1" x14ac:dyDescent="0.4">
      <c r="I31" s="79"/>
      <c r="J31" s="79"/>
      <c r="K31" s="79"/>
      <c r="L31" s="79"/>
      <c r="M31" s="43"/>
    </row>
    <row r="32" spans="4:31" ht="15" customHeight="1" x14ac:dyDescent="0.4">
      <c r="I32" s="79"/>
      <c r="J32" s="79"/>
      <c r="K32" s="79"/>
      <c r="L32" s="79"/>
      <c r="M32" s="43"/>
    </row>
  </sheetData>
  <mergeCells count="7">
    <mergeCell ref="W2:Y2"/>
    <mergeCell ref="Z2:AB2"/>
    <mergeCell ref="B1:O1"/>
    <mergeCell ref="N16:O16"/>
    <mergeCell ref="J24:M25"/>
    <mergeCell ref="I18:J18"/>
    <mergeCell ref="U2:V2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Option Button 1">
              <controlPr defaultSize="0" autoFill="0" autoLine="0" autoPict="0">
                <anchor moveWithCells="1">
                  <from>
                    <xdr:col>10</xdr:col>
                    <xdr:colOff>171450</xdr:colOff>
                    <xdr:row>8</xdr:row>
                    <xdr:rowOff>161925</xdr:rowOff>
                  </from>
                  <to>
                    <xdr:col>10</xdr:col>
                    <xdr:colOff>1638300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defaultSize="0" autoFill="0" autoLine="0" autoPict="0">
                <anchor moveWithCells="1">
                  <from>
                    <xdr:col>10</xdr:col>
                    <xdr:colOff>171450</xdr:colOff>
                    <xdr:row>9</xdr:row>
                    <xdr:rowOff>171450</xdr:rowOff>
                  </from>
                  <to>
                    <xdr:col>10</xdr:col>
                    <xdr:colOff>1533525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ption Button 3">
              <controlPr defaultSize="0" autoFill="0" autoLine="0" autoPict="0">
                <anchor moveWithCells="1">
                  <from>
                    <xdr:col>10</xdr:col>
                    <xdr:colOff>180975</xdr:colOff>
                    <xdr:row>10</xdr:row>
                    <xdr:rowOff>152400</xdr:rowOff>
                  </from>
                  <to>
                    <xdr:col>13</xdr:col>
                    <xdr:colOff>190500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33"/>
  <sheetViews>
    <sheetView showGridLines="0" zoomScaleNormal="100" workbookViewId="0">
      <selection activeCell="R4" sqref="R4:R29"/>
    </sheetView>
  </sheetViews>
  <sheetFormatPr baseColWidth="10" defaultColWidth="9.140625" defaultRowHeight="15" x14ac:dyDescent="0.25"/>
  <cols>
    <col min="2" max="2" width="11.5703125" customWidth="1"/>
    <col min="15" max="16" width="4.5703125" bestFit="1" customWidth="1"/>
    <col min="17" max="17" width="4.140625" bestFit="1" customWidth="1"/>
    <col min="18" max="18" width="6" bestFit="1" customWidth="1"/>
    <col min="19" max="20" width="4.5703125" bestFit="1" customWidth="1"/>
    <col min="21" max="21" width="8.5703125" customWidth="1"/>
    <col min="22" max="22" width="5.28515625" bestFit="1" customWidth="1"/>
    <col min="23" max="24" width="6.85546875" customWidth="1"/>
    <col min="25" max="25" width="3.85546875" bestFit="1" customWidth="1"/>
    <col min="26" max="26" width="7.7109375" bestFit="1" customWidth="1"/>
    <col min="28" max="28" width="5.140625" customWidth="1"/>
    <col min="29" max="29" width="11.85546875" bestFit="1" customWidth="1"/>
    <col min="30" max="30" width="12.7109375" bestFit="1" customWidth="1"/>
    <col min="31" max="31" width="12.28515625" bestFit="1" customWidth="1"/>
    <col min="32" max="32" width="7.5703125" bestFit="1" customWidth="1"/>
    <col min="33" max="33" width="6.5703125" bestFit="1" customWidth="1"/>
    <col min="34" max="34" width="8.5703125" bestFit="1" customWidth="1"/>
    <col min="35" max="35" width="12.42578125" bestFit="1" customWidth="1"/>
  </cols>
  <sheetData>
    <row r="1" spans="2:35" ht="23.25" x14ac:dyDescent="0.35">
      <c r="B1" s="106" t="s">
        <v>0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2:35" x14ac:dyDescent="0.25">
      <c r="F2">
        <v>1</v>
      </c>
      <c r="O2" s="62" t="s">
        <v>17</v>
      </c>
      <c r="P2" s="62" t="s">
        <v>19</v>
      </c>
      <c r="Q2" s="62" t="s">
        <v>20</v>
      </c>
      <c r="R2" s="62" t="s">
        <v>21</v>
      </c>
      <c r="S2" s="114" t="s">
        <v>23</v>
      </c>
      <c r="T2" s="114"/>
      <c r="U2" s="114"/>
      <c r="V2" s="115" t="s">
        <v>50</v>
      </c>
      <c r="W2" s="116"/>
      <c r="X2" s="116"/>
      <c r="Y2" s="117"/>
      <c r="Z2" s="115" t="s">
        <v>27</v>
      </c>
      <c r="AA2" s="116"/>
      <c r="AB2" s="117"/>
      <c r="AC2" s="114" t="s">
        <v>30</v>
      </c>
      <c r="AD2" s="114"/>
      <c r="AE2" s="114"/>
      <c r="AF2" s="63"/>
      <c r="AG2" s="64" t="s">
        <v>34</v>
      </c>
      <c r="AH2" s="62" t="s">
        <v>36</v>
      </c>
      <c r="AI2" s="62" t="s">
        <v>37</v>
      </c>
    </row>
    <row r="3" spans="2:35" ht="18.75" thickBot="1" x14ac:dyDescent="0.45">
      <c r="O3" s="62" t="s">
        <v>18</v>
      </c>
      <c r="P3" s="62" t="s">
        <v>18</v>
      </c>
      <c r="Q3" s="62" t="s">
        <v>18</v>
      </c>
      <c r="R3" s="62" t="s">
        <v>22</v>
      </c>
      <c r="S3" s="62" t="s">
        <v>24</v>
      </c>
      <c r="T3" s="62" t="s">
        <v>25</v>
      </c>
      <c r="U3" s="62" t="s">
        <v>26</v>
      </c>
      <c r="V3" s="62" t="s">
        <v>51</v>
      </c>
      <c r="W3" s="65" t="s">
        <v>52</v>
      </c>
      <c r="X3" s="62" t="s">
        <v>53</v>
      </c>
      <c r="Y3" s="62" t="s">
        <v>54</v>
      </c>
      <c r="Z3" s="66" t="s">
        <v>28</v>
      </c>
      <c r="AA3" s="62" t="s">
        <v>29</v>
      </c>
      <c r="AB3" s="62" t="s">
        <v>26</v>
      </c>
      <c r="AC3" s="62" t="s">
        <v>31</v>
      </c>
      <c r="AD3" s="62" t="s">
        <v>32</v>
      </c>
      <c r="AE3" s="62" t="s">
        <v>33</v>
      </c>
      <c r="AF3" s="62" t="s">
        <v>55</v>
      </c>
      <c r="AG3" s="62" t="s">
        <v>35</v>
      </c>
      <c r="AH3" s="62" t="s">
        <v>35</v>
      </c>
      <c r="AI3" s="62" t="s">
        <v>38</v>
      </c>
    </row>
    <row r="4" spans="2:35" x14ac:dyDescent="0.25">
      <c r="B4" s="1" t="s">
        <v>1</v>
      </c>
      <c r="C4" s="5">
        <v>1000</v>
      </c>
      <c r="D4" s="2" t="s">
        <v>12</v>
      </c>
      <c r="E4" s="3" t="s">
        <v>6</v>
      </c>
      <c r="F4" s="5">
        <v>25</v>
      </c>
      <c r="G4" s="4"/>
      <c r="H4" s="51" t="s">
        <v>13</v>
      </c>
      <c r="I4" s="5">
        <v>3</v>
      </c>
      <c r="J4" s="4"/>
      <c r="K4" s="4" t="s">
        <v>16</v>
      </c>
      <c r="L4" s="4"/>
      <c r="M4" s="6"/>
      <c r="N4" s="18">
        <v>1</v>
      </c>
      <c r="O4" s="20">
        <f>$C$7*N4</f>
        <v>0.1</v>
      </c>
      <c r="P4" s="20">
        <f>O4*$C$8</f>
        <v>0.2</v>
      </c>
      <c r="Q4" s="47">
        <f>$C$6</f>
        <v>0.6</v>
      </c>
      <c r="R4" s="20">
        <f>IF($F$13=1,$C$6*$F$6,IF($F$13=2,$F$7*$C$6,(($C$6-$I$8)*$F$6)+$I$8*($F$6-$I$6)))</f>
        <v>6.1164000000000005</v>
      </c>
      <c r="S4" s="20">
        <f>IFERROR(1+((O4/P4)*($M$6/$M$5)),"1")</f>
        <v>1.3265708650324035</v>
      </c>
      <c r="T4" s="20">
        <f>IFERROR(1+((O4/P4)*TAN(RADIANS($F$5))),"1")</f>
        <v>1.3124346759546637</v>
      </c>
      <c r="U4" s="47">
        <f>IFERROR(1-0.4*(O4/P4),"1")</f>
        <v>0.8</v>
      </c>
      <c r="V4" s="20">
        <f>Q4/O4</f>
        <v>5.9999999999999991</v>
      </c>
      <c r="W4" s="47">
        <f>IFERROR(IF(V4&lt;=1,1+0.4*(Q4/O4),1+(0.4*ATAN(Q4/O4))),"1")</f>
        <v>1.5622590597521078</v>
      </c>
      <c r="X4" s="47">
        <f>IFERROR(IF(V4&lt;=1,1+(2*TAN(RADIANS($F$5))*(1-SIN(RADIANS($F$5)))^2*(Q4/O4)),1+(2*TAN(RADIANS($F$5))*(1-SIN(RADIANS($F$5)))^2*ATAN(Q4/O4))),"1")</f>
        <v>1.3881866524182007</v>
      </c>
      <c r="Y4" s="47">
        <v>1</v>
      </c>
      <c r="Z4" s="20">
        <f>$I$7</f>
        <v>0</v>
      </c>
      <c r="AA4" s="47">
        <f>(1-(Z4/90))^2</f>
        <v>1</v>
      </c>
      <c r="AB4" s="47">
        <f>(1-Z4/$F$5)^2</f>
        <v>1</v>
      </c>
      <c r="AC4" s="20">
        <f>$F$4*$M$5*S4*W4*AA4</f>
        <v>1838.7789133282308</v>
      </c>
      <c r="AD4" s="20">
        <f>R4*$M$6*T4*X4*AA4</f>
        <v>258.306224680014</v>
      </c>
      <c r="AE4" s="47">
        <f>0.5*$F$6*O4*$M$7*U4*Y4*AB4</f>
        <v>24.176000000000002</v>
      </c>
      <c r="AF4" s="20">
        <f>AC4+AD4+AE4</f>
        <v>2121.2611380082449</v>
      </c>
      <c r="AG4" s="20">
        <f>((AF4-R4)/$I$4)</f>
        <v>705.04824600274833</v>
      </c>
      <c r="AH4" s="20">
        <f>((O4*P4)*AF4)/$I$4</f>
        <v>14.14174092005497</v>
      </c>
      <c r="AI4" s="20">
        <f>$C$4-AH4</f>
        <v>985.85825907994501</v>
      </c>
    </row>
    <row r="5" spans="2:35" x14ac:dyDescent="0.25">
      <c r="B5" s="7" t="s">
        <v>2</v>
      </c>
      <c r="C5" s="13">
        <v>3</v>
      </c>
      <c r="D5" s="9"/>
      <c r="E5" s="10" t="s">
        <v>7</v>
      </c>
      <c r="F5" s="13">
        <v>32</v>
      </c>
      <c r="G5" s="9" t="s">
        <v>8</v>
      </c>
      <c r="H5" s="46"/>
      <c r="I5" s="46"/>
      <c r="J5" s="9"/>
      <c r="K5" s="9"/>
      <c r="L5" s="9" t="s">
        <v>39</v>
      </c>
      <c r="M5" s="12">
        <f>VLOOKUP($F$5,'Base de datos'!$H$4:$K$54,2,0)</f>
        <v>35.49</v>
      </c>
      <c r="N5" s="18">
        <v>2</v>
      </c>
      <c r="O5" s="20">
        <f t="shared" ref="O5:O29" si="0">$C$7*N5</f>
        <v>0.2</v>
      </c>
      <c r="P5" s="20">
        <f t="shared" ref="P5:P29" si="1">O5*$C$8</f>
        <v>0.4</v>
      </c>
      <c r="Q5" s="47">
        <f t="shared" ref="Q5:Q29" si="2">$C$6</f>
        <v>0.6</v>
      </c>
      <c r="R5" s="20">
        <f t="shared" ref="R5:R29" si="3">IF($F$13=1,$C$6*$F$6,IF($F$13=2,$F$7*$C$6,(($C$6-$I$8)*$F$6)+$I$8*($F$6-$I$6)))</f>
        <v>6.1164000000000005</v>
      </c>
      <c r="S5" s="20">
        <f t="shared" ref="S5:S29" si="4">IFERROR(1+((O5/P5)*($M$6/$M$5)),"1")</f>
        <v>1.3265708650324035</v>
      </c>
      <c r="T5" s="20">
        <f t="shared" ref="T5:T29" si="5">IFERROR(1+((O5/P5)*TAN(RADIANS($F$5))),"1")</f>
        <v>1.3124346759546637</v>
      </c>
      <c r="U5" s="47">
        <f t="shared" ref="U5:U29" si="6">IFERROR(1-0.4*(O5/P5),"1")</f>
        <v>0.8</v>
      </c>
      <c r="V5" s="20">
        <f t="shared" ref="V5:V29" si="7">Q5/O5</f>
        <v>2.9999999999999996</v>
      </c>
      <c r="W5" s="47">
        <f t="shared" ref="W5:W29" si="8">IFERROR(IF(V5&lt;=1,1+0.4*(Q5/O5),1+(0.4*ATAN(Q5/O5))),"1")</f>
        <v>1.4996183089593018</v>
      </c>
      <c r="X5" s="47">
        <f t="shared" ref="X5:X29" si="9">IFERROR(IF(V5&lt;=1,1+(2*TAN(RADIANS($F$5))*(1-SIN(RADIANS($F$5)))^2*(Q5/O5)),1+(2*TAN(RADIANS($F$5))*(1-SIN(RADIANS($F$5)))^2*ATAN(Q5/O5))),"1")</f>
        <v>1.3449391441149234</v>
      </c>
      <c r="Y5" s="47">
        <v>1</v>
      </c>
      <c r="Z5" s="20">
        <f t="shared" ref="Z5:Z29" si="10">$I$7</f>
        <v>0</v>
      </c>
      <c r="AA5" s="47">
        <f t="shared" ref="AA5:AA29" si="11">(1-(Z5/90))^2</f>
        <v>1</v>
      </c>
      <c r="AB5" s="47">
        <f t="shared" ref="AB5:AB29" si="12">(1-Z5/$F$5)^2</f>
        <v>1</v>
      </c>
      <c r="AC5" s="20">
        <f t="shared" ref="AC5:AC29" si="13">$F$4*$M$5*S5*W5*AA5</f>
        <v>1765.0507496450982</v>
      </c>
      <c r="AD5" s="20">
        <f t="shared" ref="AD5:AD29" si="14">R5*$M$6*T5*X5*AA5</f>
        <v>250.25896347261283</v>
      </c>
      <c r="AE5" s="47">
        <f t="shared" ref="AE5:AE29" si="15">0.5*$F$6*O5*$M$7*U5*Y5*AB5</f>
        <v>48.352000000000004</v>
      </c>
      <c r="AF5" s="20">
        <f t="shared" ref="AF5:AF29" si="16">AC5+AD5+AE5</f>
        <v>2063.6617131177109</v>
      </c>
      <c r="AG5" s="20">
        <f t="shared" ref="AG5:AG28" si="17">((AF5-R5)/$I$4)</f>
        <v>685.84843770590362</v>
      </c>
      <c r="AH5" s="20">
        <f t="shared" ref="AH5:AH29" si="18">((O5*P5)*AF5)/$I$4</f>
        <v>55.030979016472294</v>
      </c>
      <c r="AI5" s="20">
        <f t="shared" ref="AI5:AI29" si="19">$C$4-AH5</f>
        <v>944.96902098352768</v>
      </c>
    </row>
    <row r="6" spans="2:35" x14ac:dyDescent="0.25">
      <c r="B6" s="7" t="s">
        <v>3</v>
      </c>
      <c r="C6" s="13">
        <v>0.6</v>
      </c>
      <c r="D6" s="9"/>
      <c r="E6" s="10" t="s">
        <v>11</v>
      </c>
      <c r="F6" s="13">
        <v>20</v>
      </c>
      <c r="G6" s="9" t="s">
        <v>9</v>
      </c>
      <c r="H6" s="52" t="s">
        <v>14</v>
      </c>
      <c r="I6" s="13">
        <v>9.8059999999999992</v>
      </c>
      <c r="J6" s="9" t="s">
        <v>9</v>
      </c>
      <c r="K6" s="9"/>
      <c r="L6" s="9" t="s">
        <v>40</v>
      </c>
      <c r="M6" s="12">
        <f>VLOOKUP($F$5,'Base de datos'!$H$4:$K$54,3,0)</f>
        <v>23.18</v>
      </c>
      <c r="N6" s="18">
        <v>3</v>
      </c>
      <c r="O6" s="20">
        <f t="shared" si="0"/>
        <v>0.30000000000000004</v>
      </c>
      <c r="P6" s="20">
        <f t="shared" si="1"/>
        <v>0.60000000000000009</v>
      </c>
      <c r="Q6" s="47">
        <f t="shared" si="2"/>
        <v>0.6</v>
      </c>
      <c r="R6" s="20">
        <f t="shared" si="3"/>
        <v>6.1164000000000005</v>
      </c>
      <c r="S6" s="20">
        <f t="shared" si="4"/>
        <v>1.3265708650324035</v>
      </c>
      <c r="T6" s="20">
        <f t="shared" si="5"/>
        <v>1.3124346759546637</v>
      </c>
      <c r="U6" s="47">
        <f t="shared" si="6"/>
        <v>0.8</v>
      </c>
      <c r="V6" s="20">
        <f t="shared" si="7"/>
        <v>1.9999999999999996</v>
      </c>
      <c r="W6" s="47">
        <f t="shared" si="8"/>
        <v>1.4428594871176361</v>
      </c>
      <c r="X6" s="47">
        <f t="shared" si="9"/>
        <v>1.3057525509177745</v>
      </c>
      <c r="Y6" s="47">
        <v>1</v>
      </c>
      <c r="Z6" s="20">
        <f t="shared" si="10"/>
        <v>0</v>
      </c>
      <c r="AA6" s="47">
        <f t="shared" si="11"/>
        <v>1</v>
      </c>
      <c r="AB6" s="47">
        <f t="shared" si="12"/>
        <v>1</v>
      </c>
      <c r="AC6" s="20">
        <f t="shared" si="13"/>
        <v>1698.2456163374577</v>
      </c>
      <c r="AD6" s="20">
        <f t="shared" si="14"/>
        <v>242.96733526887348</v>
      </c>
      <c r="AE6" s="47">
        <f t="shared" si="15"/>
        <v>72.528000000000006</v>
      </c>
      <c r="AF6" s="20">
        <f t="shared" si="16"/>
        <v>2013.7409516063312</v>
      </c>
      <c r="AG6" s="20">
        <f t="shared" si="17"/>
        <v>669.20818386877704</v>
      </c>
      <c r="AH6" s="20">
        <f t="shared" si="18"/>
        <v>120.8244570963799</v>
      </c>
      <c r="AI6" s="20">
        <f t="shared" si="19"/>
        <v>879.17554290362011</v>
      </c>
    </row>
    <row r="7" spans="2:35" ht="18" x14ac:dyDescent="0.4">
      <c r="B7" s="7" t="s">
        <v>4</v>
      </c>
      <c r="C7" s="13">
        <v>0.1</v>
      </c>
      <c r="D7" s="9"/>
      <c r="E7" s="10" t="s">
        <v>10</v>
      </c>
      <c r="F7" s="8">
        <f>F6-I6</f>
        <v>10.194000000000001</v>
      </c>
      <c r="G7" s="9" t="s">
        <v>9</v>
      </c>
      <c r="H7" s="52" t="s">
        <v>56</v>
      </c>
      <c r="I7" s="13">
        <v>0</v>
      </c>
      <c r="J7" s="9" t="s">
        <v>57</v>
      </c>
      <c r="K7" s="9"/>
      <c r="L7" s="9" t="s">
        <v>41</v>
      </c>
      <c r="M7" s="12">
        <f>VLOOKUP($F$5,'Base de datos'!$H$4:$K$54,4,0)</f>
        <v>30.22</v>
      </c>
      <c r="N7" s="18">
        <v>4</v>
      </c>
      <c r="O7" s="20">
        <f t="shared" si="0"/>
        <v>0.4</v>
      </c>
      <c r="P7" s="20">
        <f t="shared" si="1"/>
        <v>0.8</v>
      </c>
      <c r="Q7" s="47">
        <f>$C$6</f>
        <v>0.6</v>
      </c>
      <c r="R7" s="20">
        <f t="shared" si="3"/>
        <v>6.1164000000000005</v>
      </c>
      <c r="S7" s="20">
        <f t="shared" si="4"/>
        <v>1.3265708650324035</v>
      </c>
      <c r="T7" s="20">
        <f t="shared" si="5"/>
        <v>1.3124346759546637</v>
      </c>
      <c r="U7" s="47">
        <f t="shared" si="6"/>
        <v>0.8</v>
      </c>
      <c r="V7" s="20">
        <f t="shared" si="7"/>
        <v>1.4999999999999998</v>
      </c>
      <c r="W7" s="47">
        <f t="shared" si="8"/>
        <v>1.3931174892989318</v>
      </c>
      <c r="X7" s="47">
        <f t="shared" si="9"/>
        <v>1.2714104104347925</v>
      </c>
      <c r="Y7" s="47">
        <v>1</v>
      </c>
      <c r="Z7" s="20">
        <f t="shared" si="10"/>
        <v>0</v>
      </c>
      <c r="AA7" s="47">
        <f t="shared" si="11"/>
        <v>1</v>
      </c>
      <c r="AB7" s="47">
        <f t="shared" si="12"/>
        <v>1</v>
      </c>
      <c r="AC7" s="20">
        <f t="shared" si="13"/>
        <v>1639.6992849048427</v>
      </c>
      <c r="AD7" s="20">
        <f t="shared" si="14"/>
        <v>236.57713648678825</v>
      </c>
      <c r="AE7" s="47">
        <f t="shared" si="15"/>
        <v>96.704000000000008</v>
      </c>
      <c r="AF7" s="20">
        <f t="shared" si="16"/>
        <v>1972.9804213916309</v>
      </c>
      <c r="AG7" s="20">
        <f t="shared" si="17"/>
        <v>655.62134046387689</v>
      </c>
      <c r="AH7" s="20">
        <f t="shared" si="18"/>
        <v>210.45124494844069</v>
      </c>
      <c r="AI7" s="20">
        <f t="shared" si="19"/>
        <v>789.54875505155928</v>
      </c>
    </row>
    <row r="8" spans="2:35" ht="15.75" thickBot="1" x14ac:dyDescent="0.3">
      <c r="B8" s="14" t="s">
        <v>5</v>
      </c>
      <c r="C8" s="15">
        <v>2</v>
      </c>
      <c r="D8" s="16" t="s">
        <v>15</v>
      </c>
      <c r="E8" s="16"/>
      <c r="F8" s="16"/>
      <c r="G8" s="16"/>
      <c r="H8" s="53" t="s">
        <v>58</v>
      </c>
      <c r="I8" s="15">
        <v>0.1</v>
      </c>
      <c r="J8" s="16"/>
      <c r="K8" s="16"/>
      <c r="L8" s="16"/>
      <c r="M8" s="17"/>
      <c r="N8" s="18">
        <v>5</v>
      </c>
      <c r="O8" s="20">
        <f t="shared" si="0"/>
        <v>0.5</v>
      </c>
      <c r="P8" s="20">
        <f t="shared" si="1"/>
        <v>1</v>
      </c>
      <c r="Q8" s="47">
        <f t="shared" si="2"/>
        <v>0.6</v>
      </c>
      <c r="R8" s="20">
        <f t="shared" si="3"/>
        <v>6.1164000000000005</v>
      </c>
      <c r="S8" s="20">
        <f t="shared" si="4"/>
        <v>1.3265708650324035</v>
      </c>
      <c r="T8" s="20">
        <f t="shared" si="5"/>
        <v>1.3124346759546637</v>
      </c>
      <c r="U8" s="47">
        <f t="shared" si="6"/>
        <v>0.8</v>
      </c>
      <c r="V8" s="20">
        <f t="shared" si="7"/>
        <v>1.2</v>
      </c>
      <c r="W8" s="47">
        <f t="shared" si="8"/>
        <v>1.3504232202392774</v>
      </c>
      <c r="X8" s="47">
        <f t="shared" si="9"/>
        <v>1.241934059460535</v>
      </c>
      <c r="Y8" s="47">
        <v>1</v>
      </c>
      <c r="Z8" s="20">
        <f t="shared" si="10"/>
        <v>0</v>
      </c>
      <c r="AA8" s="47">
        <f t="shared" si="11"/>
        <v>1</v>
      </c>
      <c r="AB8" s="47">
        <f t="shared" si="12"/>
        <v>1</v>
      </c>
      <c r="AC8" s="20">
        <f t="shared" si="13"/>
        <v>1589.4481302216295</v>
      </c>
      <c r="AD8" s="20">
        <f t="shared" si="14"/>
        <v>231.09233736107979</v>
      </c>
      <c r="AE8" s="47">
        <f t="shared" si="15"/>
        <v>120.88</v>
      </c>
      <c r="AF8" s="20">
        <f t="shared" si="16"/>
        <v>1941.4204675827095</v>
      </c>
      <c r="AG8" s="20">
        <f t="shared" si="17"/>
        <v>645.10135586090314</v>
      </c>
      <c r="AH8" s="20">
        <f t="shared" si="18"/>
        <v>323.57007793045159</v>
      </c>
      <c r="AI8" s="20">
        <f t="shared" si="19"/>
        <v>676.42992206954841</v>
      </c>
    </row>
    <row r="9" spans="2:35" x14ac:dyDescent="0.25">
      <c r="N9" s="18">
        <v>6</v>
      </c>
      <c r="O9" s="20">
        <f t="shared" si="0"/>
        <v>0.60000000000000009</v>
      </c>
      <c r="P9" s="20">
        <f t="shared" si="1"/>
        <v>1.2000000000000002</v>
      </c>
      <c r="Q9" s="47">
        <f t="shared" si="2"/>
        <v>0.6</v>
      </c>
      <c r="R9" s="20">
        <f t="shared" si="3"/>
        <v>6.1164000000000005</v>
      </c>
      <c r="S9" s="20">
        <f t="shared" si="4"/>
        <v>1.3265708650324035</v>
      </c>
      <c r="T9" s="20">
        <f t="shared" si="5"/>
        <v>1.3124346759546637</v>
      </c>
      <c r="U9" s="47">
        <f t="shared" si="6"/>
        <v>0.8</v>
      </c>
      <c r="V9" s="20">
        <f t="shared" si="7"/>
        <v>0.99999999999999978</v>
      </c>
      <c r="W9" s="47">
        <f t="shared" si="8"/>
        <v>1.4</v>
      </c>
      <c r="X9" s="47">
        <f t="shared" si="9"/>
        <v>1.2761621325154613</v>
      </c>
      <c r="Y9" s="47">
        <v>1</v>
      </c>
      <c r="Z9" s="20">
        <f t="shared" si="10"/>
        <v>0</v>
      </c>
      <c r="AA9" s="47">
        <f>(1-(Z9/90))^2</f>
        <v>1</v>
      </c>
      <c r="AB9" s="47">
        <f t="shared" si="12"/>
        <v>1</v>
      </c>
      <c r="AC9" s="20">
        <f t="shared" si="13"/>
        <v>1647.8</v>
      </c>
      <c r="AD9" s="20">
        <f t="shared" si="14"/>
        <v>237.46131109633959</v>
      </c>
      <c r="AE9" s="47">
        <f t="shared" si="15"/>
        <v>145.05600000000001</v>
      </c>
      <c r="AF9" s="20">
        <f t="shared" si="16"/>
        <v>2030.3173110963396</v>
      </c>
      <c r="AG9" s="20">
        <f t="shared" si="17"/>
        <v>674.73363703211317</v>
      </c>
      <c r="AH9" s="20">
        <f t="shared" si="18"/>
        <v>487.27615466312164</v>
      </c>
      <c r="AI9" s="20">
        <f t="shared" si="19"/>
        <v>512.72384533687841</v>
      </c>
    </row>
    <row r="10" spans="2:35" x14ac:dyDescent="0.25">
      <c r="N10" s="18">
        <v>7</v>
      </c>
      <c r="O10" s="20">
        <f t="shared" si="0"/>
        <v>0.70000000000000007</v>
      </c>
      <c r="P10" s="20">
        <f t="shared" si="1"/>
        <v>1.4000000000000001</v>
      </c>
      <c r="Q10" s="47">
        <f t="shared" si="2"/>
        <v>0.6</v>
      </c>
      <c r="R10" s="20">
        <f t="shared" si="3"/>
        <v>6.1164000000000005</v>
      </c>
      <c r="S10" s="20">
        <f t="shared" si="4"/>
        <v>1.3265708650324035</v>
      </c>
      <c r="T10" s="20">
        <f t="shared" si="5"/>
        <v>1.3124346759546637</v>
      </c>
      <c r="U10" s="47">
        <f t="shared" si="6"/>
        <v>0.8</v>
      </c>
      <c r="V10" s="20">
        <f t="shared" si="7"/>
        <v>0.85714285714285698</v>
      </c>
      <c r="W10" s="47">
        <f t="shared" si="8"/>
        <v>1.3428571428571427</v>
      </c>
      <c r="X10" s="47">
        <f t="shared" si="9"/>
        <v>1.2367103992989668</v>
      </c>
      <c r="Y10" s="47">
        <v>1</v>
      </c>
      <c r="Z10" s="20">
        <f t="shared" si="10"/>
        <v>0</v>
      </c>
      <c r="AA10" s="47">
        <f t="shared" si="11"/>
        <v>1</v>
      </c>
      <c r="AB10" s="47">
        <f t="shared" si="12"/>
        <v>1</v>
      </c>
      <c r="AC10" s="20">
        <f t="shared" si="13"/>
        <v>1580.542857142857</v>
      </c>
      <c r="AD10" s="20">
        <f t="shared" si="14"/>
        <v>230.12034707937264</v>
      </c>
      <c r="AE10" s="47">
        <f t="shared" si="15"/>
        <v>169.23200000000003</v>
      </c>
      <c r="AF10" s="20">
        <f t="shared" si="16"/>
        <v>1979.8952042222295</v>
      </c>
      <c r="AG10" s="20">
        <f t="shared" si="17"/>
        <v>657.92626807407646</v>
      </c>
      <c r="AH10" s="20">
        <f t="shared" si="18"/>
        <v>646.76576671259511</v>
      </c>
      <c r="AI10" s="20">
        <f t="shared" si="19"/>
        <v>353.23423328740489</v>
      </c>
    </row>
    <row r="11" spans="2:35" x14ac:dyDescent="0.25">
      <c r="N11" s="18">
        <v>8</v>
      </c>
      <c r="O11" s="20">
        <f t="shared" si="0"/>
        <v>0.8</v>
      </c>
      <c r="P11" s="20">
        <f t="shared" si="1"/>
        <v>1.6</v>
      </c>
      <c r="Q11" s="47">
        <f t="shared" si="2"/>
        <v>0.6</v>
      </c>
      <c r="R11" s="20">
        <f t="shared" si="3"/>
        <v>6.1164000000000005</v>
      </c>
      <c r="S11" s="20">
        <f t="shared" si="4"/>
        <v>1.3265708650324035</v>
      </c>
      <c r="T11" s="20">
        <f t="shared" si="5"/>
        <v>1.3124346759546637</v>
      </c>
      <c r="U11" s="47">
        <f t="shared" si="6"/>
        <v>0.8</v>
      </c>
      <c r="V11" s="20">
        <f t="shared" si="7"/>
        <v>0.74999999999999989</v>
      </c>
      <c r="W11" s="47">
        <f t="shared" si="8"/>
        <v>1.3</v>
      </c>
      <c r="X11" s="47">
        <f t="shared" si="9"/>
        <v>1.207121599386596</v>
      </c>
      <c r="Y11" s="47">
        <v>1</v>
      </c>
      <c r="Z11" s="20">
        <f t="shared" si="10"/>
        <v>0</v>
      </c>
      <c r="AA11" s="47">
        <f t="shared" si="11"/>
        <v>1</v>
      </c>
      <c r="AB11" s="47">
        <f t="shared" si="12"/>
        <v>1</v>
      </c>
      <c r="AC11" s="20">
        <f t="shared" si="13"/>
        <v>1530.1000000000001</v>
      </c>
      <c r="AD11" s="20">
        <f t="shared" si="14"/>
        <v>224.61462406664745</v>
      </c>
      <c r="AE11" s="47">
        <f t="shared" si="15"/>
        <v>193.40800000000002</v>
      </c>
      <c r="AF11" s="20">
        <f t="shared" si="16"/>
        <v>1948.1226240666474</v>
      </c>
      <c r="AG11" s="20">
        <f t="shared" si="17"/>
        <v>647.3354080222158</v>
      </c>
      <c r="AH11" s="20">
        <f t="shared" si="18"/>
        <v>831.19898626843633</v>
      </c>
      <c r="AI11" s="20">
        <f t="shared" si="19"/>
        <v>168.80101373156367</v>
      </c>
    </row>
    <row r="12" spans="2:35" x14ac:dyDescent="0.25">
      <c r="N12" s="18">
        <v>9</v>
      </c>
      <c r="O12" s="20">
        <f t="shared" si="0"/>
        <v>0.9</v>
      </c>
      <c r="P12" s="20">
        <f t="shared" si="1"/>
        <v>1.8</v>
      </c>
      <c r="Q12" s="47">
        <f t="shared" si="2"/>
        <v>0.6</v>
      </c>
      <c r="R12" s="20">
        <f t="shared" si="3"/>
        <v>6.1164000000000005</v>
      </c>
      <c r="S12" s="20">
        <f t="shared" si="4"/>
        <v>1.3265708650324035</v>
      </c>
      <c r="T12" s="20">
        <f t="shared" si="5"/>
        <v>1.3124346759546637</v>
      </c>
      <c r="U12" s="47">
        <f t="shared" si="6"/>
        <v>0.8</v>
      </c>
      <c r="V12" s="20">
        <f t="shared" si="7"/>
        <v>0.66666666666666663</v>
      </c>
      <c r="W12" s="47">
        <f t="shared" si="8"/>
        <v>1.2666666666666666</v>
      </c>
      <c r="X12" s="47">
        <f t="shared" si="9"/>
        <v>1.1841080883436408</v>
      </c>
      <c r="Y12" s="47">
        <v>1</v>
      </c>
      <c r="Z12" s="20">
        <f t="shared" si="10"/>
        <v>0</v>
      </c>
      <c r="AA12" s="47">
        <f t="shared" si="11"/>
        <v>1</v>
      </c>
      <c r="AB12" s="47">
        <f t="shared" si="12"/>
        <v>1</v>
      </c>
      <c r="AC12" s="20">
        <f t="shared" si="13"/>
        <v>1490.8666666666666</v>
      </c>
      <c r="AD12" s="20">
        <f t="shared" si="14"/>
        <v>220.33239505675004</v>
      </c>
      <c r="AE12" s="47">
        <f t="shared" si="15"/>
        <v>217.58400000000003</v>
      </c>
      <c r="AF12" s="20">
        <f t="shared" si="16"/>
        <v>1928.7830617234167</v>
      </c>
      <c r="AG12" s="20">
        <f t="shared" si="17"/>
        <v>640.88888724113883</v>
      </c>
      <c r="AH12" s="20">
        <f t="shared" si="18"/>
        <v>1041.5428533306451</v>
      </c>
      <c r="AI12" s="20">
        <f t="shared" si="19"/>
        <v>-41.54285333064513</v>
      </c>
    </row>
    <row r="13" spans="2:35" x14ac:dyDescent="0.25">
      <c r="F13" s="18">
        <v>2</v>
      </c>
      <c r="N13" s="18">
        <v>10</v>
      </c>
      <c r="O13" s="20">
        <f t="shared" si="0"/>
        <v>1</v>
      </c>
      <c r="P13" s="20">
        <f t="shared" si="1"/>
        <v>2</v>
      </c>
      <c r="Q13" s="47">
        <f t="shared" si="2"/>
        <v>0.6</v>
      </c>
      <c r="R13" s="20">
        <f t="shared" si="3"/>
        <v>6.1164000000000005</v>
      </c>
      <c r="S13" s="20">
        <f t="shared" si="4"/>
        <v>1.3265708650324035</v>
      </c>
      <c r="T13" s="20">
        <f t="shared" si="5"/>
        <v>1.3124346759546637</v>
      </c>
      <c r="U13" s="47">
        <f t="shared" si="6"/>
        <v>0.8</v>
      </c>
      <c r="V13" s="20">
        <f t="shared" si="7"/>
        <v>0.6</v>
      </c>
      <c r="W13" s="47">
        <f t="shared" si="8"/>
        <v>1.24</v>
      </c>
      <c r="X13" s="47">
        <f t="shared" si="9"/>
        <v>1.1656972795092768</v>
      </c>
      <c r="Y13" s="47">
        <v>1</v>
      </c>
      <c r="Z13" s="20">
        <f t="shared" si="10"/>
        <v>0</v>
      </c>
      <c r="AA13" s="47">
        <f t="shared" si="11"/>
        <v>1</v>
      </c>
      <c r="AB13" s="47">
        <f t="shared" si="12"/>
        <v>1</v>
      </c>
      <c r="AC13" s="20">
        <f t="shared" si="13"/>
        <v>1459.48</v>
      </c>
      <c r="AD13" s="20">
        <f t="shared" si="14"/>
        <v>216.90661184883217</v>
      </c>
      <c r="AE13" s="47">
        <f t="shared" si="15"/>
        <v>241.76</v>
      </c>
      <c r="AF13" s="20">
        <f t="shared" si="16"/>
        <v>1918.1466118488322</v>
      </c>
      <c r="AG13" s="20">
        <f t="shared" si="17"/>
        <v>637.34340394961066</v>
      </c>
      <c r="AH13" s="20">
        <f t="shared" si="18"/>
        <v>1278.7644078992214</v>
      </c>
      <c r="AI13" s="20">
        <f t="shared" si="19"/>
        <v>-278.7644078992214</v>
      </c>
    </row>
    <row r="14" spans="2:35" x14ac:dyDescent="0.25">
      <c r="N14" s="18">
        <v>11</v>
      </c>
      <c r="O14" s="20">
        <f t="shared" si="0"/>
        <v>1.1000000000000001</v>
      </c>
      <c r="P14" s="20">
        <f t="shared" si="1"/>
        <v>2.2000000000000002</v>
      </c>
      <c r="Q14" s="47">
        <f t="shared" si="2"/>
        <v>0.6</v>
      </c>
      <c r="R14" s="20">
        <f t="shared" si="3"/>
        <v>6.1164000000000005</v>
      </c>
      <c r="S14" s="20">
        <f t="shared" si="4"/>
        <v>1.3265708650324035</v>
      </c>
      <c r="T14" s="20">
        <f t="shared" si="5"/>
        <v>1.3124346759546637</v>
      </c>
      <c r="U14" s="47">
        <f t="shared" si="6"/>
        <v>0.8</v>
      </c>
      <c r="V14" s="20">
        <f t="shared" si="7"/>
        <v>0.54545454545454541</v>
      </c>
      <c r="W14" s="47">
        <f t="shared" si="8"/>
        <v>1.2181818181818183</v>
      </c>
      <c r="X14" s="47">
        <f t="shared" si="9"/>
        <v>1.1506338904629789</v>
      </c>
      <c r="Y14" s="47">
        <v>1</v>
      </c>
      <c r="Z14" s="20">
        <f t="shared" si="10"/>
        <v>0</v>
      </c>
      <c r="AA14" s="47">
        <f t="shared" si="11"/>
        <v>1</v>
      </c>
      <c r="AB14" s="47">
        <f t="shared" si="12"/>
        <v>1</v>
      </c>
      <c r="AC14" s="20">
        <f t="shared" si="13"/>
        <v>1433.8000000000002</v>
      </c>
      <c r="AD14" s="20">
        <f t="shared" si="14"/>
        <v>214.10369831508115</v>
      </c>
      <c r="AE14" s="47">
        <f t="shared" si="15"/>
        <v>265.93599999999998</v>
      </c>
      <c r="AF14" s="20">
        <f t="shared" si="16"/>
        <v>1913.8396983150813</v>
      </c>
      <c r="AG14" s="20">
        <f t="shared" si="17"/>
        <v>635.90776610502701</v>
      </c>
      <c r="AH14" s="20">
        <f t="shared" si="18"/>
        <v>1543.8306899741658</v>
      </c>
      <c r="AI14" s="20">
        <f t="shared" si="19"/>
        <v>-543.83068997416581</v>
      </c>
    </row>
    <row r="15" spans="2:35" x14ac:dyDescent="0.25">
      <c r="K15" s="43"/>
      <c r="L15" s="43"/>
      <c r="N15" s="18">
        <v>12</v>
      </c>
      <c r="O15" s="20">
        <f t="shared" si="0"/>
        <v>1.2000000000000002</v>
      </c>
      <c r="P15" s="20">
        <f t="shared" si="1"/>
        <v>2.4000000000000004</v>
      </c>
      <c r="Q15" s="47">
        <f t="shared" si="2"/>
        <v>0.6</v>
      </c>
      <c r="R15" s="20">
        <f t="shared" si="3"/>
        <v>6.1164000000000005</v>
      </c>
      <c r="S15" s="20">
        <f t="shared" si="4"/>
        <v>1.3265708650324035</v>
      </c>
      <c r="T15" s="20">
        <f t="shared" si="5"/>
        <v>1.3124346759546637</v>
      </c>
      <c r="U15" s="47">
        <f t="shared" si="6"/>
        <v>0.8</v>
      </c>
      <c r="V15" s="20">
        <f t="shared" si="7"/>
        <v>0.49999999999999989</v>
      </c>
      <c r="W15" s="47">
        <f t="shared" si="8"/>
        <v>1.2</v>
      </c>
      <c r="X15" s="47">
        <f t="shared" si="9"/>
        <v>1.1380810662577305</v>
      </c>
      <c r="Y15" s="47">
        <v>1</v>
      </c>
      <c r="Z15" s="20">
        <f t="shared" si="10"/>
        <v>0</v>
      </c>
      <c r="AA15" s="47">
        <f t="shared" si="11"/>
        <v>1</v>
      </c>
      <c r="AB15" s="47">
        <f t="shared" si="12"/>
        <v>1</v>
      </c>
      <c r="AC15" s="20">
        <f t="shared" si="13"/>
        <v>1412.3999999999999</v>
      </c>
      <c r="AD15" s="20">
        <f t="shared" si="14"/>
        <v>211.76793703695529</v>
      </c>
      <c r="AE15" s="47">
        <f t="shared" si="15"/>
        <v>290.11200000000002</v>
      </c>
      <c r="AF15" s="20">
        <f t="shared" si="16"/>
        <v>1914.2799370369553</v>
      </c>
      <c r="AG15" s="20">
        <f t="shared" si="17"/>
        <v>636.05451234565169</v>
      </c>
      <c r="AH15" s="20">
        <f t="shared" si="18"/>
        <v>1837.7087395554775</v>
      </c>
      <c r="AI15" s="20">
        <f t="shared" si="19"/>
        <v>-837.70873955547745</v>
      </c>
    </row>
    <row r="16" spans="2:35" x14ac:dyDescent="0.25">
      <c r="K16" s="43"/>
      <c r="L16" s="43"/>
      <c r="N16" s="18">
        <v>13</v>
      </c>
      <c r="O16" s="20">
        <f t="shared" si="0"/>
        <v>1.3</v>
      </c>
      <c r="P16" s="20">
        <f t="shared" si="1"/>
        <v>2.6</v>
      </c>
      <c r="Q16" s="47">
        <f t="shared" si="2"/>
        <v>0.6</v>
      </c>
      <c r="R16" s="20">
        <f t="shared" si="3"/>
        <v>6.1164000000000005</v>
      </c>
      <c r="S16" s="20">
        <f t="shared" si="4"/>
        <v>1.3265708650324035</v>
      </c>
      <c r="T16" s="20">
        <f t="shared" si="5"/>
        <v>1.3124346759546637</v>
      </c>
      <c r="U16" s="47">
        <f t="shared" si="6"/>
        <v>0.8</v>
      </c>
      <c r="V16" s="20">
        <f t="shared" si="7"/>
        <v>0.46153846153846151</v>
      </c>
      <c r="W16" s="47">
        <f t="shared" si="8"/>
        <v>1.1846153846153846</v>
      </c>
      <c r="X16" s="47">
        <f t="shared" si="9"/>
        <v>1.1274594457763667</v>
      </c>
      <c r="Y16" s="47">
        <v>1</v>
      </c>
      <c r="Z16" s="20">
        <f t="shared" si="10"/>
        <v>0</v>
      </c>
      <c r="AA16" s="47">
        <f t="shared" si="11"/>
        <v>1</v>
      </c>
      <c r="AB16" s="47">
        <f t="shared" si="12"/>
        <v>1</v>
      </c>
      <c r="AC16" s="20">
        <f t="shared" si="13"/>
        <v>1394.2923076923078</v>
      </c>
      <c r="AD16" s="20">
        <f t="shared" si="14"/>
        <v>209.7915236477719</v>
      </c>
      <c r="AE16" s="47">
        <f t="shared" si="15"/>
        <v>314.28800000000001</v>
      </c>
      <c r="AF16" s="20">
        <f t="shared" si="16"/>
        <v>1918.3718313400796</v>
      </c>
      <c r="AG16" s="20">
        <f t="shared" si="17"/>
        <v>637.41847711335981</v>
      </c>
      <c r="AH16" s="20">
        <f t="shared" si="18"/>
        <v>2161.3655966431566</v>
      </c>
      <c r="AI16" s="20">
        <f t="shared" si="19"/>
        <v>-1161.3655966431566</v>
      </c>
    </row>
    <row r="17" spans="8:35" x14ac:dyDescent="0.25">
      <c r="K17" s="43"/>
      <c r="L17" s="43"/>
      <c r="M17" s="78">
        <f>I8</f>
        <v>0.1</v>
      </c>
      <c r="N17" s="18">
        <v>14</v>
      </c>
      <c r="O17" s="20">
        <f t="shared" si="0"/>
        <v>1.4000000000000001</v>
      </c>
      <c r="P17" s="20">
        <f t="shared" si="1"/>
        <v>2.8000000000000003</v>
      </c>
      <c r="Q17" s="47">
        <f t="shared" si="2"/>
        <v>0.6</v>
      </c>
      <c r="R17" s="20">
        <f t="shared" si="3"/>
        <v>6.1164000000000005</v>
      </c>
      <c r="S17" s="20">
        <f t="shared" si="4"/>
        <v>1.3265708650324035</v>
      </c>
      <c r="T17" s="20">
        <f t="shared" si="5"/>
        <v>1.3124346759546637</v>
      </c>
      <c r="U17" s="47">
        <f t="shared" si="6"/>
        <v>0.8</v>
      </c>
      <c r="V17" s="20">
        <f t="shared" si="7"/>
        <v>0.42857142857142849</v>
      </c>
      <c r="W17" s="47">
        <f t="shared" si="8"/>
        <v>1.1714285714285715</v>
      </c>
      <c r="X17" s="47">
        <f t="shared" si="9"/>
        <v>1.1183551996494834</v>
      </c>
      <c r="Y17" s="47">
        <v>1</v>
      </c>
      <c r="Z17" s="20">
        <f t="shared" si="10"/>
        <v>0</v>
      </c>
      <c r="AA17" s="47">
        <f t="shared" si="11"/>
        <v>1</v>
      </c>
      <c r="AB17" s="47">
        <f t="shared" si="12"/>
        <v>1</v>
      </c>
      <c r="AC17" s="20">
        <f t="shared" si="13"/>
        <v>1378.7714285714287</v>
      </c>
      <c r="AD17" s="20">
        <f t="shared" si="14"/>
        <v>208.09745502847184</v>
      </c>
      <c r="AE17" s="47">
        <f t="shared" si="15"/>
        <v>338.46400000000006</v>
      </c>
      <c r="AF17" s="20">
        <f t="shared" si="16"/>
        <v>1925.3328835999005</v>
      </c>
      <c r="AG17" s="20">
        <f t="shared" si="17"/>
        <v>639.73882786663341</v>
      </c>
      <c r="AH17" s="20">
        <f t="shared" si="18"/>
        <v>2515.768301237204</v>
      </c>
      <c r="AI17" s="20">
        <f t="shared" si="19"/>
        <v>-1515.768301237204</v>
      </c>
    </row>
    <row r="18" spans="8:35" x14ac:dyDescent="0.25">
      <c r="K18" s="43"/>
      <c r="L18" s="43"/>
      <c r="N18" s="18">
        <v>15</v>
      </c>
      <c r="O18" s="20">
        <f t="shared" si="0"/>
        <v>1.5</v>
      </c>
      <c r="P18" s="20">
        <f t="shared" si="1"/>
        <v>3</v>
      </c>
      <c r="Q18" s="47">
        <f t="shared" si="2"/>
        <v>0.6</v>
      </c>
      <c r="R18" s="20">
        <f t="shared" si="3"/>
        <v>6.1164000000000005</v>
      </c>
      <c r="S18" s="20">
        <f t="shared" si="4"/>
        <v>1.3265708650324035</v>
      </c>
      <c r="T18" s="20">
        <f t="shared" si="5"/>
        <v>1.3124346759546637</v>
      </c>
      <c r="U18" s="47">
        <f t="shared" si="6"/>
        <v>0.8</v>
      </c>
      <c r="V18" s="20">
        <f t="shared" si="7"/>
        <v>0.39999999999999997</v>
      </c>
      <c r="W18" s="47">
        <f t="shared" si="8"/>
        <v>1.1599999999999999</v>
      </c>
      <c r="X18" s="47">
        <f t="shared" si="9"/>
        <v>1.1104648530061845</v>
      </c>
      <c r="Y18" s="47">
        <v>1</v>
      </c>
      <c r="Z18" s="20">
        <f t="shared" si="10"/>
        <v>0</v>
      </c>
      <c r="AA18" s="47">
        <f t="shared" si="11"/>
        <v>1</v>
      </c>
      <c r="AB18" s="47">
        <f t="shared" si="12"/>
        <v>1</v>
      </c>
      <c r="AC18" s="20">
        <f t="shared" si="13"/>
        <v>1365.32</v>
      </c>
      <c r="AD18" s="20">
        <f t="shared" si="14"/>
        <v>206.62926222507846</v>
      </c>
      <c r="AE18" s="47">
        <f t="shared" si="15"/>
        <v>362.64</v>
      </c>
      <c r="AF18" s="20">
        <f t="shared" si="16"/>
        <v>1934.5892622250785</v>
      </c>
      <c r="AG18" s="20">
        <f t="shared" si="17"/>
        <v>642.82428740835951</v>
      </c>
      <c r="AH18" s="20">
        <f t="shared" si="18"/>
        <v>2901.8838933376178</v>
      </c>
      <c r="AI18" s="20">
        <f t="shared" si="19"/>
        <v>-1901.8838933376178</v>
      </c>
    </row>
    <row r="19" spans="8:35" x14ac:dyDescent="0.25">
      <c r="H19" s="76">
        <f>C6</f>
        <v>0.6</v>
      </c>
      <c r="K19" s="43"/>
      <c r="L19" s="43"/>
      <c r="N19" s="18">
        <v>16</v>
      </c>
      <c r="O19" s="20">
        <f t="shared" si="0"/>
        <v>1.6</v>
      </c>
      <c r="P19" s="20">
        <f t="shared" si="1"/>
        <v>3.2</v>
      </c>
      <c r="Q19" s="47">
        <f t="shared" si="2"/>
        <v>0.6</v>
      </c>
      <c r="R19" s="20">
        <f t="shared" si="3"/>
        <v>6.1164000000000005</v>
      </c>
      <c r="S19" s="20">
        <f t="shared" si="4"/>
        <v>1.3265708650324035</v>
      </c>
      <c r="T19" s="20">
        <f t="shared" si="5"/>
        <v>1.3124346759546637</v>
      </c>
      <c r="U19" s="47">
        <f t="shared" si="6"/>
        <v>0.8</v>
      </c>
      <c r="V19" s="20">
        <f t="shared" si="7"/>
        <v>0.37499999999999994</v>
      </c>
      <c r="W19" s="47">
        <f t="shared" si="8"/>
        <v>1.1499999999999999</v>
      </c>
      <c r="X19" s="47">
        <f t="shared" si="9"/>
        <v>1.1035607996932979</v>
      </c>
      <c r="Y19" s="47">
        <v>1</v>
      </c>
      <c r="Z19" s="20">
        <f t="shared" si="10"/>
        <v>0</v>
      </c>
      <c r="AA19" s="47">
        <f t="shared" si="11"/>
        <v>1</v>
      </c>
      <c r="AB19" s="47">
        <f t="shared" si="12"/>
        <v>1</v>
      </c>
      <c r="AC19" s="20">
        <f t="shared" si="13"/>
        <v>1353.55</v>
      </c>
      <c r="AD19" s="20">
        <f t="shared" si="14"/>
        <v>205.34459352210922</v>
      </c>
      <c r="AE19" s="47">
        <f t="shared" si="15"/>
        <v>386.81600000000003</v>
      </c>
      <c r="AF19" s="20">
        <f t="shared" si="16"/>
        <v>1945.7105935221091</v>
      </c>
      <c r="AG19" s="20">
        <f t="shared" si="17"/>
        <v>646.53139784070299</v>
      </c>
      <c r="AH19" s="20">
        <f t="shared" si="18"/>
        <v>3320.6794129444002</v>
      </c>
      <c r="AI19" s="20">
        <f t="shared" si="19"/>
        <v>-2320.6794129444002</v>
      </c>
    </row>
    <row r="20" spans="8:35" x14ac:dyDescent="0.25">
      <c r="K20" s="43"/>
      <c r="L20" s="43" t="s">
        <v>124</v>
      </c>
      <c r="N20" s="18">
        <v>17</v>
      </c>
      <c r="O20" s="20">
        <f t="shared" si="0"/>
        <v>1.7000000000000002</v>
      </c>
      <c r="P20" s="20">
        <f t="shared" si="1"/>
        <v>3.4000000000000004</v>
      </c>
      <c r="Q20" s="47">
        <f t="shared" si="2"/>
        <v>0.6</v>
      </c>
      <c r="R20" s="20">
        <f t="shared" si="3"/>
        <v>6.1164000000000005</v>
      </c>
      <c r="S20" s="20">
        <f t="shared" si="4"/>
        <v>1.3265708650324035</v>
      </c>
      <c r="T20" s="20">
        <f t="shared" si="5"/>
        <v>1.3124346759546637</v>
      </c>
      <c r="U20" s="47">
        <f t="shared" si="6"/>
        <v>0.8</v>
      </c>
      <c r="V20" s="20">
        <f t="shared" si="7"/>
        <v>0.3529411764705882</v>
      </c>
      <c r="W20" s="47">
        <f t="shared" si="8"/>
        <v>1.1411764705882352</v>
      </c>
      <c r="X20" s="47">
        <f t="shared" si="9"/>
        <v>1.0974689879466335</v>
      </c>
      <c r="Y20" s="47">
        <v>1</v>
      </c>
      <c r="Z20" s="20">
        <f t="shared" si="10"/>
        <v>0</v>
      </c>
      <c r="AA20" s="47">
        <f t="shared" si="11"/>
        <v>1</v>
      </c>
      <c r="AB20" s="47">
        <f t="shared" si="12"/>
        <v>1</v>
      </c>
      <c r="AC20" s="20">
        <f t="shared" si="13"/>
        <v>1343.1647058823528</v>
      </c>
      <c r="AD20" s="20">
        <f t="shared" si="14"/>
        <v>204.21106231360702</v>
      </c>
      <c r="AE20" s="47">
        <f t="shared" si="15"/>
        <v>410.99200000000002</v>
      </c>
      <c r="AF20" s="20">
        <f t="shared" si="16"/>
        <v>1958.3677681959598</v>
      </c>
      <c r="AG20" s="20">
        <f t="shared" si="17"/>
        <v>650.7504560653199</v>
      </c>
      <c r="AH20" s="20">
        <f t="shared" si="18"/>
        <v>3773.1219000575497</v>
      </c>
      <c r="AI20" s="20">
        <f t="shared" si="19"/>
        <v>-2773.1219000575497</v>
      </c>
    </row>
    <row r="21" spans="8:35" x14ac:dyDescent="0.25">
      <c r="K21" s="43"/>
      <c r="L21" s="43"/>
      <c r="N21" s="18">
        <v>18</v>
      </c>
      <c r="O21" s="20">
        <f t="shared" si="0"/>
        <v>1.8</v>
      </c>
      <c r="P21" s="20">
        <f t="shared" si="1"/>
        <v>3.6</v>
      </c>
      <c r="Q21" s="47">
        <f t="shared" si="2"/>
        <v>0.6</v>
      </c>
      <c r="R21" s="20">
        <f t="shared" si="3"/>
        <v>6.1164000000000005</v>
      </c>
      <c r="S21" s="20">
        <f t="shared" si="4"/>
        <v>1.3265708650324035</v>
      </c>
      <c r="T21" s="20">
        <f t="shared" si="5"/>
        <v>1.3124346759546637</v>
      </c>
      <c r="U21" s="47">
        <f t="shared" si="6"/>
        <v>0.8</v>
      </c>
      <c r="V21" s="20">
        <f t="shared" si="7"/>
        <v>0.33333333333333331</v>
      </c>
      <c r="W21" s="47">
        <f t="shared" si="8"/>
        <v>1.1333333333333333</v>
      </c>
      <c r="X21" s="47">
        <f t="shared" si="9"/>
        <v>1.0920540441718205</v>
      </c>
      <c r="Y21" s="47">
        <v>1</v>
      </c>
      <c r="Z21" s="20">
        <f t="shared" si="10"/>
        <v>0</v>
      </c>
      <c r="AA21" s="47">
        <f t="shared" si="11"/>
        <v>1</v>
      </c>
      <c r="AB21" s="47">
        <f t="shared" si="12"/>
        <v>1</v>
      </c>
      <c r="AC21" s="20">
        <f t="shared" si="13"/>
        <v>1333.9333333333334</v>
      </c>
      <c r="AD21" s="20">
        <f t="shared" si="14"/>
        <v>203.20347901716056</v>
      </c>
      <c r="AE21" s="47">
        <f t="shared" si="15"/>
        <v>435.16800000000006</v>
      </c>
      <c r="AF21" s="20">
        <f t="shared" si="16"/>
        <v>1972.3048123504941</v>
      </c>
      <c r="AG21" s="20">
        <f t="shared" si="17"/>
        <v>655.3961374501647</v>
      </c>
      <c r="AH21" s="20">
        <f t="shared" si="18"/>
        <v>4260.1783946770674</v>
      </c>
      <c r="AI21" s="20">
        <f t="shared" si="19"/>
        <v>-3260.1783946770674</v>
      </c>
    </row>
    <row r="22" spans="8:35" x14ac:dyDescent="0.25">
      <c r="K22" s="43"/>
      <c r="L22" s="43"/>
      <c r="N22" s="18">
        <v>19</v>
      </c>
      <c r="O22" s="20">
        <f t="shared" si="0"/>
        <v>1.9000000000000001</v>
      </c>
      <c r="P22" s="20">
        <f t="shared" si="1"/>
        <v>3.8000000000000003</v>
      </c>
      <c r="Q22" s="47">
        <f t="shared" si="2"/>
        <v>0.6</v>
      </c>
      <c r="R22" s="20">
        <f t="shared" si="3"/>
        <v>6.1164000000000005</v>
      </c>
      <c r="S22" s="20">
        <f t="shared" si="4"/>
        <v>1.3265708650324035</v>
      </c>
      <c r="T22" s="20">
        <f t="shared" si="5"/>
        <v>1.3124346759546637</v>
      </c>
      <c r="U22" s="47">
        <f t="shared" si="6"/>
        <v>0.8</v>
      </c>
      <c r="V22" s="20">
        <f t="shared" si="7"/>
        <v>0.31578947368421051</v>
      </c>
      <c r="W22" s="47">
        <f t="shared" si="8"/>
        <v>1.1263157894736842</v>
      </c>
      <c r="X22" s="47">
        <f t="shared" si="9"/>
        <v>1.0872090944785666</v>
      </c>
      <c r="Y22" s="47">
        <v>1</v>
      </c>
      <c r="Z22" s="20">
        <f t="shared" si="10"/>
        <v>0</v>
      </c>
      <c r="AA22" s="47">
        <f t="shared" si="11"/>
        <v>1</v>
      </c>
      <c r="AB22" s="47">
        <f t="shared" si="12"/>
        <v>1</v>
      </c>
      <c r="AC22" s="20">
        <f t="shared" si="13"/>
        <v>1325.6736842105263</v>
      </c>
      <c r="AD22" s="20">
        <f t="shared" si="14"/>
        <v>202.30195712034003</v>
      </c>
      <c r="AE22" s="47">
        <f t="shared" si="15"/>
        <v>459.34399999999999</v>
      </c>
      <c r="AF22" s="20">
        <f t="shared" si="16"/>
        <v>1987.3196413308665</v>
      </c>
      <c r="AG22" s="20">
        <f t="shared" si="17"/>
        <v>660.40108044362216</v>
      </c>
      <c r="AH22" s="20">
        <f t="shared" si="18"/>
        <v>4782.8159368029528</v>
      </c>
      <c r="AI22" s="20">
        <f t="shared" si="19"/>
        <v>-3782.8159368029528</v>
      </c>
    </row>
    <row r="23" spans="8:35" x14ac:dyDescent="0.25">
      <c r="K23" s="43"/>
      <c r="L23" s="43"/>
      <c r="N23" s="18">
        <v>20</v>
      </c>
      <c r="O23" s="20">
        <f t="shared" si="0"/>
        <v>2</v>
      </c>
      <c r="P23" s="20">
        <f t="shared" si="1"/>
        <v>4</v>
      </c>
      <c r="Q23" s="47">
        <f t="shared" si="2"/>
        <v>0.6</v>
      </c>
      <c r="R23" s="20">
        <f t="shared" si="3"/>
        <v>6.1164000000000005</v>
      </c>
      <c r="S23" s="20">
        <f t="shared" si="4"/>
        <v>1.3265708650324035</v>
      </c>
      <c r="T23" s="20">
        <f t="shared" si="5"/>
        <v>1.3124346759546637</v>
      </c>
      <c r="U23" s="47">
        <f t="shared" si="6"/>
        <v>0.8</v>
      </c>
      <c r="V23" s="20">
        <f t="shared" si="7"/>
        <v>0.3</v>
      </c>
      <c r="W23" s="47">
        <f t="shared" si="8"/>
        <v>1.1200000000000001</v>
      </c>
      <c r="X23" s="47">
        <f t="shared" si="9"/>
        <v>1.0828486397546384</v>
      </c>
      <c r="Y23" s="47">
        <v>1</v>
      </c>
      <c r="Z23" s="20">
        <f t="shared" si="10"/>
        <v>0</v>
      </c>
      <c r="AA23" s="47">
        <f t="shared" si="11"/>
        <v>1</v>
      </c>
      <c r="AB23" s="47">
        <f t="shared" si="12"/>
        <v>1</v>
      </c>
      <c r="AC23" s="20">
        <f t="shared" si="13"/>
        <v>1318.2400000000002</v>
      </c>
      <c r="AD23" s="20">
        <f t="shared" si="14"/>
        <v>201.49058741320161</v>
      </c>
      <c r="AE23" s="47">
        <f t="shared" si="15"/>
        <v>483.52</v>
      </c>
      <c r="AF23" s="20">
        <f t="shared" si="16"/>
        <v>2003.2505874132019</v>
      </c>
      <c r="AG23" s="20">
        <f t="shared" si="17"/>
        <v>665.71139580440058</v>
      </c>
      <c r="AH23" s="20">
        <f t="shared" si="18"/>
        <v>5342.0015664352049</v>
      </c>
      <c r="AI23" s="20">
        <f t="shared" si="19"/>
        <v>-4342.0015664352049</v>
      </c>
    </row>
    <row r="24" spans="8:35" x14ac:dyDescent="0.25">
      <c r="K24" s="43"/>
      <c r="L24" s="43"/>
      <c r="N24" s="18">
        <v>21</v>
      </c>
      <c r="O24" s="20">
        <f t="shared" si="0"/>
        <v>2.1</v>
      </c>
      <c r="P24" s="20">
        <f t="shared" si="1"/>
        <v>4.2</v>
      </c>
      <c r="Q24" s="47">
        <f t="shared" si="2"/>
        <v>0.6</v>
      </c>
      <c r="R24" s="20">
        <f t="shared" si="3"/>
        <v>6.1164000000000005</v>
      </c>
      <c r="S24" s="20">
        <f t="shared" si="4"/>
        <v>1.3265708650324035</v>
      </c>
      <c r="T24" s="20">
        <f t="shared" si="5"/>
        <v>1.3124346759546637</v>
      </c>
      <c r="U24" s="47">
        <f t="shared" si="6"/>
        <v>0.8</v>
      </c>
      <c r="V24" s="20">
        <f t="shared" si="7"/>
        <v>0.2857142857142857</v>
      </c>
      <c r="W24" s="47">
        <f t="shared" si="8"/>
        <v>1.1142857142857143</v>
      </c>
      <c r="X24" s="47">
        <f t="shared" si="9"/>
        <v>1.0789034664329888</v>
      </c>
      <c r="Y24" s="47">
        <v>1</v>
      </c>
      <c r="Z24" s="20">
        <f t="shared" si="10"/>
        <v>0</v>
      </c>
      <c r="AA24" s="47">
        <f t="shared" si="11"/>
        <v>1</v>
      </c>
      <c r="AB24" s="47">
        <f t="shared" si="12"/>
        <v>1</v>
      </c>
      <c r="AC24" s="20">
        <f t="shared" si="13"/>
        <v>1311.5142857142857</v>
      </c>
      <c r="AD24" s="20">
        <f t="shared" si="14"/>
        <v>200.75649101150489</v>
      </c>
      <c r="AE24" s="47">
        <f t="shared" si="15"/>
        <v>507.69600000000003</v>
      </c>
      <c r="AF24" s="20">
        <f t="shared" si="16"/>
        <v>2019.9667767257906</v>
      </c>
      <c r="AG24" s="20">
        <f t="shared" si="17"/>
        <v>671.2834589085968</v>
      </c>
      <c r="AH24" s="20">
        <f t="shared" si="18"/>
        <v>5938.7023235738243</v>
      </c>
      <c r="AI24" s="20">
        <f t="shared" si="19"/>
        <v>-4938.7023235738243</v>
      </c>
    </row>
    <row r="25" spans="8:35" x14ac:dyDescent="0.25">
      <c r="K25" s="43"/>
      <c r="L25" s="43"/>
      <c r="N25" s="18">
        <v>22</v>
      </c>
      <c r="O25" s="20">
        <f t="shared" si="0"/>
        <v>2.2000000000000002</v>
      </c>
      <c r="P25" s="20">
        <f t="shared" si="1"/>
        <v>4.4000000000000004</v>
      </c>
      <c r="Q25" s="47">
        <f t="shared" si="2"/>
        <v>0.6</v>
      </c>
      <c r="R25" s="20">
        <f t="shared" si="3"/>
        <v>6.1164000000000005</v>
      </c>
      <c r="S25" s="20">
        <f t="shared" si="4"/>
        <v>1.3265708650324035</v>
      </c>
      <c r="T25" s="20">
        <f t="shared" si="5"/>
        <v>1.3124346759546637</v>
      </c>
      <c r="U25" s="47">
        <f t="shared" si="6"/>
        <v>0.8</v>
      </c>
      <c r="V25" s="20">
        <f t="shared" si="7"/>
        <v>0.27272727272727271</v>
      </c>
      <c r="W25" s="47">
        <f t="shared" si="8"/>
        <v>1.1090909090909091</v>
      </c>
      <c r="X25" s="47">
        <f t="shared" si="9"/>
        <v>1.0753169452314895</v>
      </c>
      <c r="Y25" s="47">
        <v>1</v>
      </c>
      <c r="Z25" s="20">
        <f t="shared" si="10"/>
        <v>0</v>
      </c>
      <c r="AA25" s="47">
        <f t="shared" si="11"/>
        <v>1</v>
      </c>
      <c r="AB25" s="47">
        <f t="shared" si="12"/>
        <v>1</v>
      </c>
      <c r="AC25" s="20">
        <f t="shared" si="13"/>
        <v>1305.4000000000001</v>
      </c>
      <c r="AD25" s="20">
        <f t="shared" si="14"/>
        <v>200.08913064632611</v>
      </c>
      <c r="AE25" s="47">
        <f t="shared" si="15"/>
        <v>531.87199999999996</v>
      </c>
      <c r="AF25" s="20">
        <f t="shared" si="16"/>
        <v>2037.3611306463263</v>
      </c>
      <c r="AG25" s="20">
        <f t="shared" si="17"/>
        <v>677.08157688210872</v>
      </c>
      <c r="AH25" s="20">
        <f t="shared" si="18"/>
        <v>6573.8852482188131</v>
      </c>
      <c r="AI25" s="20">
        <f t="shared" si="19"/>
        <v>-5573.8852482188131</v>
      </c>
    </row>
    <row r="26" spans="8:35" x14ac:dyDescent="0.25">
      <c r="H26" s="108" t="s">
        <v>123</v>
      </c>
      <c r="I26" s="108"/>
      <c r="J26" s="108"/>
      <c r="K26" s="108"/>
      <c r="L26" s="43"/>
      <c r="N26" s="18">
        <v>23</v>
      </c>
      <c r="O26" s="20">
        <f t="shared" si="0"/>
        <v>2.3000000000000003</v>
      </c>
      <c r="P26" s="20">
        <f t="shared" si="1"/>
        <v>4.6000000000000005</v>
      </c>
      <c r="Q26" s="47">
        <f t="shared" si="2"/>
        <v>0.6</v>
      </c>
      <c r="R26" s="20">
        <f t="shared" si="3"/>
        <v>6.1164000000000005</v>
      </c>
      <c r="S26" s="20">
        <f t="shared" si="4"/>
        <v>1.3265708650324035</v>
      </c>
      <c r="T26" s="20">
        <f t="shared" si="5"/>
        <v>1.3124346759546637</v>
      </c>
      <c r="U26" s="47">
        <f t="shared" si="6"/>
        <v>0.8</v>
      </c>
      <c r="V26" s="20">
        <f t="shared" si="7"/>
        <v>0.26086956521739124</v>
      </c>
      <c r="W26" s="47">
        <f t="shared" si="8"/>
        <v>1.1043478260869566</v>
      </c>
      <c r="X26" s="47">
        <f t="shared" si="9"/>
        <v>1.072042295438816</v>
      </c>
      <c r="Y26" s="47">
        <v>1</v>
      </c>
      <c r="Z26" s="20">
        <f t="shared" si="10"/>
        <v>0</v>
      </c>
      <c r="AA26" s="47">
        <f t="shared" si="11"/>
        <v>1</v>
      </c>
      <c r="AB26" s="47">
        <f t="shared" si="12"/>
        <v>1</v>
      </c>
      <c r="AC26" s="20">
        <f t="shared" si="13"/>
        <v>1299.8173913043479</v>
      </c>
      <c r="AD26" s="20">
        <f t="shared" si="14"/>
        <v>199.47980161724979</v>
      </c>
      <c r="AE26" s="47">
        <f t="shared" si="15"/>
        <v>556.04800000000012</v>
      </c>
      <c r="AF26" s="20">
        <f t="shared" si="16"/>
        <v>2055.345192921598</v>
      </c>
      <c r="AG26" s="20">
        <f t="shared" si="17"/>
        <v>683.07626430719938</v>
      </c>
      <c r="AH26" s="20">
        <f t="shared" si="18"/>
        <v>7248.51738037017</v>
      </c>
      <c r="AI26" s="20">
        <f t="shared" si="19"/>
        <v>-6248.51738037017</v>
      </c>
    </row>
    <row r="27" spans="8:35" x14ac:dyDescent="0.25">
      <c r="H27" s="108"/>
      <c r="I27" s="108"/>
      <c r="J27" s="108"/>
      <c r="K27" s="108"/>
      <c r="L27" s="43"/>
      <c r="N27" s="18">
        <v>24</v>
      </c>
      <c r="O27" s="20">
        <f t="shared" si="0"/>
        <v>2.4000000000000004</v>
      </c>
      <c r="P27" s="20">
        <f t="shared" si="1"/>
        <v>4.8000000000000007</v>
      </c>
      <c r="Q27" s="47">
        <f t="shared" si="2"/>
        <v>0.6</v>
      </c>
      <c r="R27" s="20">
        <f t="shared" si="3"/>
        <v>6.1164000000000005</v>
      </c>
      <c r="S27" s="20">
        <f t="shared" si="4"/>
        <v>1.3265708650324035</v>
      </c>
      <c r="T27" s="20">
        <f t="shared" si="5"/>
        <v>1.3124346759546637</v>
      </c>
      <c r="U27" s="47">
        <f t="shared" si="6"/>
        <v>0.8</v>
      </c>
      <c r="V27" s="20">
        <f t="shared" si="7"/>
        <v>0.24999999999999994</v>
      </c>
      <c r="W27" s="47">
        <f t="shared" si="8"/>
        <v>1.1000000000000001</v>
      </c>
      <c r="X27" s="47">
        <f t="shared" si="9"/>
        <v>1.0690405331288653</v>
      </c>
      <c r="Y27" s="47">
        <v>1</v>
      </c>
      <c r="Z27" s="20">
        <f t="shared" si="10"/>
        <v>0</v>
      </c>
      <c r="AA27" s="47">
        <f t="shared" si="11"/>
        <v>1</v>
      </c>
      <c r="AB27" s="47">
        <f t="shared" si="12"/>
        <v>1</v>
      </c>
      <c r="AC27" s="20">
        <f t="shared" si="13"/>
        <v>1294.7</v>
      </c>
      <c r="AD27" s="20">
        <f t="shared" si="14"/>
        <v>198.92125000726318</v>
      </c>
      <c r="AE27" s="47">
        <f t="shared" si="15"/>
        <v>580.22400000000005</v>
      </c>
      <c r="AF27" s="20">
        <f t="shared" si="16"/>
        <v>2073.8452500072631</v>
      </c>
      <c r="AG27" s="20">
        <f t="shared" si="17"/>
        <v>689.24295000242103</v>
      </c>
      <c r="AH27" s="20">
        <f t="shared" si="18"/>
        <v>7963.5657600278928</v>
      </c>
      <c r="AI27" s="20">
        <f t="shared" si="19"/>
        <v>-6963.5657600278928</v>
      </c>
    </row>
    <row r="28" spans="8:35" x14ac:dyDescent="0.25">
      <c r="K28" s="43"/>
      <c r="L28" s="43"/>
      <c r="N28" s="18">
        <v>25</v>
      </c>
      <c r="O28" s="20">
        <f t="shared" si="0"/>
        <v>2.5</v>
      </c>
      <c r="P28" s="20">
        <f t="shared" si="1"/>
        <v>5</v>
      </c>
      <c r="Q28" s="47">
        <f t="shared" si="2"/>
        <v>0.6</v>
      </c>
      <c r="R28" s="20">
        <f t="shared" si="3"/>
        <v>6.1164000000000005</v>
      </c>
      <c r="S28" s="20">
        <f t="shared" si="4"/>
        <v>1.3265708650324035</v>
      </c>
      <c r="T28" s="20">
        <f t="shared" si="5"/>
        <v>1.3124346759546637</v>
      </c>
      <c r="U28" s="47">
        <f t="shared" si="6"/>
        <v>0.8</v>
      </c>
      <c r="V28" s="20">
        <f t="shared" si="7"/>
        <v>0.24</v>
      </c>
      <c r="W28" s="47">
        <f t="shared" si="8"/>
        <v>1.0960000000000001</v>
      </c>
      <c r="X28" s="47">
        <f t="shared" si="9"/>
        <v>1.0662789118037108</v>
      </c>
      <c r="Y28" s="47">
        <v>1</v>
      </c>
      <c r="Z28" s="20">
        <f t="shared" si="10"/>
        <v>0</v>
      </c>
      <c r="AA28" s="47">
        <f t="shared" si="11"/>
        <v>1</v>
      </c>
      <c r="AB28" s="47">
        <f t="shared" si="12"/>
        <v>1</v>
      </c>
      <c r="AC28" s="20">
        <f t="shared" si="13"/>
        <v>1289.9920000000002</v>
      </c>
      <c r="AD28" s="20">
        <f t="shared" si="14"/>
        <v>198.40738252607551</v>
      </c>
      <c r="AE28" s="47">
        <f t="shared" si="15"/>
        <v>604.4</v>
      </c>
      <c r="AF28" s="20">
        <f t="shared" si="16"/>
        <v>2092.7993825260755</v>
      </c>
      <c r="AG28" s="20">
        <f t="shared" si="17"/>
        <v>695.56099417535859</v>
      </c>
      <c r="AH28" s="20">
        <f t="shared" si="18"/>
        <v>8719.9974271919818</v>
      </c>
      <c r="AI28" s="20">
        <f t="shared" si="19"/>
        <v>-7719.9974271919818</v>
      </c>
    </row>
    <row r="29" spans="8:35" x14ac:dyDescent="0.25">
      <c r="K29" s="43"/>
      <c r="L29" s="43"/>
      <c r="N29" s="18">
        <v>26</v>
      </c>
      <c r="O29" s="20">
        <f t="shared" si="0"/>
        <v>2.6</v>
      </c>
      <c r="P29" s="20">
        <f t="shared" si="1"/>
        <v>5.2</v>
      </c>
      <c r="Q29" s="47">
        <f t="shared" si="2"/>
        <v>0.6</v>
      </c>
      <c r="R29" s="20">
        <f t="shared" si="3"/>
        <v>6.1164000000000005</v>
      </c>
      <c r="S29" s="20">
        <f t="shared" si="4"/>
        <v>1.3265708650324035</v>
      </c>
      <c r="T29" s="20">
        <f t="shared" si="5"/>
        <v>1.3124346759546637</v>
      </c>
      <c r="U29" s="47">
        <f t="shared" si="6"/>
        <v>0.8</v>
      </c>
      <c r="V29" s="20">
        <f t="shared" si="7"/>
        <v>0.23076923076923075</v>
      </c>
      <c r="W29" s="47">
        <f t="shared" si="8"/>
        <v>1.0923076923076924</v>
      </c>
      <c r="X29" s="47">
        <f t="shared" si="9"/>
        <v>1.0637297228881835</v>
      </c>
      <c r="Y29" s="47">
        <v>1</v>
      </c>
      <c r="Z29" s="20">
        <f t="shared" si="10"/>
        <v>0</v>
      </c>
      <c r="AA29" s="47">
        <f t="shared" si="11"/>
        <v>1</v>
      </c>
      <c r="AB29" s="47">
        <f t="shared" si="12"/>
        <v>1</v>
      </c>
      <c r="AC29" s="20">
        <f t="shared" si="13"/>
        <v>1285.646153846154</v>
      </c>
      <c r="AD29" s="20">
        <f t="shared" si="14"/>
        <v>197.93304331267149</v>
      </c>
      <c r="AE29" s="47">
        <f t="shared" si="15"/>
        <v>628.57600000000002</v>
      </c>
      <c r="AF29" s="20">
        <f t="shared" si="16"/>
        <v>2112.1551971588256</v>
      </c>
      <c r="AG29" s="20">
        <f>((AF29-R29)/$I$4)</f>
        <v>702.01293238627522</v>
      </c>
      <c r="AH29" s="20">
        <f t="shared" si="18"/>
        <v>9518.7794218624422</v>
      </c>
      <c r="AI29" s="20">
        <f t="shared" si="19"/>
        <v>-8518.7794218624422</v>
      </c>
    </row>
    <row r="30" spans="8:35" x14ac:dyDescent="0.25">
      <c r="K30" s="43"/>
      <c r="L30" s="43"/>
    </row>
    <row r="31" spans="8:35" x14ac:dyDescent="0.25">
      <c r="K31" s="43"/>
      <c r="L31" s="43"/>
    </row>
    <row r="32" spans="8:35" ht="15" customHeight="1" x14ac:dyDescent="0.4">
      <c r="H32" s="79"/>
      <c r="I32" s="79"/>
      <c r="J32" s="79"/>
      <c r="K32" s="79"/>
      <c r="L32" s="43"/>
    </row>
    <row r="33" spans="8:12" ht="15" customHeight="1" x14ac:dyDescent="0.4">
      <c r="H33" s="79"/>
      <c r="I33" s="79"/>
      <c r="J33" s="79"/>
      <c r="K33" s="79"/>
      <c r="L33" s="43"/>
    </row>
  </sheetData>
  <mergeCells count="6">
    <mergeCell ref="B1:M1"/>
    <mergeCell ref="H26:K27"/>
    <mergeCell ref="S2:U2"/>
    <mergeCell ref="AC2:AE2"/>
    <mergeCell ref="Z2:AB2"/>
    <mergeCell ref="V2:Y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57150</xdr:colOff>
                    <xdr:row>8</xdr:row>
                    <xdr:rowOff>171450</xdr:rowOff>
                  </from>
                  <to>
                    <xdr:col>10</xdr:col>
                    <xdr:colOff>9525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66675</xdr:colOff>
                    <xdr:row>9</xdr:row>
                    <xdr:rowOff>161925</xdr:rowOff>
                  </from>
                  <to>
                    <xdr:col>9</xdr:col>
                    <xdr:colOff>514350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7</xdr:col>
                    <xdr:colOff>76200</xdr:colOff>
                    <xdr:row>10</xdr:row>
                    <xdr:rowOff>161925</xdr:rowOff>
                  </from>
                  <to>
                    <xdr:col>10</xdr:col>
                    <xdr:colOff>333375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2"/>
  <sheetViews>
    <sheetView showGridLines="0" tabSelected="1" zoomScale="90" zoomScaleNormal="90" workbookViewId="0">
      <selection activeCell="R4" sqref="R4:R29"/>
    </sheetView>
  </sheetViews>
  <sheetFormatPr baseColWidth="10" defaultColWidth="9.140625" defaultRowHeight="15" x14ac:dyDescent="0.25"/>
  <cols>
    <col min="2" max="2" width="11.5703125" customWidth="1"/>
    <col min="18" max="18" width="9.42578125" bestFit="1" customWidth="1"/>
    <col min="19" max="19" width="4.5703125" bestFit="1" customWidth="1"/>
    <col min="21" max="32" width="6.85546875" customWidth="1"/>
    <col min="36" max="36" width="11.85546875" bestFit="1" customWidth="1"/>
    <col min="37" max="37" width="12.7109375" bestFit="1" customWidth="1"/>
    <col min="38" max="38" width="12.28515625" bestFit="1" customWidth="1"/>
    <col min="39" max="39" width="12.28515625" customWidth="1"/>
    <col min="40" max="40" width="7.140625" bestFit="1" customWidth="1"/>
    <col min="41" max="41" width="8.28515625" bestFit="1" customWidth="1"/>
    <col min="42" max="42" width="12.42578125" bestFit="1" customWidth="1"/>
  </cols>
  <sheetData>
    <row r="1" spans="2:42" ht="23.25" x14ac:dyDescent="0.35">
      <c r="B1" s="106" t="s">
        <v>90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2:42" x14ac:dyDescent="0.25">
      <c r="F2">
        <v>1</v>
      </c>
      <c r="O2" s="62" t="s">
        <v>17</v>
      </c>
      <c r="P2" s="62" t="s">
        <v>19</v>
      </c>
      <c r="Q2" s="62" t="s">
        <v>20</v>
      </c>
      <c r="R2" s="62" t="s">
        <v>21</v>
      </c>
      <c r="S2" s="114" t="s">
        <v>23</v>
      </c>
      <c r="T2" s="114"/>
      <c r="U2" s="114"/>
      <c r="V2" s="115" t="s">
        <v>50</v>
      </c>
      <c r="W2" s="116"/>
      <c r="X2" s="116"/>
      <c r="Y2" s="117"/>
      <c r="Z2" s="115" t="s">
        <v>27</v>
      </c>
      <c r="AA2" s="116"/>
      <c r="AB2" s="116"/>
      <c r="AC2" s="116"/>
      <c r="AD2" s="116"/>
      <c r="AE2" s="116"/>
      <c r="AF2" s="116"/>
      <c r="AG2" s="116"/>
      <c r="AH2" s="116"/>
      <c r="AI2" s="117"/>
      <c r="AJ2" s="114" t="s">
        <v>30</v>
      </c>
      <c r="AK2" s="114"/>
      <c r="AL2" s="114"/>
      <c r="AM2" s="63"/>
      <c r="AN2" s="64" t="s">
        <v>34</v>
      </c>
      <c r="AO2" s="62" t="s">
        <v>36</v>
      </c>
      <c r="AP2" s="62" t="s">
        <v>37</v>
      </c>
    </row>
    <row r="3" spans="2:42" ht="18.75" thickBot="1" x14ac:dyDescent="0.45">
      <c r="O3" s="62" t="s">
        <v>18</v>
      </c>
      <c r="P3" s="62" t="s">
        <v>18</v>
      </c>
      <c r="Q3" s="62" t="s">
        <v>18</v>
      </c>
      <c r="R3" s="62" t="s">
        <v>22</v>
      </c>
      <c r="S3" s="62" t="s">
        <v>24</v>
      </c>
      <c r="T3" s="62" t="s">
        <v>25</v>
      </c>
      <c r="U3" s="62" t="s">
        <v>26</v>
      </c>
      <c r="V3" s="62" t="s">
        <v>51</v>
      </c>
      <c r="W3" s="65" t="s">
        <v>52</v>
      </c>
      <c r="X3" s="62" t="s">
        <v>53</v>
      </c>
      <c r="Y3" s="62" t="s">
        <v>54</v>
      </c>
      <c r="Z3" s="62" t="s">
        <v>62</v>
      </c>
      <c r="AA3" s="62" t="s">
        <v>61</v>
      </c>
      <c r="AB3" s="62" t="s">
        <v>60</v>
      </c>
      <c r="AC3" s="62" t="s">
        <v>59</v>
      </c>
      <c r="AD3" s="65" t="s">
        <v>72</v>
      </c>
      <c r="AE3" s="65" t="s">
        <v>73</v>
      </c>
      <c r="AF3" s="65" t="s">
        <v>71</v>
      </c>
      <c r="AG3" s="66" t="s">
        <v>28</v>
      </c>
      <c r="AH3" s="62" t="s">
        <v>29</v>
      </c>
      <c r="AI3" s="62" t="s">
        <v>26</v>
      </c>
      <c r="AJ3" s="62" t="s">
        <v>31</v>
      </c>
      <c r="AK3" s="62" t="s">
        <v>32</v>
      </c>
      <c r="AL3" s="62" t="s">
        <v>33</v>
      </c>
      <c r="AM3" s="62" t="s">
        <v>55</v>
      </c>
      <c r="AN3" s="62" t="s">
        <v>35</v>
      </c>
      <c r="AO3" s="62" t="s">
        <v>35</v>
      </c>
      <c r="AP3" s="62" t="s">
        <v>38</v>
      </c>
    </row>
    <row r="4" spans="2:42" x14ac:dyDescent="0.25">
      <c r="B4" s="80" t="s">
        <v>1</v>
      </c>
      <c r="C4" s="81">
        <v>1000</v>
      </c>
      <c r="D4" s="82" t="s">
        <v>12</v>
      </c>
      <c r="E4" s="83" t="s">
        <v>6</v>
      </c>
      <c r="F4" s="81">
        <v>25</v>
      </c>
      <c r="G4" s="84"/>
      <c r="H4" s="83" t="s">
        <v>13</v>
      </c>
      <c r="I4" s="81">
        <v>3</v>
      </c>
      <c r="J4" s="84"/>
      <c r="K4" s="84" t="s">
        <v>16</v>
      </c>
      <c r="L4" s="84"/>
      <c r="M4" s="85"/>
      <c r="N4" s="18">
        <v>1</v>
      </c>
      <c r="O4" s="20">
        <f>$C$7*N4</f>
        <v>0.1</v>
      </c>
      <c r="P4" s="20">
        <f>O4*$C$8</f>
        <v>0.2</v>
      </c>
      <c r="Q4" s="47">
        <f>$C$6</f>
        <v>0.6</v>
      </c>
      <c r="R4" s="20">
        <f>IF($F$13=1,$C$6*$F$6,IF($F$13=2,$F$7*$C$6,(($C$6-$I$8)*$F$6)+$I$8*($F$6-$I$6)))</f>
        <v>12</v>
      </c>
      <c r="S4" s="20">
        <f>IFERROR(1+((O4/P4)*($M$6/$M$5)),"1")</f>
        <v>1.3265708650324035</v>
      </c>
      <c r="T4" s="20">
        <f>IFERROR(1+((O4/P4)*TAN(RADIANS($F$5))),"1")</f>
        <v>1.3124346759546637</v>
      </c>
      <c r="U4" s="20">
        <f>IFERROR(1-0.4*(O4/P4),"1")</f>
        <v>0.8</v>
      </c>
      <c r="V4" s="20">
        <f>Q4/O4</f>
        <v>5.9999999999999991</v>
      </c>
      <c r="W4" s="47">
        <f>IFERROR(IF(V4&lt;=1,1+0.4*(Q4/O4),1+(0.4*ATAN(Q4/O4))),"1")</f>
        <v>1.5622590597521078</v>
      </c>
      <c r="X4" s="47">
        <f>IFERROR(IF(V4&lt;=1,1+(2*TAN(RADIANS($F$5))*(1-SIN(RADIANS($F$5)))^2*(Q4/O4)),1+(2*TAN(RADIANS($F$5))*(1-SIN(RADIANS($F$5)))^2*ATAN(Q4/O4))),"1")</f>
        <v>1.3881866524182007</v>
      </c>
      <c r="Y4" s="47">
        <v>1</v>
      </c>
      <c r="Z4" s="47">
        <v>1</v>
      </c>
      <c r="AA4" s="47">
        <f>O4*P4</f>
        <v>2.0000000000000004E-2</v>
      </c>
      <c r="AB4" s="47">
        <f>$F$4*0.6</f>
        <v>15</v>
      </c>
      <c r="AC4" s="47">
        <f>SQRT(O4^2+P4^2)</f>
        <v>0.22360679774997899</v>
      </c>
      <c r="AD4" s="47">
        <f>IFERROR(1-(Z4/($C$17+((AA4*AB4)/TAN(RADIANS($I$7))))),1)^D42</f>
        <v>1</v>
      </c>
      <c r="AE4" s="47">
        <f>AD4-((1-AD4)/($M$6-1))</f>
        <v>1</v>
      </c>
      <c r="AF4" s="47">
        <f>IFERROR(1-(Z4/($C$17+((AA4*AB4)/TAN(RADIANS($F$5))))),1)^(AC4+1)</f>
        <v>0.25217746838678529</v>
      </c>
      <c r="AG4" s="20">
        <f>$I$7</f>
        <v>3</v>
      </c>
      <c r="AH4" s="47">
        <f>(1-(AG4/90))^2</f>
        <v>0.93444444444444441</v>
      </c>
      <c r="AI4" s="47">
        <f>(1-AG4/$F$5)^2</f>
        <v>0.8212890625</v>
      </c>
      <c r="AJ4" s="20">
        <f>$F$4*$M$5*S4*W4*AE4*C14*C11</f>
        <v>1838.7789133282308</v>
      </c>
      <c r="AK4" s="20">
        <f>R4*$M$6*T4*X4*AH4*AD4*$C$15</f>
        <v>473.55859646391508</v>
      </c>
      <c r="AL4" s="47">
        <f>0.5*$F$6*O4*$M$7*Y4*AI4*AF4*$C$16*$C$13</f>
        <v>5.740940970922968</v>
      </c>
      <c r="AM4" s="20">
        <f>AJ4+AK4+AL4</f>
        <v>2318.0784507630688</v>
      </c>
      <c r="AN4" s="20">
        <f t="shared" ref="AN4:AN29" si="0">((AM4-R4)/$I$4)</f>
        <v>768.69281692102288</v>
      </c>
      <c r="AO4" s="20">
        <f t="shared" ref="AO4:AO29" si="1">((O4*P4)*AM4)/$I$4</f>
        <v>15.45385633842046</v>
      </c>
      <c r="AP4" s="20">
        <f>$C$4-AO4</f>
        <v>984.54614366157955</v>
      </c>
    </row>
    <row r="5" spans="2:42" x14ac:dyDescent="0.25">
      <c r="B5" s="86" t="s">
        <v>2</v>
      </c>
      <c r="C5" s="87">
        <v>3</v>
      </c>
      <c r="D5" s="88"/>
      <c r="E5" s="89" t="s">
        <v>7</v>
      </c>
      <c r="F5" s="87">
        <v>32</v>
      </c>
      <c r="G5" s="88" t="s">
        <v>8</v>
      </c>
      <c r="H5" s="90"/>
      <c r="I5" s="88"/>
      <c r="J5" s="88"/>
      <c r="K5" s="88"/>
      <c r="L5" s="90" t="s">
        <v>39</v>
      </c>
      <c r="M5" s="91">
        <f>VLOOKUP($F$5,'Base de datos'!$H$4:$K$54,2,0)</f>
        <v>35.49</v>
      </c>
      <c r="N5" s="18">
        <v>2</v>
      </c>
      <c r="O5" s="20">
        <f t="shared" ref="O5:O29" si="2">$C$7*N5</f>
        <v>0.2</v>
      </c>
      <c r="P5" s="20">
        <f t="shared" ref="P5:P29" si="3">O5*$C$8</f>
        <v>0.4</v>
      </c>
      <c r="Q5" s="47">
        <f t="shared" ref="Q5:Q29" si="4">$C$6</f>
        <v>0.6</v>
      </c>
      <c r="R5" s="20">
        <f t="shared" ref="R5:R29" si="5">IF($F$13=1,$C$6*$F$6,IF($F$13=2,$F$7*$C$6,(($C$6-$I$8)*$F$6)+$I$8*($F$6-$I$6)))</f>
        <v>12</v>
      </c>
      <c r="S5" s="20">
        <f t="shared" ref="S5:S29" si="6">IFERROR(1+((O5/P5)*($M$6/$M$5)),"1")</f>
        <v>1.3265708650324035</v>
      </c>
      <c r="T5" s="20">
        <f t="shared" ref="T5:T29" si="7">IFERROR(1+((O5/P5)*TAN(RADIANS($F$5))),"1")</f>
        <v>1.3124346759546637</v>
      </c>
      <c r="U5" s="20">
        <f t="shared" ref="U5:U29" si="8">IFERROR(1-0.4*(O5/P5),"1")</f>
        <v>0.8</v>
      </c>
      <c r="V5" s="20">
        <f t="shared" ref="V5:V29" si="9">Q5/O5</f>
        <v>2.9999999999999996</v>
      </c>
      <c r="W5" s="47">
        <f t="shared" ref="W5:W29" si="10">IFERROR(IF(V5&lt;=1,1+0.4*(Q5/O5),1+(0.4*ATAN(Q5/O5))),"1")</f>
        <v>1.4996183089593018</v>
      </c>
      <c r="X5" s="47">
        <f t="shared" ref="X5:X29" si="11">IFERROR(IF(V5&lt;=1,1+(2*TAN(RADIANS($F$5))*(1-SIN(RADIANS($F$5)))^2*(Q5/O5)),1+(2*TAN(RADIANS($F$5))*(1-SIN(RADIANS($F$5)))^2*ATAN(Q5/O5))),"1")</f>
        <v>1.3449391441149234</v>
      </c>
      <c r="Y5" s="47">
        <v>1</v>
      </c>
      <c r="Z5" s="47">
        <v>1</v>
      </c>
      <c r="AA5" s="47">
        <f t="shared" ref="AA5:AA29" si="12">O5*P5</f>
        <v>8.0000000000000016E-2</v>
      </c>
      <c r="AB5" s="47">
        <f t="shared" ref="AB5:AB29" si="13">$F$4*0.6</f>
        <v>15</v>
      </c>
      <c r="AC5" s="47">
        <f t="shared" ref="AC5:AC29" si="14">SQRT(O5^2+P5^2)</f>
        <v>0.44721359549995798</v>
      </c>
      <c r="AD5" s="47">
        <f t="shared" ref="AD5:AD29" si="15">IFERROR(1-(Z5/($C$17+((AA5*AB5)/TAN(RADIANS($I$7))))),1)^D43</f>
        <v>1</v>
      </c>
      <c r="AE5" s="47">
        <f t="shared" ref="AE5:AE29" si="16">AD5-((1-AD5)/($M$6-1))</f>
        <v>1</v>
      </c>
      <c r="AF5" s="47">
        <f t="shared" ref="AF5:AF29" si="17">IFERROR(1-(Z5/($C$17+((AA5*AB5)/TAN(RADIANS($F$5))))),1)^(AC5+1)</f>
        <v>0.54517256934231606</v>
      </c>
      <c r="AG5" s="20">
        <f t="shared" ref="AG5:AG29" si="18">$I$7</f>
        <v>3</v>
      </c>
      <c r="AH5" s="47">
        <f t="shared" ref="AH5:AH29" si="19">(1-(AG5/90))^2</f>
        <v>0.93444444444444441</v>
      </c>
      <c r="AI5" s="47">
        <f t="shared" ref="AI5:AI29" si="20">(1-AG5/$F$5)^2</f>
        <v>0.8212890625</v>
      </c>
      <c r="AJ5" s="20">
        <f t="shared" ref="AJ5:AJ29" si="21">$F$4*$M$5*S5*W5*AH5</f>
        <v>1649.3418671683639</v>
      </c>
      <c r="AK5" s="20">
        <f t="shared" ref="AK5:AK29" si="22">R5*$M$6*T5*X5*AH5*AD5*$C$15</f>
        <v>458.80537196273923</v>
      </c>
      <c r="AL5" s="47">
        <f t="shared" ref="AL5:AL29" si="23">0.5*$F$6*O5*$M$7*Y5*AI5*AF5*$C$16*$C$13</f>
        <v>24.822229833477493</v>
      </c>
      <c r="AM5" s="20">
        <f t="shared" ref="AM5:AM29" si="24">AJ5+AK5+AL5</f>
        <v>2132.9694689645808</v>
      </c>
      <c r="AN5" s="20">
        <f t="shared" si="0"/>
        <v>706.98982298819362</v>
      </c>
      <c r="AO5" s="20">
        <f t="shared" si="1"/>
        <v>56.879185839055502</v>
      </c>
      <c r="AP5" s="20">
        <f t="shared" ref="AP5:AP29" si="25">$C$4-AO5</f>
        <v>943.12081416094452</v>
      </c>
    </row>
    <row r="6" spans="2:42" x14ac:dyDescent="0.25">
      <c r="B6" s="86" t="s">
        <v>3</v>
      </c>
      <c r="C6" s="87">
        <v>0.6</v>
      </c>
      <c r="D6" s="88"/>
      <c r="E6" s="89" t="s">
        <v>11</v>
      </c>
      <c r="F6" s="87">
        <v>20</v>
      </c>
      <c r="G6" s="88" t="s">
        <v>9</v>
      </c>
      <c r="H6" s="89" t="s">
        <v>14</v>
      </c>
      <c r="I6" s="87">
        <v>9.8059999999999992</v>
      </c>
      <c r="J6" s="88" t="s">
        <v>9</v>
      </c>
      <c r="K6" s="88"/>
      <c r="L6" s="90" t="s">
        <v>40</v>
      </c>
      <c r="M6" s="91">
        <f>VLOOKUP($F$5,'Base de datos'!$H$4:$K$54,3,0)</f>
        <v>23.18</v>
      </c>
      <c r="N6" s="18">
        <v>3</v>
      </c>
      <c r="O6" s="20">
        <f t="shared" si="2"/>
        <v>0.30000000000000004</v>
      </c>
      <c r="P6" s="20">
        <f t="shared" si="3"/>
        <v>0.60000000000000009</v>
      </c>
      <c r="Q6" s="47">
        <f t="shared" si="4"/>
        <v>0.6</v>
      </c>
      <c r="R6" s="20">
        <f t="shared" si="5"/>
        <v>12</v>
      </c>
      <c r="S6" s="20">
        <f t="shared" si="6"/>
        <v>1.3265708650324035</v>
      </c>
      <c r="T6" s="20">
        <f t="shared" si="7"/>
        <v>1.3124346759546637</v>
      </c>
      <c r="U6" s="20">
        <f t="shared" si="8"/>
        <v>0.8</v>
      </c>
      <c r="V6" s="20">
        <f t="shared" si="9"/>
        <v>1.9999999999999996</v>
      </c>
      <c r="W6" s="47">
        <f t="shared" si="10"/>
        <v>1.4428594871176361</v>
      </c>
      <c r="X6" s="47">
        <f t="shared" si="11"/>
        <v>1.3057525509177745</v>
      </c>
      <c r="Y6" s="47">
        <v>1</v>
      </c>
      <c r="Z6" s="47">
        <v>1</v>
      </c>
      <c r="AA6" s="47">
        <f t="shared" si="12"/>
        <v>0.18000000000000005</v>
      </c>
      <c r="AB6" s="47">
        <f t="shared" si="13"/>
        <v>15</v>
      </c>
      <c r="AC6" s="47">
        <f t="shared" si="14"/>
        <v>0.67082039324993703</v>
      </c>
      <c r="AD6" s="47">
        <f t="shared" si="15"/>
        <v>1</v>
      </c>
      <c r="AE6" s="47">
        <f t="shared" si="16"/>
        <v>1</v>
      </c>
      <c r="AF6" s="47">
        <f t="shared" si="17"/>
        <v>0.70621958486415359</v>
      </c>
      <c r="AG6" s="20">
        <f t="shared" si="18"/>
        <v>3</v>
      </c>
      <c r="AH6" s="47">
        <f t="shared" si="19"/>
        <v>0.93444444444444441</v>
      </c>
      <c r="AI6" s="47">
        <f t="shared" si="20"/>
        <v>0.8212890625</v>
      </c>
      <c r="AJ6" s="20">
        <f t="shared" si="21"/>
        <v>1586.9161814886688</v>
      </c>
      <c r="AK6" s="20">
        <f t="shared" si="22"/>
        <v>445.43746639880231</v>
      </c>
      <c r="AL6" s="47">
        <f t="shared" si="23"/>
        <v>48.232282310761214</v>
      </c>
      <c r="AM6" s="20">
        <f t="shared" si="24"/>
        <v>2080.5859301982323</v>
      </c>
      <c r="AN6" s="20">
        <f t="shared" si="0"/>
        <v>689.52864339941073</v>
      </c>
      <c r="AO6" s="20">
        <f t="shared" si="1"/>
        <v>124.83515581189397</v>
      </c>
      <c r="AP6" s="20">
        <f t="shared" si="25"/>
        <v>875.16484418810603</v>
      </c>
    </row>
    <row r="7" spans="2:42" x14ac:dyDescent="0.25">
      <c r="B7" s="86" t="s">
        <v>4</v>
      </c>
      <c r="C7" s="87">
        <v>0.1</v>
      </c>
      <c r="D7" s="88"/>
      <c r="E7" s="89" t="s">
        <v>10</v>
      </c>
      <c r="F7" s="92">
        <f>F6-I6</f>
        <v>10.194000000000001</v>
      </c>
      <c r="G7" s="88" t="s">
        <v>9</v>
      </c>
      <c r="H7" s="89" t="s">
        <v>127</v>
      </c>
      <c r="I7" s="87">
        <v>3</v>
      </c>
      <c r="J7" s="88" t="s">
        <v>57</v>
      </c>
      <c r="K7" s="88"/>
      <c r="L7" s="90" t="s">
        <v>41</v>
      </c>
      <c r="M7" s="91">
        <f>(2*(M6-1))*TAN(RADIANS(F5))</f>
        <v>27.719204450697767</v>
      </c>
      <c r="N7" s="18">
        <v>4</v>
      </c>
      <c r="O7" s="20">
        <f t="shared" si="2"/>
        <v>0.4</v>
      </c>
      <c r="P7" s="20">
        <f t="shared" si="3"/>
        <v>0.8</v>
      </c>
      <c r="Q7" s="47">
        <f>$C$6</f>
        <v>0.6</v>
      </c>
      <c r="R7" s="20">
        <f t="shared" si="5"/>
        <v>12</v>
      </c>
      <c r="S7" s="20">
        <f t="shared" si="6"/>
        <v>1.3265708650324035</v>
      </c>
      <c r="T7" s="20">
        <f t="shared" si="7"/>
        <v>1.3124346759546637</v>
      </c>
      <c r="U7" s="20">
        <f t="shared" si="8"/>
        <v>0.8</v>
      </c>
      <c r="V7" s="20">
        <f t="shared" si="9"/>
        <v>1.4999999999999998</v>
      </c>
      <c r="W7" s="47">
        <f t="shared" si="10"/>
        <v>1.3931174892989318</v>
      </c>
      <c r="X7" s="47">
        <f t="shared" si="11"/>
        <v>1.2714104104347925</v>
      </c>
      <c r="Y7" s="47">
        <v>1</v>
      </c>
      <c r="Z7" s="47">
        <v>1</v>
      </c>
      <c r="AA7" s="47">
        <f t="shared" si="12"/>
        <v>0.32000000000000006</v>
      </c>
      <c r="AB7" s="47">
        <f t="shared" si="13"/>
        <v>15</v>
      </c>
      <c r="AC7" s="47">
        <f t="shared" si="14"/>
        <v>0.89442719099991597</v>
      </c>
      <c r="AD7" s="47">
        <f t="shared" si="15"/>
        <v>1</v>
      </c>
      <c r="AE7" s="47">
        <f t="shared" si="16"/>
        <v>1</v>
      </c>
      <c r="AF7" s="47">
        <f t="shared" si="17"/>
        <v>0.79307616227813127</v>
      </c>
      <c r="AG7" s="20">
        <f t="shared" si="18"/>
        <v>3</v>
      </c>
      <c r="AH7" s="47">
        <f t="shared" si="19"/>
        <v>0.93444444444444441</v>
      </c>
      <c r="AI7" s="47">
        <f t="shared" si="20"/>
        <v>0.8212890625</v>
      </c>
      <c r="AJ7" s="20">
        <f t="shared" si="21"/>
        <v>1532.2078873388584</v>
      </c>
      <c r="AK7" s="20">
        <f t="shared" si="22"/>
        <v>433.72217161595904</v>
      </c>
      <c r="AL7" s="47">
        <f t="shared" si="23"/>
        <v>72.219036255872965</v>
      </c>
      <c r="AM7" s="20">
        <f t="shared" si="24"/>
        <v>2038.1490952106903</v>
      </c>
      <c r="AN7" s="20">
        <f t="shared" si="0"/>
        <v>675.38303173689678</v>
      </c>
      <c r="AO7" s="20">
        <f t="shared" si="1"/>
        <v>217.40257015580701</v>
      </c>
      <c r="AP7" s="20">
        <f t="shared" si="25"/>
        <v>782.59742984419302</v>
      </c>
    </row>
    <row r="8" spans="2:42" ht="15.75" thickBot="1" x14ac:dyDescent="0.3">
      <c r="B8" s="93" t="s">
        <v>5</v>
      </c>
      <c r="C8" s="94">
        <v>2</v>
      </c>
      <c r="D8" s="95" t="s">
        <v>15</v>
      </c>
      <c r="E8" s="95"/>
      <c r="F8" s="95"/>
      <c r="G8" s="95"/>
      <c r="H8" s="96" t="s">
        <v>58</v>
      </c>
      <c r="I8" s="94">
        <v>0.6</v>
      </c>
      <c r="J8" s="95"/>
      <c r="K8" s="95"/>
      <c r="L8" s="95"/>
      <c r="M8" s="97"/>
      <c r="N8" s="18">
        <v>5</v>
      </c>
      <c r="O8" s="20">
        <f t="shared" si="2"/>
        <v>0.5</v>
      </c>
      <c r="P8" s="20">
        <f t="shared" si="3"/>
        <v>1</v>
      </c>
      <c r="Q8" s="47">
        <f t="shared" si="4"/>
        <v>0.6</v>
      </c>
      <c r="R8" s="20">
        <f t="shared" si="5"/>
        <v>12</v>
      </c>
      <c r="S8" s="20">
        <f t="shared" si="6"/>
        <v>1.3265708650324035</v>
      </c>
      <c r="T8" s="20">
        <f t="shared" si="7"/>
        <v>1.3124346759546637</v>
      </c>
      <c r="U8" s="20">
        <f t="shared" si="8"/>
        <v>0.8</v>
      </c>
      <c r="V8" s="20">
        <f t="shared" si="9"/>
        <v>1.2</v>
      </c>
      <c r="W8" s="47">
        <f t="shared" si="10"/>
        <v>1.3504232202392774</v>
      </c>
      <c r="X8" s="47">
        <f t="shared" si="11"/>
        <v>1.241934059460535</v>
      </c>
      <c r="Y8" s="47">
        <v>1</v>
      </c>
      <c r="Z8" s="47">
        <v>1</v>
      </c>
      <c r="AA8" s="47">
        <f t="shared" si="12"/>
        <v>0.5</v>
      </c>
      <c r="AB8" s="47">
        <f t="shared" si="13"/>
        <v>15</v>
      </c>
      <c r="AC8" s="47">
        <f t="shared" si="14"/>
        <v>1.1180339887498949</v>
      </c>
      <c r="AD8" s="47">
        <f t="shared" si="15"/>
        <v>1</v>
      </c>
      <c r="AE8" s="47">
        <f t="shared" si="16"/>
        <v>1</v>
      </c>
      <c r="AF8" s="47">
        <f t="shared" si="17"/>
        <v>0.844087499267824</v>
      </c>
      <c r="AG8" s="20">
        <f t="shared" si="18"/>
        <v>3</v>
      </c>
      <c r="AH8" s="47">
        <f t="shared" si="19"/>
        <v>0.93444444444444441</v>
      </c>
      <c r="AI8" s="47">
        <f t="shared" si="20"/>
        <v>0.8212890625</v>
      </c>
      <c r="AJ8" s="20">
        <f t="shared" si="21"/>
        <v>1485.2509750182116</v>
      </c>
      <c r="AK8" s="20">
        <f t="shared" si="22"/>
        <v>423.66676633459355</v>
      </c>
      <c r="AL8" s="47">
        <f t="shared" si="23"/>
        <v>96.080283036192455</v>
      </c>
      <c r="AM8" s="20">
        <f t="shared" si="24"/>
        <v>2004.9980243889977</v>
      </c>
      <c r="AN8" s="20">
        <f t="shared" si="0"/>
        <v>664.33267479633253</v>
      </c>
      <c r="AO8" s="20">
        <f t="shared" si="1"/>
        <v>334.16633739816626</v>
      </c>
      <c r="AP8" s="20">
        <f t="shared" si="25"/>
        <v>665.83366260183379</v>
      </c>
    </row>
    <row r="9" spans="2:42" x14ac:dyDescent="0.25"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18">
        <v>6</v>
      </c>
      <c r="O9" s="20">
        <f t="shared" si="2"/>
        <v>0.60000000000000009</v>
      </c>
      <c r="P9" s="20">
        <f t="shared" si="3"/>
        <v>1.2000000000000002</v>
      </c>
      <c r="Q9" s="47">
        <f t="shared" si="4"/>
        <v>0.6</v>
      </c>
      <c r="R9" s="20">
        <f t="shared" si="5"/>
        <v>12</v>
      </c>
      <c r="S9" s="20">
        <f t="shared" si="6"/>
        <v>1.3265708650324035</v>
      </c>
      <c r="T9" s="20">
        <f t="shared" si="7"/>
        <v>1.3124346759546637</v>
      </c>
      <c r="U9" s="20">
        <f t="shared" si="8"/>
        <v>0.8</v>
      </c>
      <c r="V9" s="20">
        <f t="shared" si="9"/>
        <v>0.99999999999999978</v>
      </c>
      <c r="W9" s="47">
        <f t="shared" si="10"/>
        <v>1.4</v>
      </c>
      <c r="X9" s="47">
        <f t="shared" si="11"/>
        <v>1.2761621325154613</v>
      </c>
      <c r="Y9" s="47">
        <v>1</v>
      </c>
      <c r="Z9" s="47">
        <v>1</v>
      </c>
      <c r="AA9" s="47">
        <f t="shared" si="12"/>
        <v>0.7200000000000002</v>
      </c>
      <c r="AB9" s="47">
        <f t="shared" si="13"/>
        <v>15</v>
      </c>
      <c r="AC9" s="47">
        <f t="shared" si="14"/>
        <v>1.3416407864998741</v>
      </c>
      <c r="AD9" s="47">
        <f t="shared" si="15"/>
        <v>1</v>
      </c>
      <c r="AE9" s="47">
        <f t="shared" si="16"/>
        <v>1</v>
      </c>
      <c r="AF9" s="47">
        <f t="shared" si="17"/>
        <v>0.87659623345747717</v>
      </c>
      <c r="AG9" s="20">
        <f t="shared" si="18"/>
        <v>3</v>
      </c>
      <c r="AH9" s="47">
        <f>(1-(AG9/90))^2</f>
        <v>0.93444444444444441</v>
      </c>
      <c r="AI9" s="47">
        <f t="shared" si="20"/>
        <v>0.8212890625</v>
      </c>
      <c r="AJ9" s="20">
        <f t="shared" si="21"/>
        <v>1539.7775555555554</v>
      </c>
      <c r="AK9" s="20">
        <f t="shared" si="22"/>
        <v>435.34314876293587</v>
      </c>
      <c r="AL9" s="47">
        <f t="shared" si="23"/>
        <v>119.73680116164971</v>
      </c>
      <c r="AM9" s="20">
        <f t="shared" si="24"/>
        <v>2094.8575054801408</v>
      </c>
      <c r="AN9" s="20">
        <f t="shared" si="0"/>
        <v>694.28583516004699</v>
      </c>
      <c r="AO9" s="20">
        <f t="shared" si="1"/>
        <v>502.76580131523389</v>
      </c>
      <c r="AP9" s="20">
        <f t="shared" si="25"/>
        <v>497.23419868476611</v>
      </c>
    </row>
    <row r="10" spans="2:42" x14ac:dyDescent="0.25">
      <c r="B10" s="119" t="s">
        <v>69</v>
      </c>
      <c r="C10" s="119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18">
        <v>7</v>
      </c>
      <c r="O10" s="20">
        <f t="shared" si="2"/>
        <v>0.70000000000000007</v>
      </c>
      <c r="P10" s="20">
        <f t="shared" si="3"/>
        <v>1.4000000000000001</v>
      </c>
      <c r="Q10" s="47">
        <f t="shared" si="4"/>
        <v>0.6</v>
      </c>
      <c r="R10" s="20">
        <f t="shared" si="5"/>
        <v>12</v>
      </c>
      <c r="S10" s="20">
        <f t="shared" si="6"/>
        <v>1.3265708650324035</v>
      </c>
      <c r="T10" s="20">
        <f t="shared" si="7"/>
        <v>1.3124346759546637</v>
      </c>
      <c r="U10" s="20">
        <f t="shared" si="8"/>
        <v>0.8</v>
      </c>
      <c r="V10" s="20">
        <f t="shared" si="9"/>
        <v>0.85714285714285698</v>
      </c>
      <c r="W10" s="47">
        <f t="shared" si="10"/>
        <v>1.3428571428571427</v>
      </c>
      <c r="X10" s="47">
        <f t="shared" si="11"/>
        <v>1.2367103992989668</v>
      </c>
      <c r="Y10" s="47">
        <v>1</v>
      </c>
      <c r="Z10" s="47">
        <v>1</v>
      </c>
      <c r="AA10" s="47">
        <f t="shared" si="12"/>
        <v>0.9800000000000002</v>
      </c>
      <c r="AB10" s="47">
        <f t="shared" si="13"/>
        <v>15</v>
      </c>
      <c r="AC10" s="47">
        <f t="shared" si="14"/>
        <v>1.565247584249853</v>
      </c>
      <c r="AD10" s="47">
        <f t="shared" si="15"/>
        <v>1</v>
      </c>
      <c r="AE10" s="47">
        <f t="shared" si="16"/>
        <v>1</v>
      </c>
      <c r="AF10" s="47">
        <f t="shared" si="17"/>
        <v>0.89871449195358799</v>
      </c>
      <c r="AG10" s="20">
        <f t="shared" si="18"/>
        <v>3</v>
      </c>
      <c r="AH10" s="47">
        <f t="shared" si="19"/>
        <v>0.93444444444444441</v>
      </c>
      <c r="AI10" s="47">
        <f t="shared" si="20"/>
        <v>0.8212890625</v>
      </c>
      <c r="AJ10" s="20">
        <f t="shared" si="21"/>
        <v>1476.9294920634918</v>
      </c>
      <c r="AK10" s="20">
        <f t="shared" si="22"/>
        <v>421.8847947458251</v>
      </c>
      <c r="AL10" s="47">
        <f t="shared" si="23"/>
        <v>143.21766400135135</v>
      </c>
      <c r="AM10" s="20">
        <f t="shared" si="24"/>
        <v>2042.0319508106681</v>
      </c>
      <c r="AN10" s="20">
        <f t="shared" si="0"/>
        <v>676.67731693688938</v>
      </c>
      <c r="AO10" s="20">
        <f t="shared" si="1"/>
        <v>667.06377059815179</v>
      </c>
      <c r="AP10" s="20">
        <f t="shared" si="25"/>
        <v>332.93622940184821</v>
      </c>
    </row>
    <row r="11" spans="2:42" x14ac:dyDescent="0.25">
      <c r="B11" s="99" t="s">
        <v>63</v>
      </c>
      <c r="C11" s="100">
        <v>1</v>
      </c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18">
        <v>8</v>
      </c>
      <c r="O11" s="20">
        <f t="shared" si="2"/>
        <v>0.8</v>
      </c>
      <c r="P11" s="20">
        <f t="shared" si="3"/>
        <v>1.6</v>
      </c>
      <c r="Q11" s="47">
        <f t="shared" si="4"/>
        <v>0.6</v>
      </c>
      <c r="R11" s="20">
        <f t="shared" si="5"/>
        <v>12</v>
      </c>
      <c r="S11" s="20">
        <f t="shared" si="6"/>
        <v>1.3265708650324035</v>
      </c>
      <c r="T11" s="20">
        <f t="shared" si="7"/>
        <v>1.3124346759546637</v>
      </c>
      <c r="U11" s="20">
        <f t="shared" si="8"/>
        <v>0.8</v>
      </c>
      <c r="V11" s="20">
        <f t="shared" si="9"/>
        <v>0.74999999999999989</v>
      </c>
      <c r="W11" s="47">
        <f t="shared" si="10"/>
        <v>1.3</v>
      </c>
      <c r="X11" s="47">
        <f t="shared" si="11"/>
        <v>1.207121599386596</v>
      </c>
      <c r="Y11" s="47">
        <v>1</v>
      </c>
      <c r="Z11" s="47">
        <v>1</v>
      </c>
      <c r="AA11" s="47">
        <f t="shared" si="12"/>
        <v>1.2800000000000002</v>
      </c>
      <c r="AB11" s="47">
        <f t="shared" si="13"/>
        <v>15</v>
      </c>
      <c r="AC11" s="47">
        <f t="shared" si="14"/>
        <v>1.7888543819998319</v>
      </c>
      <c r="AD11" s="47">
        <f t="shared" si="15"/>
        <v>1</v>
      </c>
      <c r="AE11" s="47">
        <f t="shared" si="16"/>
        <v>1</v>
      </c>
      <c r="AF11" s="47">
        <f t="shared" si="17"/>
        <v>0.91455437340825119</v>
      </c>
      <c r="AG11" s="20">
        <f t="shared" si="18"/>
        <v>3</v>
      </c>
      <c r="AH11" s="47">
        <f t="shared" si="19"/>
        <v>0.93444444444444441</v>
      </c>
      <c r="AI11" s="47">
        <f t="shared" si="20"/>
        <v>0.8212890625</v>
      </c>
      <c r="AJ11" s="20">
        <f t="shared" si="21"/>
        <v>1429.7934444444445</v>
      </c>
      <c r="AK11" s="20">
        <f t="shared" si="22"/>
        <v>411.79102923299217</v>
      </c>
      <c r="AL11" s="47">
        <f t="shared" si="23"/>
        <v>166.56215025152804</v>
      </c>
      <c r="AM11" s="20">
        <f t="shared" si="24"/>
        <v>2008.1466239289646</v>
      </c>
      <c r="AN11" s="20">
        <f t="shared" si="0"/>
        <v>665.38220797632152</v>
      </c>
      <c r="AO11" s="20">
        <f t="shared" si="1"/>
        <v>856.8092262096917</v>
      </c>
      <c r="AP11" s="20">
        <f t="shared" si="25"/>
        <v>143.1907737903083</v>
      </c>
    </row>
    <row r="12" spans="2:42" x14ac:dyDescent="0.25">
      <c r="B12" s="99" t="s">
        <v>64</v>
      </c>
      <c r="C12" s="100">
        <v>1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18">
        <v>9</v>
      </c>
      <c r="O12" s="20">
        <f t="shared" si="2"/>
        <v>0.9</v>
      </c>
      <c r="P12" s="20">
        <f t="shared" si="3"/>
        <v>1.8</v>
      </c>
      <c r="Q12" s="47">
        <f t="shared" si="4"/>
        <v>0.6</v>
      </c>
      <c r="R12" s="20">
        <f t="shared" si="5"/>
        <v>12</v>
      </c>
      <c r="S12" s="20">
        <f t="shared" si="6"/>
        <v>1.3265708650324035</v>
      </c>
      <c r="T12" s="20">
        <f t="shared" si="7"/>
        <v>1.3124346759546637</v>
      </c>
      <c r="U12" s="20">
        <f t="shared" si="8"/>
        <v>0.8</v>
      </c>
      <c r="V12" s="20">
        <f t="shared" si="9"/>
        <v>0.66666666666666663</v>
      </c>
      <c r="W12" s="47">
        <f t="shared" si="10"/>
        <v>1.2666666666666666</v>
      </c>
      <c r="X12" s="47">
        <f t="shared" si="11"/>
        <v>1.1841080883436408</v>
      </c>
      <c r="Y12" s="47">
        <v>1</v>
      </c>
      <c r="Z12" s="47">
        <v>1</v>
      </c>
      <c r="AA12" s="47">
        <f t="shared" si="12"/>
        <v>1.62</v>
      </c>
      <c r="AB12" s="47">
        <f t="shared" si="13"/>
        <v>15</v>
      </c>
      <c r="AC12" s="47">
        <f t="shared" si="14"/>
        <v>2.0124611797498111</v>
      </c>
      <c r="AD12" s="47">
        <f t="shared" si="15"/>
        <v>1</v>
      </c>
      <c r="AE12" s="47">
        <f t="shared" si="16"/>
        <v>1</v>
      </c>
      <c r="AF12" s="47">
        <f t="shared" si="17"/>
        <v>0.9263662933024075</v>
      </c>
      <c r="AG12" s="20">
        <f t="shared" si="18"/>
        <v>3</v>
      </c>
      <c r="AH12" s="47">
        <f t="shared" si="19"/>
        <v>0.93444444444444441</v>
      </c>
      <c r="AI12" s="47">
        <f t="shared" si="20"/>
        <v>0.8212890625</v>
      </c>
      <c r="AJ12" s="20">
        <f t="shared" si="21"/>
        <v>1393.1320740740739</v>
      </c>
      <c r="AK12" s="20">
        <f t="shared" si="22"/>
        <v>403.94032272301087</v>
      </c>
      <c r="AL12" s="47">
        <f t="shared" si="23"/>
        <v>189.80255520807935</v>
      </c>
      <c r="AM12" s="20">
        <f t="shared" si="24"/>
        <v>1986.8749520051642</v>
      </c>
      <c r="AN12" s="20">
        <f t="shared" si="0"/>
        <v>658.29165066838812</v>
      </c>
      <c r="AO12" s="20">
        <f t="shared" si="1"/>
        <v>1072.9124740827888</v>
      </c>
      <c r="AP12" s="20">
        <f t="shared" si="25"/>
        <v>-72.912474082788776</v>
      </c>
    </row>
    <row r="13" spans="2:42" x14ac:dyDescent="0.25">
      <c r="B13" s="99" t="s">
        <v>65</v>
      </c>
      <c r="C13" s="100">
        <v>1</v>
      </c>
      <c r="D13" s="98"/>
      <c r="E13" s="98"/>
      <c r="F13" s="101">
        <v>1</v>
      </c>
      <c r="G13" s="98"/>
      <c r="H13" s="98"/>
      <c r="I13" s="98"/>
      <c r="J13" s="98"/>
      <c r="K13" s="98"/>
      <c r="L13" s="98"/>
      <c r="M13" s="98"/>
      <c r="N13" s="18">
        <v>10</v>
      </c>
      <c r="O13" s="20">
        <f t="shared" si="2"/>
        <v>1</v>
      </c>
      <c r="P13" s="20">
        <f t="shared" si="3"/>
        <v>2</v>
      </c>
      <c r="Q13" s="47">
        <f t="shared" si="4"/>
        <v>0.6</v>
      </c>
      <c r="R13" s="20">
        <f t="shared" si="5"/>
        <v>12</v>
      </c>
      <c r="S13" s="20">
        <f t="shared" si="6"/>
        <v>1.3265708650324035</v>
      </c>
      <c r="T13" s="20">
        <f t="shared" si="7"/>
        <v>1.3124346759546637</v>
      </c>
      <c r="U13" s="20">
        <f t="shared" si="8"/>
        <v>0.8</v>
      </c>
      <c r="V13" s="20">
        <f t="shared" si="9"/>
        <v>0.6</v>
      </c>
      <c r="W13" s="47">
        <f t="shared" si="10"/>
        <v>1.24</v>
      </c>
      <c r="X13" s="47">
        <f t="shared" si="11"/>
        <v>1.1656972795092768</v>
      </c>
      <c r="Y13" s="47">
        <v>1</v>
      </c>
      <c r="Z13" s="47">
        <v>1</v>
      </c>
      <c r="AA13" s="47">
        <f t="shared" si="12"/>
        <v>2</v>
      </c>
      <c r="AB13" s="47">
        <f t="shared" si="13"/>
        <v>15</v>
      </c>
      <c r="AC13" s="47">
        <f t="shared" si="14"/>
        <v>2.2360679774997898</v>
      </c>
      <c r="AD13" s="47">
        <f t="shared" si="15"/>
        <v>1</v>
      </c>
      <c r="AE13" s="47">
        <f t="shared" si="16"/>
        <v>1</v>
      </c>
      <c r="AF13" s="47">
        <f t="shared" si="17"/>
        <v>0.93546494141203984</v>
      </c>
      <c r="AG13" s="20">
        <f t="shared" si="18"/>
        <v>3</v>
      </c>
      <c r="AH13" s="47">
        <f t="shared" si="19"/>
        <v>0.93444444444444441</v>
      </c>
      <c r="AI13" s="47">
        <f t="shared" si="20"/>
        <v>0.8212890625</v>
      </c>
      <c r="AJ13" s="20">
        <f t="shared" si="21"/>
        <v>1363.8029777777776</v>
      </c>
      <c r="AK13" s="20">
        <f t="shared" si="22"/>
        <v>397.65975751502589</v>
      </c>
      <c r="AL13" s="47">
        <f t="shared" si="23"/>
        <v>212.96307887338031</v>
      </c>
      <c r="AM13" s="20">
        <f t="shared" si="24"/>
        <v>1974.4258141661837</v>
      </c>
      <c r="AN13" s="20">
        <f t="shared" si="0"/>
        <v>654.14193805539458</v>
      </c>
      <c r="AO13" s="20">
        <f t="shared" si="1"/>
        <v>1316.2838761107892</v>
      </c>
      <c r="AP13" s="20">
        <f t="shared" si="25"/>
        <v>-316.28387611078915</v>
      </c>
    </row>
    <row r="14" spans="2:42" x14ac:dyDescent="0.25">
      <c r="B14" s="99" t="s">
        <v>66</v>
      </c>
      <c r="C14" s="100">
        <v>1</v>
      </c>
      <c r="D14" s="98"/>
      <c r="E14" s="98"/>
      <c r="F14" s="98"/>
      <c r="G14" s="98"/>
      <c r="H14" s="98"/>
      <c r="I14" s="98"/>
      <c r="J14" s="98"/>
      <c r="K14" s="102"/>
      <c r="L14" s="102"/>
      <c r="M14" s="98"/>
      <c r="N14" s="18">
        <v>11</v>
      </c>
      <c r="O14" s="20">
        <f t="shared" si="2"/>
        <v>1.1000000000000001</v>
      </c>
      <c r="P14" s="20">
        <f t="shared" si="3"/>
        <v>2.2000000000000002</v>
      </c>
      <c r="Q14" s="47">
        <f t="shared" si="4"/>
        <v>0.6</v>
      </c>
      <c r="R14" s="20">
        <f t="shared" si="5"/>
        <v>12</v>
      </c>
      <c r="S14" s="20">
        <f t="shared" si="6"/>
        <v>1.3265708650324035</v>
      </c>
      <c r="T14" s="20">
        <f t="shared" si="7"/>
        <v>1.3124346759546637</v>
      </c>
      <c r="U14" s="20">
        <f t="shared" si="8"/>
        <v>0.8</v>
      </c>
      <c r="V14" s="20">
        <f t="shared" si="9"/>
        <v>0.54545454545454541</v>
      </c>
      <c r="W14" s="47">
        <f t="shared" si="10"/>
        <v>1.2181818181818183</v>
      </c>
      <c r="X14" s="47">
        <f t="shared" si="11"/>
        <v>1.1506338904629789</v>
      </c>
      <c r="Y14" s="47">
        <v>1</v>
      </c>
      <c r="Z14" s="47">
        <v>1</v>
      </c>
      <c r="AA14" s="47">
        <f t="shared" si="12"/>
        <v>2.4200000000000004</v>
      </c>
      <c r="AB14" s="47">
        <f t="shared" si="13"/>
        <v>15</v>
      </c>
      <c r="AC14" s="47">
        <f t="shared" si="14"/>
        <v>2.459674775249769</v>
      </c>
      <c r="AD14" s="47">
        <f t="shared" si="15"/>
        <v>1</v>
      </c>
      <c r="AE14" s="47">
        <f t="shared" si="16"/>
        <v>1</v>
      </c>
      <c r="AF14" s="47">
        <f t="shared" si="17"/>
        <v>0.94266136144279955</v>
      </c>
      <c r="AG14" s="20">
        <f t="shared" si="18"/>
        <v>3</v>
      </c>
      <c r="AH14" s="47">
        <f t="shared" si="19"/>
        <v>0.93444444444444441</v>
      </c>
      <c r="AI14" s="47">
        <f t="shared" si="20"/>
        <v>0.8212890625</v>
      </c>
      <c r="AJ14" s="20">
        <f t="shared" si="21"/>
        <v>1339.8064444444447</v>
      </c>
      <c r="AK14" s="20">
        <f t="shared" si="22"/>
        <v>392.52111325394725</v>
      </c>
      <c r="AL14" s="47">
        <f t="shared" si="23"/>
        <v>236.06151623521649</v>
      </c>
      <c r="AM14" s="20">
        <f t="shared" si="24"/>
        <v>1968.3890739336084</v>
      </c>
      <c r="AN14" s="20">
        <f t="shared" si="0"/>
        <v>652.12969131120281</v>
      </c>
      <c r="AO14" s="20">
        <f t="shared" si="1"/>
        <v>1587.8338529731111</v>
      </c>
      <c r="AP14" s="20">
        <f t="shared" si="25"/>
        <v>-587.83385297311111</v>
      </c>
    </row>
    <row r="15" spans="2:42" x14ac:dyDescent="0.25">
      <c r="B15" s="99" t="s">
        <v>67</v>
      </c>
      <c r="C15" s="100">
        <v>1</v>
      </c>
      <c r="D15" s="98"/>
      <c r="E15" s="98"/>
      <c r="F15" s="98"/>
      <c r="G15" s="98"/>
      <c r="H15" s="98"/>
      <c r="I15" s="98"/>
      <c r="J15" s="98"/>
      <c r="K15" s="102"/>
      <c r="L15" s="102"/>
      <c r="M15" s="98"/>
      <c r="N15" s="18">
        <v>12</v>
      </c>
      <c r="O15" s="20">
        <f t="shared" si="2"/>
        <v>1.2000000000000002</v>
      </c>
      <c r="P15" s="20">
        <f t="shared" si="3"/>
        <v>2.4000000000000004</v>
      </c>
      <c r="Q15" s="47">
        <f t="shared" si="4"/>
        <v>0.6</v>
      </c>
      <c r="R15" s="20">
        <f t="shared" si="5"/>
        <v>12</v>
      </c>
      <c r="S15" s="20">
        <f t="shared" si="6"/>
        <v>1.3265708650324035</v>
      </c>
      <c r="T15" s="20">
        <f t="shared" si="7"/>
        <v>1.3124346759546637</v>
      </c>
      <c r="U15" s="20">
        <f t="shared" si="8"/>
        <v>0.8</v>
      </c>
      <c r="V15" s="20">
        <f t="shared" si="9"/>
        <v>0.49999999999999989</v>
      </c>
      <c r="W15" s="47">
        <f t="shared" si="10"/>
        <v>1.2</v>
      </c>
      <c r="X15" s="47">
        <f t="shared" si="11"/>
        <v>1.1380810662577305</v>
      </c>
      <c r="Y15" s="47">
        <v>1</v>
      </c>
      <c r="Z15" s="47">
        <v>1</v>
      </c>
      <c r="AA15" s="47">
        <f t="shared" si="12"/>
        <v>2.8800000000000008</v>
      </c>
      <c r="AB15" s="47">
        <f t="shared" si="13"/>
        <v>15</v>
      </c>
      <c r="AC15" s="47">
        <f t="shared" si="14"/>
        <v>2.6832815729997481</v>
      </c>
      <c r="AD15" s="47">
        <f t="shared" si="15"/>
        <v>1</v>
      </c>
      <c r="AE15" s="47">
        <f t="shared" si="16"/>
        <v>1</v>
      </c>
      <c r="AF15" s="47">
        <f t="shared" si="17"/>
        <v>0.94847918142808496</v>
      </c>
      <c r="AG15" s="20">
        <f t="shared" si="18"/>
        <v>3</v>
      </c>
      <c r="AH15" s="47">
        <f t="shared" si="19"/>
        <v>0.93444444444444441</v>
      </c>
      <c r="AI15" s="47">
        <f t="shared" si="20"/>
        <v>0.8212890625</v>
      </c>
      <c r="AJ15" s="20">
        <f t="shared" si="21"/>
        <v>1319.8093333333331</v>
      </c>
      <c r="AK15" s="20">
        <f t="shared" si="22"/>
        <v>388.23890970304836</v>
      </c>
      <c r="AL15" s="47">
        <f t="shared" si="23"/>
        <v>259.11099960966908</v>
      </c>
      <c r="AM15" s="20">
        <f t="shared" si="24"/>
        <v>1967.1592426460506</v>
      </c>
      <c r="AN15" s="20">
        <f t="shared" si="0"/>
        <v>651.71974754868359</v>
      </c>
      <c r="AO15" s="20">
        <f t="shared" si="1"/>
        <v>1888.4728729402093</v>
      </c>
      <c r="AP15" s="20">
        <f t="shared" si="25"/>
        <v>-888.4728729402093</v>
      </c>
    </row>
    <row r="16" spans="2:42" x14ac:dyDescent="0.25">
      <c r="B16" s="99" t="s">
        <v>68</v>
      </c>
      <c r="C16" s="100">
        <v>1</v>
      </c>
      <c r="D16" s="98"/>
      <c r="E16" s="98"/>
      <c r="F16" s="98"/>
      <c r="G16" s="98"/>
      <c r="H16" s="98"/>
      <c r="I16" s="98"/>
      <c r="J16" s="98"/>
      <c r="K16" s="102"/>
      <c r="L16" s="102"/>
      <c r="M16" s="98"/>
      <c r="N16" s="18">
        <v>13</v>
      </c>
      <c r="O16" s="20">
        <f t="shared" si="2"/>
        <v>1.3</v>
      </c>
      <c r="P16" s="20">
        <f t="shared" si="3"/>
        <v>2.6</v>
      </c>
      <c r="Q16" s="47">
        <f t="shared" si="4"/>
        <v>0.6</v>
      </c>
      <c r="R16" s="20">
        <f t="shared" si="5"/>
        <v>12</v>
      </c>
      <c r="S16" s="20">
        <f t="shared" si="6"/>
        <v>1.3265708650324035</v>
      </c>
      <c r="T16" s="20">
        <f t="shared" si="7"/>
        <v>1.3124346759546637</v>
      </c>
      <c r="U16" s="20">
        <f t="shared" si="8"/>
        <v>0.8</v>
      </c>
      <c r="V16" s="20">
        <f t="shared" si="9"/>
        <v>0.46153846153846151</v>
      </c>
      <c r="W16" s="47">
        <f t="shared" si="10"/>
        <v>1.1846153846153846</v>
      </c>
      <c r="X16" s="47">
        <f t="shared" si="11"/>
        <v>1.1274594457763667</v>
      </c>
      <c r="Y16" s="47">
        <v>1</v>
      </c>
      <c r="Z16" s="47">
        <v>1</v>
      </c>
      <c r="AA16" s="47">
        <f t="shared" si="12"/>
        <v>3.3800000000000003</v>
      </c>
      <c r="AB16" s="47">
        <f t="shared" si="13"/>
        <v>15</v>
      </c>
      <c r="AC16" s="47">
        <f t="shared" si="14"/>
        <v>2.9068883707497268</v>
      </c>
      <c r="AD16" s="47">
        <f t="shared" si="15"/>
        <v>1</v>
      </c>
      <c r="AE16" s="47">
        <f t="shared" si="16"/>
        <v>1</v>
      </c>
      <c r="AF16" s="47">
        <f t="shared" si="17"/>
        <v>0.95326966058854135</v>
      </c>
      <c r="AG16" s="20">
        <f t="shared" si="18"/>
        <v>3</v>
      </c>
      <c r="AH16" s="47">
        <f t="shared" si="19"/>
        <v>0.93444444444444441</v>
      </c>
      <c r="AI16" s="47">
        <f t="shared" si="20"/>
        <v>0.8212890625</v>
      </c>
      <c r="AJ16" s="20">
        <f t="shared" si="21"/>
        <v>1302.8887008547008</v>
      </c>
      <c r="AK16" s="20">
        <f t="shared" si="22"/>
        <v>384.61550669844161</v>
      </c>
      <c r="AL16" s="47">
        <f t="shared" si="23"/>
        <v>282.12133112311716</v>
      </c>
      <c r="AM16" s="20">
        <f t="shared" si="24"/>
        <v>1969.6255386762596</v>
      </c>
      <c r="AN16" s="20">
        <f t="shared" si="0"/>
        <v>652.54184622541982</v>
      </c>
      <c r="AO16" s="20">
        <f t="shared" si="1"/>
        <v>2219.1114402419194</v>
      </c>
      <c r="AP16" s="20">
        <f t="shared" si="25"/>
        <v>-1219.1114402419194</v>
      </c>
    </row>
    <row r="17" spans="2:42" x14ac:dyDescent="0.25">
      <c r="B17" s="99" t="s">
        <v>70</v>
      </c>
      <c r="C17" s="103">
        <v>1</v>
      </c>
      <c r="D17" s="98"/>
      <c r="E17" s="98"/>
      <c r="F17" s="98"/>
      <c r="G17" s="98"/>
      <c r="H17" s="98"/>
      <c r="I17" s="98"/>
      <c r="J17" s="98"/>
      <c r="K17" s="102"/>
      <c r="L17" s="102"/>
      <c r="M17" s="104">
        <f>I8</f>
        <v>0.6</v>
      </c>
      <c r="N17" s="18">
        <v>14</v>
      </c>
      <c r="O17" s="20">
        <f t="shared" si="2"/>
        <v>1.4000000000000001</v>
      </c>
      <c r="P17" s="20">
        <f t="shared" si="3"/>
        <v>2.8000000000000003</v>
      </c>
      <c r="Q17" s="47">
        <f t="shared" si="4"/>
        <v>0.6</v>
      </c>
      <c r="R17" s="20">
        <f t="shared" si="5"/>
        <v>12</v>
      </c>
      <c r="S17" s="20">
        <f t="shared" si="6"/>
        <v>1.3265708650324035</v>
      </c>
      <c r="T17" s="20">
        <f t="shared" si="7"/>
        <v>1.3124346759546637</v>
      </c>
      <c r="U17" s="20">
        <f t="shared" si="8"/>
        <v>0.8</v>
      </c>
      <c r="V17" s="20">
        <f t="shared" si="9"/>
        <v>0.42857142857142849</v>
      </c>
      <c r="W17" s="47">
        <f t="shared" si="10"/>
        <v>1.1714285714285715</v>
      </c>
      <c r="X17" s="47">
        <f t="shared" si="11"/>
        <v>1.1183551996494834</v>
      </c>
      <c r="Y17" s="47">
        <v>1</v>
      </c>
      <c r="Z17" s="47">
        <v>1</v>
      </c>
      <c r="AA17" s="47">
        <f t="shared" si="12"/>
        <v>3.9200000000000008</v>
      </c>
      <c r="AB17" s="47">
        <f t="shared" si="13"/>
        <v>15</v>
      </c>
      <c r="AC17" s="47">
        <f t="shared" si="14"/>
        <v>3.130495168499706</v>
      </c>
      <c r="AD17" s="47">
        <f t="shared" si="15"/>
        <v>1</v>
      </c>
      <c r="AE17" s="47">
        <f t="shared" si="16"/>
        <v>1</v>
      </c>
      <c r="AF17" s="47">
        <f t="shared" si="17"/>
        <v>0.957276219663584</v>
      </c>
      <c r="AG17" s="20">
        <f t="shared" si="18"/>
        <v>3</v>
      </c>
      <c r="AH17" s="47">
        <f t="shared" si="19"/>
        <v>0.93444444444444441</v>
      </c>
      <c r="AI17" s="47">
        <f t="shared" si="20"/>
        <v>0.8212890625</v>
      </c>
      <c r="AJ17" s="20">
        <f t="shared" si="21"/>
        <v>1288.3853015873017</v>
      </c>
      <c r="AK17" s="20">
        <f t="shared" si="22"/>
        <v>381.50973269449304</v>
      </c>
      <c r="AL17" s="47">
        <f t="shared" si="23"/>
        <v>305.09992931402098</v>
      </c>
      <c r="AM17" s="20">
        <f t="shared" si="24"/>
        <v>1974.9949635958158</v>
      </c>
      <c r="AN17" s="20">
        <f t="shared" si="0"/>
        <v>654.33165453193863</v>
      </c>
      <c r="AO17" s="20">
        <f t="shared" si="1"/>
        <v>2580.6600857651997</v>
      </c>
      <c r="AP17" s="20">
        <f t="shared" si="25"/>
        <v>-1580.6600857651997</v>
      </c>
    </row>
    <row r="18" spans="2:42" x14ac:dyDescent="0.25">
      <c r="B18" s="98"/>
      <c r="C18" s="98"/>
      <c r="D18" s="98"/>
      <c r="E18" s="98"/>
      <c r="F18" s="98"/>
      <c r="G18" s="98"/>
      <c r="H18" s="105">
        <f>C6</f>
        <v>0.6</v>
      </c>
      <c r="I18" s="98"/>
      <c r="J18" s="98"/>
      <c r="K18" s="102"/>
      <c r="L18" s="102"/>
      <c r="M18" s="98"/>
      <c r="N18" s="18">
        <v>15</v>
      </c>
      <c r="O18" s="20">
        <f t="shared" si="2"/>
        <v>1.5</v>
      </c>
      <c r="P18" s="20">
        <f t="shared" si="3"/>
        <v>3</v>
      </c>
      <c r="Q18" s="47">
        <f t="shared" si="4"/>
        <v>0.6</v>
      </c>
      <c r="R18" s="20">
        <f t="shared" si="5"/>
        <v>12</v>
      </c>
      <c r="S18" s="20">
        <f t="shared" si="6"/>
        <v>1.3265708650324035</v>
      </c>
      <c r="T18" s="20">
        <f t="shared" si="7"/>
        <v>1.3124346759546637</v>
      </c>
      <c r="U18" s="20">
        <f t="shared" si="8"/>
        <v>0.8</v>
      </c>
      <c r="V18" s="20">
        <f t="shared" si="9"/>
        <v>0.39999999999999997</v>
      </c>
      <c r="W18" s="47">
        <f t="shared" si="10"/>
        <v>1.1599999999999999</v>
      </c>
      <c r="X18" s="47">
        <f t="shared" si="11"/>
        <v>1.1104648530061845</v>
      </c>
      <c r="Y18" s="47">
        <v>1</v>
      </c>
      <c r="Z18" s="47">
        <v>1</v>
      </c>
      <c r="AA18" s="47">
        <f t="shared" si="12"/>
        <v>4.5</v>
      </c>
      <c r="AB18" s="47">
        <f t="shared" si="13"/>
        <v>15</v>
      </c>
      <c r="AC18" s="47">
        <f t="shared" si="14"/>
        <v>3.3541019662496847</v>
      </c>
      <c r="AD18" s="47">
        <f t="shared" si="15"/>
        <v>1</v>
      </c>
      <c r="AE18" s="47">
        <f t="shared" si="16"/>
        <v>1</v>
      </c>
      <c r="AF18" s="47">
        <f t="shared" si="17"/>
        <v>0.96067232035162164</v>
      </c>
      <c r="AG18" s="20">
        <f t="shared" si="18"/>
        <v>3</v>
      </c>
      <c r="AH18" s="47">
        <f t="shared" si="19"/>
        <v>0.93444444444444441</v>
      </c>
      <c r="AI18" s="47">
        <f t="shared" si="20"/>
        <v>0.8212890625</v>
      </c>
      <c r="AJ18" s="20">
        <f t="shared" si="21"/>
        <v>1275.8156888888889</v>
      </c>
      <c r="AK18" s="20">
        <f t="shared" si="22"/>
        <v>378.8180618910709</v>
      </c>
      <c r="AL18" s="47">
        <f t="shared" si="23"/>
        <v>328.0524893135497</v>
      </c>
      <c r="AM18" s="20">
        <f t="shared" si="24"/>
        <v>1982.6862400935097</v>
      </c>
      <c r="AN18" s="20">
        <f t="shared" si="0"/>
        <v>656.89541336450327</v>
      </c>
      <c r="AO18" s="20">
        <f t="shared" si="1"/>
        <v>2974.0293601402645</v>
      </c>
      <c r="AP18" s="20">
        <f t="shared" si="25"/>
        <v>-1974.0293601402645</v>
      </c>
    </row>
    <row r="19" spans="2:42" x14ac:dyDescent="0.25">
      <c r="B19" s="98"/>
      <c r="C19" s="98"/>
      <c r="D19" s="98"/>
      <c r="E19" s="98"/>
      <c r="F19" s="98"/>
      <c r="G19" s="98"/>
      <c r="H19" s="98"/>
      <c r="I19" s="98"/>
      <c r="J19" s="98"/>
      <c r="K19" s="102"/>
      <c r="L19" s="102"/>
      <c r="M19" s="98"/>
      <c r="N19" s="18">
        <v>16</v>
      </c>
      <c r="O19" s="20">
        <f t="shared" si="2"/>
        <v>1.6</v>
      </c>
      <c r="P19" s="20">
        <f t="shared" si="3"/>
        <v>3.2</v>
      </c>
      <c r="Q19" s="47">
        <f t="shared" si="4"/>
        <v>0.6</v>
      </c>
      <c r="R19" s="20">
        <f t="shared" si="5"/>
        <v>12</v>
      </c>
      <c r="S19" s="20">
        <f t="shared" si="6"/>
        <v>1.3265708650324035</v>
      </c>
      <c r="T19" s="20">
        <f t="shared" si="7"/>
        <v>1.3124346759546637</v>
      </c>
      <c r="U19" s="20">
        <f t="shared" si="8"/>
        <v>0.8</v>
      </c>
      <c r="V19" s="20">
        <f t="shared" si="9"/>
        <v>0.37499999999999994</v>
      </c>
      <c r="W19" s="47">
        <f t="shared" si="10"/>
        <v>1.1499999999999999</v>
      </c>
      <c r="X19" s="47">
        <f t="shared" si="11"/>
        <v>1.1035607996932979</v>
      </c>
      <c r="Y19" s="47">
        <v>1</v>
      </c>
      <c r="Z19" s="47">
        <v>1</v>
      </c>
      <c r="AA19" s="47">
        <f t="shared" si="12"/>
        <v>5.120000000000001</v>
      </c>
      <c r="AB19" s="47">
        <f t="shared" si="13"/>
        <v>15</v>
      </c>
      <c r="AC19" s="47">
        <f t="shared" si="14"/>
        <v>3.5777087639996639</v>
      </c>
      <c r="AD19" s="47">
        <f t="shared" si="15"/>
        <v>1</v>
      </c>
      <c r="AE19" s="47">
        <f t="shared" si="16"/>
        <v>1</v>
      </c>
      <c r="AF19" s="47">
        <f t="shared" si="17"/>
        <v>0.96358459300113442</v>
      </c>
      <c r="AG19" s="20">
        <f t="shared" si="18"/>
        <v>3</v>
      </c>
      <c r="AH19" s="47">
        <f t="shared" si="19"/>
        <v>0.93444444444444441</v>
      </c>
      <c r="AI19" s="47">
        <f t="shared" si="20"/>
        <v>0.8212890625</v>
      </c>
      <c r="AJ19" s="20">
        <f t="shared" si="21"/>
        <v>1264.8172777777777</v>
      </c>
      <c r="AK19" s="20">
        <f t="shared" si="22"/>
        <v>376.46284993807649</v>
      </c>
      <c r="AL19" s="47">
        <f t="shared" si="23"/>
        <v>350.9834437976445</v>
      </c>
      <c r="AM19" s="20">
        <f t="shared" si="24"/>
        <v>1992.2635715134986</v>
      </c>
      <c r="AN19" s="20">
        <f t="shared" si="0"/>
        <v>660.08785717116621</v>
      </c>
      <c r="AO19" s="20">
        <f t="shared" si="1"/>
        <v>3400.1298287163718</v>
      </c>
      <c r="AP19" s="20">
        <f t="shared" si="25"/>
        <v>-2400.1298287163718</v>
      </c>
    </row>
    <row r="20" spans="2:42" x14ac:dyDescent="0.25">
      <c r="B20" s="98"/>
      <c r="C20" s="98"/>
      <c r="D20" s="98"/>
      <c r="E20" s="98"/>
      <c r="F20" s="98"/>
      <c r="G20" s="98"/>
      <c r="H20" s="98"/>
      <c r="I20" s="98"/>
      <c r="J20" s="98"/>
      <c r="K20" s="102"/>
      <c r="L20" s="102" t="s">
        <v>124</v>
      </c>
      <c r="M20" s="98"/>
      <c r="N20" s="18">
        <v>17</v>
      </c>
      <c r="O20" s="20">
        <f t="shared" si="2"/>
        <v>1.7000000000000002</v>
      </c>
      <c r="P20" s="20">
        <f t="shared" si="3"/>
        <v>3.4000000000000004</v>
      </c>
      <c r="Q20" s="47">
        <f t="shared" si="4"/>
        <v>0.6</v>
      </c>
      <c r="R20" s="20">
        <f t="shared" si="5"/>
        <v>12</v>
      </c>
      <c r="S20" s="20">
        <f t="shared" si="6"/>
        <v>1.3265708650324035</v>
      </c>
      <c r="T20" s="20">
        <f t="shared" si="7"/>
        <v>1.3124346759546637</v>
      </c>
      <c r="U20" s="20">
        <f t="shared" si="8"/>
        <v>0.8</v>
      </c>
      <c r="V20" s="20">
        <f t="shared" si="9"/>
        <v>0.3529411764705882</v>
      </c>
      <c r="W20" s="47">
        <f t="shared" si="10"/>
        <v>1.1411764705882352</v>
      </c>
      <c r="X20" s="47">
        <f t="shared" si="11"/>
        <v>1.0974689879466335</v>
      </c>
      <c r="Y20" s="47">
        <v>1</v>
      </c>
      <c r="Z20" s="47">
        <v>1</v>
      </c>
      <c r="AA20" s="47">
        <f t="shared" si="12"/>
        <v>5.7800000000000011</v>
      </c>
      <c r="AB20" s="47">
        <f t="shared" si="13"/>
        <v>15</v>
      </c>
      <c r="AC20" s="47">
        <f t="shared" si="14"/>
        <v>3.801315561749643</v>
      </c>
      <c r="AD20" s="47">
        <f t="shared" si="15"/>
        <v>1</v>
      </c>
      <c r="AE20" s="47">
        <f t="shared" si="16"/>
        <v>1</v>
      </c>
      <c r="AF20" s="47">
        <f t="shared" si="17"/>
        <v>0.9661074496911719</v>
      </c>
      <c r="AG20" s="20">
        <f t="shared" si="18"/>
        <v>3</v>
      </c>
      <c r="AH20" s="47">
        <f t="shared" si="19"/>
        <v>0.93444444444444441</v>
      </c>
      <c r="AI20" s="47">
        <f t="shared" si="20"/>
        <v>0.8212890625</v>
      </c>
      <c r="AJ20" s="20">
        <f t="shared" si="21"/>
        <v>1255.1127973856208</v>
      </c>
      <c r="AK20" s="20">
        <f t="shared" si="22"/>
        <v>374.384721744258</v>
      </c>
      <c r="AL20" s="47">
        <f t="shared" si="23"/>
        <v>373.89628775067069</v>
      </c>
      <c r="AM20" s="20">
        <f t="shared" si="24"/>
        <v>2003.3938068805496</v>
      </c>
      <c r="AN20" s="20">
        <f t="shared" si="0"/>
        <v>663.79793562684983</v>
      </c>
      <c r="AO20" s="20">
        <f t="shared" si="1"/>
        <v>3859.8720679231933</v>
      </c>
      <c r="AP20" s="20">
        <f t="shared" si="25"/>
        <v>-2859.8720679231933</v>
      </c>
    </row>
    <row r="21" spans="2:42" x14ac:dyDescent="0.25">
      <c r="B21" s="98"/>
      <c r="C21" s="98"/>
      <c r="D21" s="98"/>
      <c r="E21" s="98"/>
      <c r="F21" s="98"/>
      <c r="G21" s="98"/>
      <c r="H21" s="98"/>
      <c r="I21" s="98"/>
      <c r="J21" s="98"/>
      <c r="K21" s="102"/>
      <c r="L21" s="102"/>
      <c r="M21" s="98"/>
      <c r="N21" s="18">
        <v>18</v>
      </c>
      <c r="O21" s="20">
        <f t="shared" si="2"/>
        <v>1.8</v>
      </c>
      <c r="P21" s="20">
        <f t="shared" si="3"/>
        <v>3.6</v>
      </c>
      <c r="Q21" s="47">
        <f t="shared" si="4"/>
        <v>0.6</v>
      </c>
      <c r="R21" s="20">
        <f t="shared" si="5"/>
        <v>12</v>
      </c>
      <c r="S21" s="20">
        <f t="shared" si="6"/>
        <v>1.3265708650324035</v>
      </c>
      <c r="T21" s="20">
        <f t="shared" si="7"/>
        <v>1.3124346759546637</v>
      </c>
      <c r="U21" s="20">
        <f t="shared" si="8"/>
        <v>0.8</v>
      </c>
      <c r="V21" s="20">
        <f t="shared" si="9"/>
        <v>0.33333333333333331</v>
      </c>
      <c r="W21" s="47">
        <f t="shared" si="10"/>
        <v>1.1333333333333333</v>
      </c>
      <c r="X21" s="47">
        <f t="shared" si="11"/>
        <v>1.0920540441718205</v>
      </c>
      <c r="Y21" s="47">
        <v>1</v>
      </c>
      <c r="Z21" s="47">
        <v>1</v>
      </c>
      <c r="AA21" s="47">
        <f t="shared" si="12"/>
        <v>6.48</v>
      </c>
      <c r="AB21" s="47">
        <f t="shared" si="13"/>
        <v>15</v>
      </c>
      <c r="AC21" s="47">
        <f t="shared" si="14"/>
        <v>4.0249223594996222</v>
      </c>
      <c r="AD21" s="47">
        <f t="shared" si="15"/>
        <v>1</v>
      </c>
      <c r="AE21" s="47">
        <f t="shared" si="16"/>
        <v>1</v>
      </c>
      <c r="AF21" s="47">
        <f t="shared" si="17"/>
        <v>0.96831259898590682</v>
      </c>
      <c r="AG21" s="20">
        <f t="shared" si="18"/>
        <v>3</v>
      </c>
      <c r="AH21" s="47">
        <f t="shared" si="19"/>
        <v>0.93444444444444441</v>
      </c>
      <c r="AI21" s="47">
        <f t="shared" si="20"/>
        <v>0.8212890625</v>
      </c>
      <c r="AJ21" s="20">
        <f t="shared" si="21"/>
        <v>1246.4865925925926</v>
      </c>
      <c r="AK21" s="20">
        <f t="shared" si="22"/>
        <v>372.53749668308592</v>
      </c>
      <c r="AL21" s="47">
        <f t="shared" si="23"/>
        <v>396.7938100867508</v>
      </c>
      <c r="AM21" s="20">
        <f t="shared" si="24"/>
        <v>2015.8178993624292</v>
      </c>
      <c r="AN21" s="20">
        <f t="shared" si="0"/>
        <v>667.93929978747644</v>
      </c>
      <c r="AO21" s="20">
        <f t="shared" si="1"/>
        <v>4354.166662622848</v>
      </c>
      <c r="AP21" s="20">
        <f t="shared" si="25"/>
        <v>-3354.166662622848</v>
      </c>
    </row>
    <row r="22" spans="2:42" x14ac:dyDescent="0.25">
      <c r="B22" s="98"/>
      <c r="C22" s="98"/>
      <c r="D22" s="98"/>
      <c r="E22" s="98"/>
      <c r="F22" s="98"/>
      <c r="G22" s="98"/>
      <c r="H22" s="98"/>
      <c r="I22" s="98"/>
      <c r="J22" s="98"/>
      <c r="K22" s="102"/>
      <c r="L22" s="102"/>
      <c r="M22" s="98"/>
      <c r="N22" s="18">
        <v>19</v>
      </c>
      <c r="O22" s="20">
        <f t="shared" si="2"/>
        <v>1.9000000000000001</v>
      </c>
      <c r="P22" s="20">
        <f t="shared" si="3"/>
        <v>3.8000000000000003</v>
      </c>
      <c r="Q22" s="47">
        <f t="shared" si="4"/>
        <v>0.6</v>
      </c>
      <c r="R22" s="20">
        <f t="shared" si="5"/>
        <v>12</v>
      </c>
      <c r="S22" s="20">
        <f t="shared" si="6"/>
        <v>1.3265708650324035</v>
      </c>
      <c r="T22" s="20">
        <f t="shared" si="7"/>
        <v>1.3124346759546637</v>
      </c>
      <c r="U22" s="20">
        <f t="shared" si="8"/>
        <v>0.8</v>
      </c>
      <c r="V22" s="20">
        <f t="shared" si="9"/>
        <v>0.31578947368421051</v>
      </c>
      <c r="W22" s="47">
        <f t="shared" si="10"/>
        <v>1.1263157894736842</v>
      </c>
      <c r="X22" s="47">
        <f t="shared" si="11"/>
        <v>1.0872090944785666</v>
      </c>
      <c r="Y22" s="47">
        <v>1</v>
      </c>
      <c r="Z22" s="47">
        <v>1</v>
      </c>
      <c r="AA22" s="47">
        <f t="shared" si="12"/>
        <v>7.2200000000000006</v>
      </c>
      <c r="AB22" s="47">
        <f t="shared" si="13"/>
        <v>15</v>
      </c>
      <c r="AC22" s="47">
        <f t="shared" si="14"/>
        <v>4.2485291572496005</v>
      </c>
      <c r="AD22" s="47">
        <f t="shared" si="15"/>
        <v>1</v>
      </c>
      <c r="AE22" s="47">
        <f t="shared" si="16"/>
        <v>1</v>
      </c>
      <c r="AF22" s="47">
        <f t="shared" si="17"/>
        <v>0.97025540755872686</v>
      </c>
      <c r="AG22" s="20">
        <f t="shared" si="18"/>
        <v>3</v>
      </c>
      <c r="AH22" s="47">
        <f t="shared" si="19"/>
        <v>0.93444444444444441</v>
      </c>
      <c r="AI22" s="47">
        <f t="shared" si="20"/>
        <v>0.8212890625</v>
      </c>
      <c r="AJ22" s="20">
        <f t="shared" si="21"/>
        <v>1238.768409356725</v>
      </c>
      <c r="AK22" s="20">
        <f t="shared" si="22"/>
        <v>370.88471636519512</v>
      </c>
      <c r="AL22" s="47">
        <f t="shared" si="23"/>
        <v>419.67826105078638</v>
      </c>
      <c r="AM22" s="20">
        <f t="shared" si="24"/>
        <v>2029.3313867727065</v>
      </c>
      <c r="AN22" s="20">
        <f t="shared" si="0"/>
        <v>672.44379559090214</v>
      </c>
      <c r="AO22" s="20">
        <f t="shared" si="1"/>
        <v>4883.9242041663138</v>
      </c>
      <c r="AP22" s="20">
        <f t="shared" si="25"/>
        <v>-3883.9242041663138</v>
      </c>
    </row>
    <row r="23" spans="2:42" x14ac:dyDescent="0.25">
      <c r="B23" s="98"/>
      <c r="C23" s="98"/>
      <c r="D23" s="98"/>
      <c r="E23" s="98"/>
      <c r="F23" s="98"/>
      <c r="G23" s="98"/>
      <c r="H23" s="98"/>
      <c r="I23" s="98"/>
      <c r="J23" s="98"/>
      <c r="K23" s="102"/>
      <c r="L23" s="102"/>
      <c r="M23" s="98"/>
      <c r="N23" s="18">
        <v>20</v>
      </c>
      <c r="O23" s="20">
        <f t="shared" si="2"/>
        <v>2</v>
      </c>
      <c r="P23" s="20">
        <f t="shared" si="3"/>
        <v>4</v>
      </c>
      <c r="Q23" s="47">
        <f t="shared" si="4"/>
        <v>0.6</v>
      </c>
      <c r="R23" s="20">
        <f t="shared" si="5"/>
        <v>12</v>
      </c>
      <c r="S23" s="20">
        <f t="shared" si="6"/>
        <v>1.3265708650324035</v>
      </c>
      <c r="T23" s="20">
        <f t="shared" si="7"/>
        <v>1.3124346759546637</v>
      </c>
      <c r="U23" s="20">
        <f t="shared" si="8"/>
        <v>0.8</v>
      </c>
      <c r="V23" s="20">
        <f t="shared" si="9"/>
        <v>0.3</v>
      </c>
      <c r="W23" s="47">
        <f t="shared" si="10"/>
        <v>1.1200000000000001</v>
      </c>
      <c r="X23" s="47">
        <f t="shared" si="11"/>
        <v>1.0828486397546384</v>
      </c>
      <c r="Y23" s="47">
        <v>1</v>
      </c>
      <c r="Z23" s="47">
        <v>1</v>
      </c>
      <c r="AA23" s="47">
        <f t="shared" si="12"/>
        <v>8</v>
      </c>
      <c r="AB23" s="47">
        <f t="shared" si="13"/>
        <v>15</v>
      </c>
      <c r="AC23" s="47">
        <f t="shared" si="14"/>
        <v>4.4721359549995796</v>
      </c>
      <c r="AD23" s="47">
        <f t="shared" si="15"/>
        <v>1</v>
      </c>
      <c r="AE23" s="47">
        <f t="shared" si="16"/>
        <v>1</v>
      </c>
      <c r="AF23" s="47">
        <f t="shared" si="17"/>
        <v>0.97197925496544979</v>
      </c>
      <c r="AG23" s="20">
        <f t="shared" si="18"/>
        <v>3</v>
      </c>
      <c r="AH23" s="47">
        <f t="shared" si="19"/>
        <v>0.93444444444444441</v>
      </c>
      <c r="AI23" s="47">
        <f t="shared" si="20"/>
        <v>0.8212890625</v>
      </c>
      <c r="AJ23" s="20">
        <f t="shared" si="21"/>
        <v>1231.8220444444446</v>
      </c>
      <c r="AK23" s="20">
        <f t="shared" si="22"/>
        <v>369.39721407909343</v>
      </c>
      <c r="AL23" s="47">
        <f t="shared" si="23"/>
        <v>442.55147483356535</v>
      </c>
      <c r="AM23" s="20">
        <f t="shared" si="24"/>
        <v>2043.7707333571034</v>
      </c>
      <c r="AN23" s="20">
        <f t="shared" si="0"/>
        <v>677.2569111190345</v>
      </c>
      <c r="AO23" s="20">
        <f t="shared" si="1"/>
        <v>5450.055288952276</v>
      </c>
      <c r="AP23" s="20">
        <f t="shared" si="25"/>
        <v>-4450.055288952276</v>
      </c>
    </row>
    <row r="24" spans="2:42" x14ac:dyDescent="0.25">
      <c r="B24" s="98"/>
      <c r="C24" s="98"/>
      <c r="D24" s="98"/>
      <c r="E24" s="98"/>
      <c r="F24" s="98"/>
      <c r="G24" s="98"/>
      <c r="H24" s="98"/>
      <c r="I24" s="118" t="s">
        <v>123</v>
      </c>
      <c r="J24" s="118"/>
      <c r="K24" s="118"/>
      <c r="L24" s="118"/>
      <c r="M24" s="98"/>
      <c r="N24" s="18">
        <v>21</v>
      </c>
      <c r="O24" s="20">
        <f t="shared" si="2"/>
        <v>2.1</v>
      </c>
      <c r="P24" s="20">
        <f t="shared" si="3"/>
        <v>4.2</v>
      </c>
      <c r="Q24" s="47">
        <f t="shared" si="4"/>
        <v>0.6</v>
      </c>
      <c r="R24" s="20">
        <f t="shared" si="5"/>
        <v>12</v>
      </c>
      <c r="S24" s="20">
        <f t="shared" si="6"/>
        <v>1.3265708650324035</v>
      </c>
      <c r="T24" s="20">
        <f t="shared" si="7"/>
        <v>1.3124346759546637</v>
      </c>
      <c r="U24" s="20">
        <f t="shared" si="8"/>
        <v>0.8</v>
      </c>
      <c r="V24" s="20">
        <f t="shared" si="9"/>
        <v>0.2857142857142857</v>
      </c>
      <c r="W24" s="47">
        <f t="shared" si="10"/>
        <v>1.1142857142857143</v>
      </c>
      <c r="X24" s="47">
        <f t="shared" si="11"/>
        <v>1.0789034664329888</v>
      </c>
      <c r="Y24" s="47">
        <v>1</v>
      </c>
      <c r="Z24" s="47">
        <v>1</v>
      </c>
      <c r="AA24" s="47">
        <f t="shared" si="12"/>
        <v>8.82</v>
      </c>
      <c r="AB24" s="47">
        <f t="shared" si="13"/>
        <v>15</v>
      </c>
      <c r="AC24" s="47">
        <f t="shared" si="14"/>
        <v>4.6957427527495588</v>
      </c>
      <c r="AD24" s="47">
        <f t="shared" si="15"/>
        <v>1</v>
      </c>
      <c r="AE24" s="47">
        <f t="shared" si="16"/>
        <v>1</v>
      </c>
      <c r="AF24" s="47">
        <f t="shared" si="17"/>
        <v>0.97351857803428754</v>
      </c>
      <c r="AG24" s="20">
        <f t="shared" si="18"/>
        <v>3</v>
      </c>
      <c r="AH24" s="47">
        <f t="shared" si="19"/>
        <v>0.93444444444444441</v>
      </c>
      <c r="AI24" s="47">
        <f t="shared" si="20"/>
        <v>0.8212890625</v>
      </c>
      <c r="AJ24" s="20">
        <f t="shared" si="21"/>
        <v>1225.5372380952381</v>
      </c>
      <c r="AK24" s="20">
        <f t="shared" si="22"/>
        <v>368.05137867738233</v>
      </c>
      <c r="AL24" s="47">
        <f t="shared" si="23"/>
        <v>465.41496055631052</v>
      </c>
      <c r="AM24" s="20">
        <f t="shared" si="24"/>
        <v>2059.003577328931</v>
      </c>
      <c r="AN24" s="20">
        <f t="shared" si="0"/>
        <v>682.33452577631033</v>
      </c>
      <c r="AO24" s="20">
        <f t="shared" si="1"/>
        <v>6053.4705173470575</v>
      </c>
      <c r="AP24" s="20">
        <f t="shared" si="25"/>
        <v>-5053.4705173470575</v>
      </c>
    </row>
    <row r="25" spans="2:42" x14ac:dyDescent="0.25">
      <c r="B25" s="98"/>
      <c r="C25" s="98"/>
      <c r="D25" s="98"/>
      <c r="E25" s="98"/>
      <c r="F25" s="98"/>
      <c r="G25" s="98"/>
      <c r="H25" s="105"/>
      <c r="I25" s="118"/>
      <c r="J25" s="118"/>
      <c r="K25" s="118"/>
      <c r="L25" s="118"/>
      <c r="M25" s="98"/>
      <c r="N25" s="18">
        <v>22</v>
      </c>
      <c r="O25" s="20">
        <f t="shared" si="2"/>
        <v>2.2000000000000002</v>
      </c>
      <c r="P25" s="20">
        <f t="shared" si="3"/>
        <v>4.4000000000000004</v>
      </c>
      <c r="Q25" s="47">
        <f t="shared" si="4"/>
        <v>0.6</v>
      </c>
      <c r="R25" s="20">
        <f t="shared" si="5"/>
        <v>12</v>
      </c>
      <c r="S25" s="20">
        <f t="shared" si="6"/>
        <v>1.3265708650324035</v>
      </c>
      <c r="T25" s="20">
        <f t="shared" si="7"/>
        <v>1.3124346759546637</v>
      </c>
      <c r="U25" s="20">
        <f t="shared" si="8"/>
        <v>0.8</v>
      </c>
      <c r="V25" s="20">
        <f t="shared" si="9"/>
        <v>0.27272727272727271</v>
      </c>
      <c r="W25" s="47">
        <f t="shared" si="10"/>
        <v>1.1090909090909091</v>
      </c>
      <c r="X25" s="47">
        <f t="shared" si="11"/>
        <v>1.0753169452314895</v>
      </c>
      <c r="Y25" s="47">
        <v>1</v>
      </c>
      <c r="Z25" s="47">
        <v>1</v>
      </c>
      <c r="AA25" s="47">
        <f t="shared" si="12"/>
        <v>9.6800000000000015</v>
      </c>
      <c r="AB25" s="47">
        <f t="shared" si="13"/>
        <v>15</v>
      </c>
      <c r="AC25" s="47">
        <f t="shared" si="14"/>
        <v>4.9193495504995379</v>
      </c>
      <c r="AD25" s="47">
        <f t="shared" si="15"/>
        <v>1</v>
      </c>
      <c r="AE25" s="47">
        <f t="shared" si="16"/>
        <v>1</v>
      </c>
      <c r="AF25" s="47">
        <f t="shared" si="17"/>
        <v>0.97490103978284248</v>
      </c>
      <c r="AG25" s="20">
        <f t="shared" si="18"/>
        <v>3</v>
      </c>
      <c r="AH25" s="47">
        <f t="shared" si="19"/>
        <v>0.93444444444444441</v>
      </c>
      <c r="AI25" s="47">
        <f t="shared" si="20"/>
        <v>0.8212890625</v>
      </c>
      <c r="AJ25" s="20">
        <f t="shared" si="21"/>
        <v>1219.8237777777779</v>
      </c>
      <c r="AK25" s="20">
        <f t="shared" si="22"/>
        <v>366.82789194855411</v>
      </c>
      <c r="AL25" s="47">
        <f t="shared" si="23"/>
        <v>488.26997062484679</v>
      </c>
      <c r="AM25" s="20">
        <f t="shared" si="24"/>
        <v>2074.9216403511787</v>
      </c>
      <c r="AN25" s="20">
        <f t="shared" si="0"/>
        <v>687.64054678372622</v>
      </c>
      <c r="AO25" s="20">
        <f t="shared" si="1"/>
        <v>6695.0804928664702</v>
      </c>
      <c r="AP25" s="20">
        <f t="shared" si="25"/>
        <v>-5695.0804928664702</v>
      </c>
    </row>
    <row r="26" spans="2:42" x14ac:dyDescent="0.25">
      <c r="B26" s="98"/>
      <c r="C26" s="98"/>
      <c r="D26" s="98"/>
      <c r="E26" s="98"/>
      <c r="F26" s="98"/>
      <c r="G26" s="98"/>
      <c r="H26" s="98"/>
      <c r="I26" s="98"/>
      <c r="J26" s="98"/>
      <c r="K26" s="102"/>
      <c r="L26" s="102"/>
      <c r="M26" s="98"/>
      <c r="N26" s="18">
        <v>23</v>
      </c>
      <c r="O26" s="20">
        <f t="shared" si="2"/>
        <v>2.3000000000000003</v>
      </c>
      <c r="P26" s="20">
        <f t="shared" si="3"/>
        <v>4.6000000000000005</v>
      </c>
      <c r="Q26" s="47">
        <f t="shared" si="4"/>
        <v>0.6</v>
      </c>
      <c r="R26" s="20">
        <f t="shared" si="5"/>
        <v>12</v>
      </c>
      <c r="S26" s="20">
        <f t="shared" si="6"/>
        <v>1.3265708650324035</v>
      </c>
      <c r="T26" s="20">
        <f t="shared" si="7"/>
        <v>1.3124346759546637</v>
      </c>
      <c r="U26" s="20">
        <f t="shared" si="8"/>
        <v>0.8</v>
      </c>
      <c r="V26" s="20">
        <f t="shared" si="9"/>
        <v>0.26086956521739124</v>
      </c>
      <c r="W26" s="47">
        <f t="shared" si="10"/>
        <v>1.1043478260869566</v>
      </c>
      <c r="X26" s="47">
        <f t="shared" si="11"/>
        <v>1.072042295438816</v>
      </c>
      <c r="Y26" s="47">
        <v>1</v>
      </c>
      <c r="Z26" s="47">
        <v>1</v>
      </c>
      <c r="AA26" s="47">
        <f t="shared" si="12"/>
        <v>10.580000000000002</v>
      </c>
      <c r="AB26" s="47">
        <f t="shared" si="13"/>
        <v>15</v>
      </c>
      <c r="AC26" s="47">
        <f t="shared" si="14"/>
        <v>5.1429563482495162</v>
      </c>
      <c r="AD26" s="47">
        <f t="shared" si="15"/>
        <v>1</v>
      </c>
      <c r="AE26" s="47">
        <f t="shared" si="16"/>
        <v>1</v>
      </c>
      <c r="AF26" s="47">
        <f t="shared" si="17"/>
        <v>0.97614910121248677</v>
      </c>
      <c r="AG26" s="20">
        <f t="shared" si="18"/>
        <v>3</v>
      </c>
      <c r="AH26" s="47">
        <f t="shared" si="19"/>
        <v>0.93444444444444441</v>
      </c>
      <c r="AI26" s="47">
        <f t="shared" si="20"/>
        <v>0.8212890625</v>
      </c>
      <c r="AJ26" s="20">
        <f t="shared" si="21"/>
        <v>1214.6071400966184</v>
      </c>
      <c r="AK26" s="20">
        <f t="shared" si="22"/>
        <v>365.71079537005875</v>
      </c>
      <c r="AL26" s="47">
        <f t="shared" si="23"/>
        <v>511.11755268538263</v>
      </c>
      <c r="AM26" s="20">
        <f t="shared" si="24"/>
        <v>2091.4354881520599</v>
      </c>
      <c r="AN26" s="20">
        <f t="shared" si="0"/>
        <v>693.14516271735329</v>
      </c>
      <c r="AO26" s="20">
        <f t="shared" si="1"/>
        <v>7375.7958215495992</v>
      </c>
      <c r="AP26" s="20">
        <f t="shared" si="25"/>
        <v>-6375.7958215495992</v>
      </c>
    </row>
    <row r="27" spans="2:42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102"/>
      <c r="L27" s="102"/>
      <c r="M27" s="98"/>
      <c r="N27" s="18">
        <v>24</v>
      </c>
      <c r="O27" s="20">
        <f t="shared" si="2"/>
        <v>2.4000000000000004</v>
      </c>
      <c r="P27" s="20">
        <f t="shared" si="3"/>
        <v>4.8000000000000007</v>
      </c>
      <c r="Q27" s="47">
        <f t="shared" si="4"/>
        <v>0.6</v>
      </c>
      <c r="R27" s="20">
        <f t="shared" si="5"/>
        <v>12</v>
      </c>
      <c r="S27" s="20">
        <f t="shared" si="6"/>
        <v>1.3265708650324035</v>
      </c>
      <c r="T27" s="20">
        <f t="shared" si="7"/>
        <v>1.3124346759546637</v>
      </c>
      <c r="U27" s="20">
        <f t="shared" si="8"/>
        <v>0.8</v>
      </c>
      <c r="V27" s="20">
        <f t="shared" si="9"/>
        <v>0.24999999999999994</v>
      </c>
      <c r="W27" s="47">
        <f t="shared" si="10"/>
        <v>1.1000000000000001</v>
      </c>
      <c r="X27" s="47">
        <f t="shared" si="11"/>
        <v>1.0690405331288653</v>
      </c>
      <c r="Y27" s="47">
        <v>1</v>
      </c>
      <c r="Z27" s="47">
        <v>1</v>
      </c>
      <c r="AA27" s="47">
        <f t="shared" si="12"/>
        <v>11.520000000000003</v>
      </c>
      <c r="AB27" s="47">
        <f t="shared" si="13"/>
        <v>15</v>
      </c>
      <c r="AC27" s="47">
        <f t="shared" si="14"/>
        <v>5.3665631459994962</v>
      </c>
      <c r="AD27" s="47">
        <f t="shared" si="15"/>
        <v>1</v>
      </c>
      <c r="AE27" s="47">
        <f t="shared" si="16"/>
        <v>1</v>
      </c>
      <c r="AF27" s="47">
        <f t="shared" si="17"/>
        <v>0.97728117813783799</v>
      </c>
      <c r="AG27" s="20">
        <f t="shared" si="18"/>
        <v>3</v>
      </c>
      <c r="AH27" s="47">
        <f t="shared" si="19"/>
        <v>0.93444444444444441</v>
      </c>
      <c r="AI27" s="47">
        <f t="shared" si="20"/>
        <v>0.8212890625</v>
      </c>
      <c r="AJ27" s="20">
        <f t="shared" si="21"/>
        <v>1209.8252222222222</v>
      </c>
      <c r="AK27" s="20">
        <f t="shared" si="22"/>
        <v>364.68679017310467</v>
      </c>
      <c r="AL27" s="47">
        <f t="shared" si="23"/>
        <v>533.95858955120377</v>
      </c>
      <c r="AM27" s="20">
        <f t="shared" si="24"/>
        <v>2108.4706019465307</v>
      </c>
      <c r="AN27" s="20">
        <f t="shared" si="0"/>
        <v>698.82353398217685</v>
      </c>
      <c r="AO27" s="20">
        <f t="shared" si="1"/>
        <v>8096.5271114746802</v>
      </c>
      <c r="AP27" s="20">
        <f t="shared" si="25"/>
        <v>-7096.5271114746802</v>
      </c>
    </row>
    <row r="28" spans="2:42" x14ac:dyDescent="0.25">
      <c r="K28" s="43"/>
      <c r="L28" s="43"/>
      <c r="N28" s="18">
        <v>25</v>
      </c>
      <c r="O28" s="20">
        <f t="shared" si="2"/>
        <v>2.5</v>
      </c>
      <c r="P28" s="20">
        <f t="shared" si="3"/>
        <v>5</v>
      </c>
      <c r="Q28" s="47">
        <f t="shared" si="4"/>
        <v>0.6</v>
      </c>
      <c r="R28" s="20">
        <f t="shared" si="5"/>
        <v>12</v>
      </c>
      <c r="S28" s="20">
        <f t="shared" si="6"/>
        <v>1.3265708650324035</v>
      </c>
      <c r="T28" s="20">
        <f t="shared" si="7"/>
        <v>1.3124346759546637</v>
      </c>
      <c r="U28" s="20">
        <f t="shared" si="8"/>
        <v>0.8</v>
      </c>
      <c r="V28" s="20">
        <f t="shared" si="9"/>
        <v>0.24</v>
      </c>
      <c r="W28" s="47">
        <f t="shared" si="10"/>
        <v>1.0960000000000001</v>
      </c>
      <c r="X28" s="47">
        <f t="shared" si="11"/>
        <v>1.0662789118037108</v>
      </c>
      <c r="Y28" s="47">
        <v>1</v>
      </c>
      <c r="Z28" s="47">
        <v>1</v>
      </c>
      <c r="AA28" s="47">
        <f t="shared" si="12"/>
        <v>12.5</v>
      </c>
      <c r="AB28" s="47">
        <f t="shared" si="13"/>
        <v>15</v>
      </c>
      <c r="AC28" s="47">
        <f t="shared" si="14"/>
        <v>5.5901699437494745</v>
      </c>
      <c r="AD28" s="47">
        <f t="shared" si="15"/>
        <v>1</v>
      </c>
      <c r="AE28" s="47">
        <f t="shared" si="16"/>
        <v>1</v>
      </c>
      <c r="AF28" s="47">
        <f t="shared" si="17"/>
        <v>0.97831250469105635</v>
      </c>
      <c r="AG28" s="20">
        <f t="shared" si="18"/>
        <v>3</v>
      </c>
      <c r="AH28" s="47">
        <f t="shared" si="19"/>
        <v>0.93444444444444441</v>
      </c>
      <c r="AI28" s="47">
        <f t="shared" si="20"/>
        <v>0.8212890625</v>
      </c>
      <c r="AJ28" s="20">
        <f t="shared" si="21"/>
        <v>1205.425857777778</v>
      </c>
      <c r="AK28" s="20">
        <f t="shared" si="22"/>
        <v>363.74470539190696</v>
      </c>
      <c r="AL28" s="47">
        <f t="shared" si="23"/>
        <v>556.793830201829</v>
      </c>
      <c r="AM28" s="20">
        <f t="shared" si="24"/>
        <v>2125.9643933715142</v>
      </c>
      <c r="AN28" s="20">
        <f t="shared" si="0"/>
        <v>704.65479779050474</v>
      </c>
      <c r="AO28" s="20">
        <f t="shared" si="1"/>
        <v>8858.1849723813084</v>
      </c>
      <c r="AP28" s="20">
        <f t="shared" si="25"/>
        <v>-7858.1849723813084</v>
      </c>
    </row>
    <row r="29" spans="2:42" x14ac:dyDescent="0.25">
      <c r="K29" s="43"/>
      <c r="L29" s="43"/>
      <c r="N29" s="18">
        <v>26</v>
      </c>
      <c r="O29" s="20">
        <f t="shared" si="2"/>
        <v>2.6</v>
      </c>
      <c r="P29" s="20">
        <f t="shared" si="3"/>
        <v>5.2</v>
      </c>
      <c r="Q29" s="47">
        <f t="shared" si="4"/>
        <v>0.6</v>
      </c>
      <c r="R29" s="20">
        <f t="shared" si="5"/>
        <v>12</v>
      </c>
      <c r="S29" s="20">
        <f t="shared" si="6"/>
        <v>1.3265708650324035</v>
      </c>
      <c r="T29" s="20">
        <f t="shared" si="7"/>
        <v>1.3124346759546637</v>
      </c>
      <c r="U29" s="20">
        <f t="shared" si="8"/>
        <v>0.8</v>
      </c>
      <c r="V29" s="20">
        <f t="shared" si="9"/>
        <v>0.23076923076923075</v>
      </c>
      <c r="W29" s="47">
        <f t="shared" si="10"/>
        <v>1.0923076923076924</v>
      </c>
      <c r="X29" s="47">
        <f t="shared" si="11"/>
        <v>1.0637297228881835</v>
      </c>
      <c r="Y29" s="47">
        <v>1</v>
      </c>
      <c r="Z29" s="47">
        <v>1</v>
      </c>
      <c r="AA29" s="47">
        <f t="shared" si="12"/>
        <v>13.520000000000001</v>
      </c>
      <c r="AB29" s="47">
        <f t="shared" si="13"/>
        <v>15</v>
      </c>
      <c r="AC29" s="47">
        <f t="shared" si="14"/>
        <v>5.8137767414994537</v>
      </c>
      <c r="AD29" s="47">
        <f t="shared" si="15"/>
        <v>1</v>
      </c>
      <c r="AE29" s="47">
        <f t="shared" si="16"/>
        <v>1</v>
      </c>
      <c r="AF29" s="47">
        <f t="shared" si="17"/>
        <v>0.97925578623771647</v>
      </c>
      <c r="AG29" s="20">
        <f t="shared" si="18"/>
        <v>3</v>
      </c>
      <c r="AH29" s="47">
        <f t="shared" si="19"/>
        <v>0.93444444444444441</v>
      </c>
      <c r="AI29" s="47">
        <f t="shared" si="20"/>
        <v>0.8212890625</v>
      </c>
      <c r="AJ29" s="20">
        <f t="shared" si="21"/>
        <v>1201.3649059829061</v>
      </c>
      <c r="AK29" s="20">
        <f t="shared" si="22"/>
        <v>362.87508867080129</v>
      </c>
      <c r="AL29" s="47">
        <f t="shared" si="23"/>
        <v>579.62391408289011</v>
      </c>
      <c r="AM29" s="20">
        <f t="shared" si="24"/>
        <v>2143.8639087365973</v>
      </c>
      <c r="AN29" s="20">
        <f t="shared" si="0"/>
        <v>710.6213029121991</v>
      </c>
      <c r="AO29" s="20">
        <f t="shared" si="1"/>
        <v>9661.6800153729328</v>
      </c>
      <c r="AP29" s="20">
        <f t="shared" si="25"/>
        <v>-8661.6800153729328</v>
      </c>
    </row>
    <row r="30" spans="2:42" x14ac:dyDescent="0.25">
      <c r="K30" s="43"/>
      <c r="L30" s="43"/>
    </row>
    <row r="31" spans="2:42" ht="15" customHeight="1" x14ac:dyDescent="0.4">
      <c r="H31" s="79"/>
      <c r="I31" s="79"/>
      <c r="J31" s="79"/>
      <c r="K31" s="79"/>
      <c r="L31" s="43"/>
    </row>
    <row r="32" spans="2:42" ht="15" customHeight="1" x14ac:dyDescent="0.4">
      <c r="H32" s="79"/>
      <c r="I32" s="79"/>
      <c r="J32" s="79"/>
      <c r="K32" s="79"/>
      <c r="L32" s="43"/>
    </row>
  </sheetData>
  <mergeCells count="7">
    <mergeCell ref="AJ2:AL2"/>
    <mergeCell ref="Z2:AI2"/>
    <mergeCell ref="I24:L25"/>
    <mergeCell ref="B10:C10"/>
    <mergeCell ref="B1:M1"/>
    <mergeCell ref="S2:U2"/>
    <mergeCell ref="V2:Y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Option Button 1">
              <controlPr defaultSize="0" autoFill="0" autoLine="0" autoPict="0">
                <anchor moveWithCells="1">
                  <from>
                    <xdr:col>7</xdr:col>
                    <xdr:colOff>28575</xdr:colOff>
                    <xdr:row>8</xdr:row>
                    <xdr:rowOff>142875</xdr:rowOff>
                  </from>
                  <to>
                    <xdr:col>9</xdr:col>
                    <xdr:colOff>581025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Option Button 2">
              <controlPr defaultSize="0" autoFill="0" autoLine="0" autoPict="0">
                <anchor moveWithCells="1">
                  <from>
                    <xdr:col>7</xdr:col>
                    <xdr:colOff>47625</xdr:colOff>
                    <xdr:row>9</xdr:row>
                    <xdr:rowOff>142875</xdr:rowOff>
                  </from>
                  <to>
                    <xdr:col>9</xdr:col>
                    <xdr:colOff>495300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 moveWithCells="1">
                  <from>
                    <xdr:col>7</xdr:col>
                    <xdr:colOff>57150</xdr:colOff>
                    <xdr:row>10</xdr:row>
                    <xdr:rowOff>161925</xdr:rowOff>
                  </from>
                  <to>
                    <xdr:col>10</xdr:col>
                    <xdr:colOff>514350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BX39"/>
  <sheetViews>
    <sheetView showGridLines="0" topLeftCell="H1" zoomScale="50" zoomScaleNormal="50" workbookViewId="0"/>
  </sheetViews>
  <sheetFormatPr baseColWidth="10" defaultColWidth="9.140625" defaultRowHeight="15" x14ac:dyDescent="0.25"/>
  <cols>
    <col min="3" max="3" width="11.5703125" customWidth="1"/>
    <col min="14" max="14" width="11.42578125" customWidth="1"/>
    <col min="22" max="23" width="6.85546875" bestFit="1" customWidth="1"/>
    <col min="24" max="24" width="7.140625" bestFit="1" customWidth="1"/>
    <col min="25" max="25" width="5.28515625" bestFit="1" customWidth="1"/>
    <col min="26" max="26" width="5.7109375" bestFit="1" customWidth="1"/>
    <col min="27" max="27" width="6.85546875" bestFit="1" customWidth="1"/>
    <col min="28" max="29" width="5.7109375" bestFit="1" customWidth="1"/>
    <col min="30" max="30" width="5" bestFit="1" customWidth="1"/>
    <col min="31" max="31" width="9.42578125" bestFit="1" customWidth="1"/>
    <col min="32" max="32" width="8.7109375" bestFit="1" customWidth="1"/>
    <col min="33" max="33" width="4.85546875" bestFit="1" customWidth="1"/>
    <col min="34" max="35" width="5.7109375" bestFit="1" customWidth="1"/>
    <col min="36" max="36" width="6.85546875" bestFit="1" customWidth="1"/>
    <col min="37" max="39" width="6.85546875" customWidth="1"/>
    <col min="40" max="40" width="8.140625" bestFit="1" customWidth="1"/>
    <col min="41" max="46" width="8.42578125" customWidth="1"/>
    <col min="47" max="47" width="11.7109375" bestFit="1" customWidth="1"/>
    <col min="48" max="49" width="11.7109375" customWidth="1"/>
    <col min="50" max="50" width="16.28515625" customWidth="1"/>
    <col min="51" max="51" width="18.140625" customWidth="1"/>
    <col min="52" max="52" width="17.42578125" customWidth="1"/>
    <col min="53" max="54" width="14.28515625" bestFit="1" customWidth="1"/>
    <col min="55" max="55" width="9.28515625" bestFit="1" customWidth="1"/>
    <col min="56" max="56" width="18.140625" customWidth="1"/>
    <col min="57" max="57" width="13.5703125" bestFit="1" customWidth="1"/>
    <col min="58" max="58" width="9.28515625" bestFit="1" customWidth="1"/>
    <col min="59" max="59" width="8.5703125" bestFit="1" customWidth="1"/>
    <col min="60" max="60" width="13.5703125" bestFit="1" customWidth="1"/>
    <col min="61" max="61" width="9.28515625" bestFit="1" customWidth="1"/>
    <col min="62" max="62" width="11.42578125" bestFit="1" customWidth="1"/>
    <col min="63" max="66" width="6.85546875" customWidth="1"/>
    <col min="70" max="70" width="11.85546875" bestFit="1" customWidth="1"/>
    <col min="71" max="71" width="12.7109375" bestFit="1" customWidth="1"/>
    <col min="72" max="72" width="12.28515625" bestFit="1" customWidth="1"/>
    <col min="73" max="73" width="12.28515625" customWidth="1"/>
  </cols>
  <sheetData>
    <row r="1" spans="3:76" ht="23.25" x14ac:dyDescent="0.35">
      <c r="C1" s="106" t="s">
        <v>0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34"/>
      <c r="P1" s="34"/>
      <c r="Q1" s="34"/>
      <c r="AX1" s="125" t="s">
        <v>117</v>
      </c>
      <c r="AY1" s="125"/>
      <c r="AZ1" s="125" t="s">
        <v>118</v>
      </c>
      <c r="BA1" s="125"/>
      <c r="BB1" s="125" t="s">
        <v>119</v>
      </c>
      <c r="BC1" s="125"/>
    </row>
    <row r="2" spans="3:76" x14ac:dyDescent="0.25">
      <c r="G2">
        <v>1</v>
      </c>
      <c r="S2" s="63" t="s">
        <v>17</v>
      </c>
      <c r="T2" s="63" t="s">
        <v>19</v>
      </c>
      <c r="U2" s="63" t="s">
        <v>20</v>
      </c>
      <c r="V2" s="63" t="s">
        <v>21</v>
      </c>
      <c r="W2" s="63" t="s">
        <v>21</v>
      </c>
      <c r="X2" s="63" t="s">
        <v>104</v>
      </c>
      <c r="Y2" s="75" t="s">
        <v>91</v>
      </c>
      <c r="Z2" s="75" t="s">
        <v>99</v>
      </c>
      <c r="AA2" s="67"/>
      <c r="AB2" s="67"/>
      <c r="AC2" s="67"/>
      <c r="AD2" s="67" t="s">
        <v>59</v>
      </c>
      <c r="AE2" s="68" t="s">
        <v>120</v>
      </c>
      <c r="AF2" s="114" t="s">
        <v>121</v>
      </c>
      <c r="AG2" s="114"/>
      <c r="AH2" s="121" t="s">
        <v>122</v>
      </c>
      <c r="AI2" s="122"/>
      <c r="AJ2" s="120" t="s">
        <v>121</v>
      </c>
      <c r="AK2" s="121"/>
      <c r="AL2" s="121"/>
      <c r="AM2" s="121"/>
      <c r="AN2" s="121"/>
      <c r="AO2" s="122"/>
      <c r="AP2" s="69"/>
      <c r="AQ2" s="69"/>
      <c r="AR2" s="69"/>
      <c r="AS2" s="69"/>
      <c r="AT2" s="69"/>
      <c r="AU2" s="69"/>
      <c r="AV2" s="69"/>
      <c r="AW2" s="69"/>
      <c r="AX2" s="126" t="s">
        <v>133</v>
      </c>
      <c r="AY2" s="126" t="s">
        <v>132</v>
      </c>
      <c r="AZ2" s="126" t="s">
        <v>131</v>
      </c>
      <c r="BA2" s="126" t="s">
        <v>130</v>
      </c>
      <c r="BB2" s="126" t="s">
        <v>128</v>
      </c>
      <c r="BC2" s="70"/>
      <c r="BD2" s="70"/>
      <c r="BE2" s="120" t="s">
        <v>100</v>
      </c>
      <c r="BF2" s="121"/>
      <c r="BG2" s="122"/>
      <c r="BH2" s="120" t="s">
        <v>101</v>
      </c>
      <c r="BI2" s="121"/>
      <c r="BJ2" s="122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8"/>
      <c r="BV2" s="39"/>
      <c r="BW2" s="9"/>
      <c r="BX2" s="9"/>
    </row>
    <row r="3" spans="3:76" ht="33" thickBot="1" x14ac:dyDescent="0.45">
      <c r="S3" s="63" t="s">
        <v>18</v>
      </c>
      <c r="T3" s="63" t="s">
        <v>18</v>
      </c>
      <c r="U3" s="63" t="s">
        <v>18</v>
      </c>
      <c r="V3" s="63" t="s">
        <v>22</v>
      </c>
      <c r="W3" s="63" t="s">
        <v>22</v>
      </c>
      <c r="X3" s="63" t="s">
        <v>22</v>
      </c>
      <c r="Y3" s="63"/>
      <c r="Z3" s="63"/>
      <c r="AA3" s="62"/>
      <c r="AB3" s="62"/>
      <c r="AC3" s="62"/>
      <c r="AD3" s="62"/>
      <c r="AE3" s="63" t="s">
        <v>94</v>
      </c>
      <c r="AF3" s="63" t="s">
        <v>59</v>
      </c>
      <c r="AG3" s="63" t="s">
        <v>105</v>
      </c>
      <c r="AH3" s="63" t="s">
        <v>59</v>
      </c>
      <c r="AI3" s="63" t="s">
        <v>105</v>
      </c>
      <c r="AJ3" s="63" t="s">
        <v>109</v>
      </c>
      <c r="AK3" s="63"/>
      <c r="AL3" s="63"/>
      <c r="AM3" s="63"/>
      <c r="AN3" s="63"/>
      <c r="AO3" s="63" t="s">
        <v>109</v>
      </c>
      <c r="AP3" s="62"/>
      <c r="AQ3" s="62"/>
      <c r="AR3" s="62"/>
      <c r="AS3" s="62"/>
      <c r="AT3" s="62"/>
      <c r="AU3" s="62" t="s">
        <v>111</v>
      </c>
      <c r="AV3" s="62" t="s">
        <v>110</v>
      </c>
      <c r="AW3" s="62" t="s">
        <v>110</v>
      </c>
      <c r="AX3" s="127"/>
      <c r="AY3" s="127"/>
      <c r="AZ3" s="127"/>
      <c r="BA3" s="127"/>
      <c r="BB3" s="127"/>
      <c r="BC3" s="71" t="s">
        <v>129</v>
      </c>
      <c r="BD3" s="71" t="s">
        <v>116</v>
      </c>
      <c r="BE3" s="75" t="s">
        <v>134</v>
      </c>
      <c r="BF3" s="75" t="s">
        <v>97</v>
      </c>
      <c r="BG3" s="75" t="s">
        <v>98</v>
      </c>
      <c r="BH3" s="75" t="s">
        <v>134</v>
      </c>
      <c r="BI3" s="75" t="s">
        <v>97</v>
      </c>
      <c r="BJ3" s="75" t="s">
        <v>98</v>
      </c>
      <c r="BK3" s="30"/>
      <c r="BL3" s="40"/>
      <c r="BM3" s="30"/>
      <c r="BN3" s="30"/>
      <c r="BO3" s="41"/>
      <c r="BP3" s="30"/>
      <c r="BQ3" s="30"/>
      <c r="BR3" s="30"/>
      <c r="BS3" s="30"/>
      <c r="BT3" s="30"/>
      <c r="BU3" s="30"/>
      <c r="BV3" s="30"/>
      <c r="BW3" s="30"/>
      <c r="BX3" s="30"/>
    </row>
    <row r="4" spans="3:76" x14ac:dyDescent="0.25">
      <c r="C4" s="1" t="s">
        <v>1</v>
      </c>
      <c r="D4" s="5">
        <v>1000</v>
      </c>
      <c r="E4" s="2" t="s">
        <v>12</v>
      </c>
      <c r="F4" s="3" t="s">
        <v>6</v>
      </c>
      <c r="G4" s="5">
        <v>25</v>
      </c>
      <c r="H4" s="4"/>
      <c r="I4" s="3" t="s">
        <v>13</v>
      </c>
      <c r="J4" s="5">
        <v>3</v>
      </c>
      <c r="K4" s="4"/>
      <c r="L4" s="4" t="s">
        <v>16</v>
      </c>
      <c r="M4" s="4"/>
      <c r="N4" s="6"/>
      <c r="O4" s="9"/>
      <c r="P4" s="43"/>
      <c r="Q4" s="43"/>
      <c r="R4" s="18">
        <v>1</v>
      </c>
      <c r="S4" s="20">
        <f t="shared" ref="S4:S38" si="0">$D$7*R4</f>
        <v>0.1</v>
      </c>
      <c r="T4" s="20">
        <f>S4*$D$8</f>
        <v>0.1</v>
      </c>
      <c r="U4" s="21">
        <f>$D$6</f>
        <v>1</v>
      </c>
      <c r="V4" s="22">
        <f>IF($G$13=1,$D$6*$G$6,IF($G$13=2,$G$7*$D$6,(($D$6-$J$8)*$G$6)+$J$8*($G$6-$J$6)))</f>
        <v>16.097000000000001</v>
      </c>
      <c r="W4" s="22">
        <f>IF($G$25=1,$G$10*$G$6,IF($G$25=2,$G$7*$G$10,(($G$10-$J$8)*$G$6)+$J$8*($G$6-$J$6)))</f>
        <v>100.09699999999999</v>
      </c>
      <c r="X4" s="22">
        <f>V4+W4</f>
        <v>116.19399999999999</v>
      </c>
      <c r="Y4" s="22">
        <f t="shared" ref="Y4:Y37" si="1">(1/PI())*(LN((SQRT(1+AD4 ^2)+AD4)/(SQRT(1+AD4 ^2)-AD4))+(AD4*LN((SQRT(1+AD4 ^2)+1)/(SQRT(1+AD4 ^2)-1))))</f>
        <v>1.1221997046783601</v>
      </c>
      <c r="Z4" s="22">
        <f>Y4/2</f>
        <v>0.56109985233918003</v>
      </c>
      <c r="AA4" s="35">
        <f>LN((SQRT(1+AD4 ^2)+AD4)/(SQRT(1+AD4 ^2)-AD4))</f>
        <v>1.7627471740390857</v>
      </c>
      <c r="AB4" s="22">
        <f>AD4*LN((SQRT(1+AD4 ^2)+AD4)/(SQRT(1+AD4 ^2)-AD4))</f>
        <v>1.7627471740390857</v>
      </c>
      <c r="AC4" s="22">
        <f>1/PI()</f>
        <v>0.31830988618379069</v>
      </c>
      <c r="AD4" s="19">
        <f>S4/T4</f>
        <v>1</v>
      </c>
      <c r="AE4" s="72">
        <f>BE4</f>
        <v>59999.999999999985</v>
      </c>
      <c r="AF4" s="22">
        <f>(S4/2)/$J$10</f>
        <v>0.01</v>
      </c>
      <c r="AG4" s="22">
        <f>(T4/2)/$J$10</f>
        <v>0.01</v>
      </c>
      <c r="AH4" s="22">
        <f>(S4/2)/$J$11</f>
        <v>5.0000000000000001E-3</v>
      </c>
      <c r="AI4" s="22">
        <f>(T4/2)/$J$11</f>
        <v>5.0000000000000001E-3</v>
      </c>
      <c r="AJ4" s="35">
        <f>(1/(4*PI()))*((2*AF4*AG4*SQRT(AF4^2+AG4^2)/(AF4^2+AG4^2+1+AF4^2+AG4^2))*(((AF4^2+AG4^2+2)/(AF4^2+AG4^2+1))+ATAN((2+AF4+AG4*SQRT(AF4^2+AG4^2+1)/(AF4^2+AG4^2+1-AF4^2*AG4^2)))))</f>
        <v>6.9992231806547737E-7</v>
      </c>
      <c r="AK4" s="35">
        <f>1/(4*PI())</f>
        <v>7.9577471545947673E-2</v>
      </c>
      <c r="AL4" s="35">
        <f t="shared" ref="AL4:AL38" si="2">(2*AF4*AG4*SQRT(AF4^2+AG4^2+1))/(AF4^2+AG4^2+1+AF4^2+AG4^2)</f>
        <v>1.999400229909036E-4</v>
      </c>
      <c r="AM4" s="35">
        <f t="shared" ref="AM4:AM38" si="3">(((AF4^2+AG4^2+2)/(AF4^2+AG4^2+1)))</f>
        <v>1.9998000399920017</v>
      </c>
      <c r="AN4" s="36">
        <f t="shared" ref="AN4:AN38" si="4">ATAN((2*AF4*AG4*SQRT(AF4^2+AG4^2+1)/(AF4^2+AG4^2+1-AF4^2*AG4^2)))</f>
        <v>1.9998000233303336E-4</v>
      </c>
      <c r="AO4" s="35">
        <f t="shared" ref="AO4:AO38" si="5">AK4*((AL4*AM4)+AN4)</f>
        <v>4.7732164418328537E-5</v>
      </c>
      <c r="AP4" s="35">
        <f>1/(4*PI())</f>
        <v>7.9577471545947673E-2</v>
      </c>
      <c r="AQ4" s="35">
        <f>(2*AH4*AI4*SQRT(AH4^2+AI4^2+1))/(AH4^2+AI4^2+1+AH4^2+AI4^2)</f>
        <v>4.9996250359339461E-5</v>
      </c>
      <c r="AR4" s="35">
        <f>(((AH4^2+AI4^2+2)/(AH4^2+AI4^2+1)))</f>
        <v>1.9999500024998746</v>
      </c>
      <c r="AS4" s="35">
        <f>ATAN((2*AH4*AI4*SQRT(AH4^2+AI4^2+1)/(AH4^2+AI4^2+1-AH4^2*AI4^2)))</f>
        <v>4.9998750036457162E-5</v>
      </c>
      <c r="AT4" s="35">
        <f t="shared" ref="AT4:AT38" si="6">AP4*((AQ4*AR4)+AS4)</f>
        <v>1.1935725570294364E-5</v>
      </c>
      <c r="AU4" s="35">
        <f t="shared" ref="AU4:AU38" si="7">(BE4+(4*AV4)+AW4)/6</f>
        <v>10008.114575329741</v>
      </c>
      <c r="AV4" s="35">
        <f t="shared" ref="AV4:AV38" si="8">(AO4*4)*BE4</f>
        <v>11.455719460398846</v>
      </c>
      <c r="AW4" s="35">
        <f>(AT4*4)*BE4</f>
        <v>2.8645741368706465</v>
      </c>
      <c r="AX4" s="35">
        <f>($D$12*$G$9)/(1+$D$13)*LOG10((X4+AU4)/X4)</f>
        <v>1.9401816707693693</v>
      </c>
      <c r="AY4" s="74">
        <f t="shared" ref="AY4:AY38" si="9">AX4*1000</f>
        <v>1940.1816707693692</v>
      </c>
      <c r="AZ4" s="35">
        <f>($D$14*$G$9)/(1+$D$13)*LOG10((X4+AU4)/X4)</f>
        <v>1.9272471262975734</v>
      </c>
      <c r="BA4" s="35">
        <f>AZ4*1000</f>
        <v>1927.2471262975735</v>
      </c>
      <c r="BB4" s="35">
        <f>(($D$14+$G$9)/(1+$D$13))*LOG10($D$15/$D$15)+($D$12*$G$9)/(1+$D$13)*LOG10((X4+AU4)/X4)</f>
        <v>1.9401816707693693</v>
      </c>
      <c r="BC4" s="35">
        <f>BB4*1000</f>
        <v>1940.1816707693692</v>
      </c>
      <c r="BD4" s="44">
        <f>BG4+AY4</f>
        <v>2128.7112211553335</v>
      </c>
      <c r="BE4" s="35">
        <f t="shared" ref="BE4:BE37" si="10">$D$10/(S4*T4)</f>
        <v>59999.999999999985</v>
      </c>
      <c r="BF4" s="35">
        <f t="shared" ref="BF4:BF38" si="11">((T4*BE4)/$D$11)*(1-$D$9^2)*Y4</f>
        <v>0.18852955038596447</v>
      </c>
      <c r="BG4" s="74">
        <f>BF4*1000</f>
        <v>188.52955038596448</v>
      </c>
      <c r="BH4" s="35">
        <f t="shared" ref="BH4:BH37" si="12">$D$10/(S4*T4)</f>
        <v>59999.999999999985</v>
      </c>
      <c r="BI4" s="36">
        <f t="shared" ref="BI4:BI38" si="13">((T4*BE4)/$D$11)*(1-$D$9^2)*Z4</f>
        <v>9.4264775192982236E-2</v>
      </c>
      <c r="BJ4" s="73">
        <f>BI4*1000</f>
        <v>94.264775192982242</v>
      </c>
      <c r="BK4" s="42"/>
      <c r="BL4" s="30"/>
      <c r="BM4" s="30"/>
      <c r="BN4" s="30"/>
      <c r="BO4" s="42"/>
      <c r="BP4" s="30"/>
      <c r="BQ4" s="30"/>
      <c r="BR4" s="42"/>
      <c r="BS4" s="42"/>
      <c r="BT4" s="30"/>
      <c r="BU4" s="42"/>
      <c r="BV4" s="30"/>
      <c r="BW4" s="30"/>
      <c r="BX4" s="30"/>
    </row>
    <row r="5" spans="3:76" x14ac:dyDescent="0.25">
      <c r="C5" s="7" t="s">
        <v>2</v>
      </c>
      <c r="D5" s="13">
        <v>3</v>
      </c>
      <c r="E5" s="9"/>
      <c r="F5" s="10" t="s">
        <v>7</v>
      </c>
      <c r="G5" s="13">
        <v>32</v>
      </c>
      <c r="H5" s="9" t="s">
        <v>8</v>
      </c>
      <c r="I5" s="11"/>
      <c r="J5" s="9"/>
      <c r="K5" s="9"/>
      <c r="L5" s="9"/>
      <c r="M5" s="9" t="s">
        <v>39</v>
      </c>
      <c r="N5" s="12">
        <f>VLOOKUP($G$5,'Base de datos'!$H$4:$K$54,2,0)</f>
        <v>35.49</v>
      </c>
      <c r="O5" s="9"/>
      <c r="P5" s="43"/>
      <c r="Q5" s="43"/>
      <c r="R5" s="18">
        <v>2</v>
      </c>
      <c r="S5" s="20">
        <f t="shared" si="0"/>
        <v>0.2</v>
      </c>
      <c r="T5" s="20">
        <f t="shared" ref="T5:T29" si="14">S5*$D$8</f>
        <v>0.2</v>
      </c>
      <c r="U5" s="21">
        <f t="shared" ref="U5:U38" si="15">$D$6</f>
        <v>1</v>
      </c>
      <c r="V5" s="22">
        <f>IF($G$13=1,$D$6*$G$6,IF($G$13=2,$G$7*$D$6,(($D$6-$J$8)*$G$6)+$J$8*($G$6-$J$6)))</f>
        <v>16.097000000000001</v>
      </c>
      <c r="W5" s="22">
        <f t="shared" ref="W5:W38" si="16">IF($G$25=1,$G$10*$G$6,IF($G$25=2,$G$7*$G$10,(($G$10-$J$8)*$G$6)+$J$8*($G$6-$J$6)))</f>
        <v>100.09699999999999</v>
      </c>
      <c r="X5" s="22">
        <f t="shared" ref="X5:X37" si="17">V5+W5</f>
        <v>116.19399999999999</v>
      </c>
      <c r="Y5" s="22">
        <f t="shared" si="1"/>
        <v>1.1221997046783601</v>
      </c>
      <c r="Z5" s="22">
        <f t="shared" ref="Z5:Z38" si="18">Y5/2</f>
        <v>0.56109985233918003</v>
      </c>
      <c r="AA5" s="35">
        <f t="shared" ref="AA5:AA29" si="19">LN((SQRT(1+AD5 ^2)+AD5)/(SQRT(1+AD5 ^2)-AD5))</f>
        <v>1.7627471740390857</v>
      </c>
      <c r="AB5" s="22">
        <f t="shared" ref="AB5:AB29" si="20">AD5*LN((SQRT(1+AD5 ^2)+AD5)/(SQRT(1+AD5 ^2)-AD5))</f>
        <v>1.7627471740390857</v>
      </c>
      <c r="AC5" s="22">
        <f t="shared" ref="AC5:AC38" si="21">1/PI()</f>
        <v>0.31830988618379069</v>
      </c>
      <c r="AD5" s="19">
        <f t="shared" ref="AD5:AD37" si="22">S5/T5</f>
        <v>1</v>
      </c>
      <c r="AE5" s="72">
        <f t="shared" ref="AE5:AE37" si="23">BE5</f>
        <v>14999.999999999996</v>
      </c>
      <c r="AF5" s="22">
        <f t="shared" ref="AF5:AF37" si="24">(S5/2)/$J$10</f>
        <v>0.02</v>
      </c>
      <c r="AG5" s="22">
        <f t="shared" ref="AG5:AG37" si="25">(T5/2)/$J$10</f>
        <v>0.02</v>
      </c>
      <c r="AH5" s="22">
        <f t="shared" ref="AH5:AH37" si="26">(S5/2)/$J$11</f>
        <v>0.01</v>
      </c>
      <c r="AI5" s="22">
        <f t="shared" ref="AI5:AI37" si="27">(T5/2)/$J$11</f>
        <v>0.01</v>
      </c>
      <c r="AJ5" s="35">
        <f t="shared" ref="AJ5:AJ37" si="28">(1/(4*PI()))*((2*AF5*AG5*SQRT(AF5^2+AG5^2)/(AF5^2+AG5^2+1+AF5^2+AG5^2))*(((AF5^2+AG5^2+2)/(AF5^2+AG5^2+1))+ATAN((2+AF5+AG5*SQRT(AF5^2+AG5^2+1)/(AF5^2+AG5^2+1-AF5^2*AG5^2)))))</f>
        <v>5.5986113705619145E-6</v>
      </c>
      <c r="AK5" s="35">
        <f t="shared" ref="AK5:AK38" si="29">1/(4*PI())</f>
        <v>7.9577471545947673E-2</v>
      </c>
      <c r="AL5" s="35">
        <f t="shared" si="2"/>
        <v>7.9904146967410875E-4</v>
      </c>
      <c r="AM5" s="35">
        <f t="shared" si="3"/>
        <v>1.9992006394884094</v>
      </c>
      <c r="AN5" s="36">
        <f t="shared" si="4"/>
        <v>7.9968014925657584E-4</v>
      </c>
      <c r="AO5" s="35">
        <f t="shared" si="5"/>
        <v>1.9075709605983595E-4</v>
      </c>
      <c r="AP5" s="35">
        <f t="shared" ref="AP5:AP38" si="30">1/(4*PI())</f>
        <v>7.9577471545947673E-2</v>
      </c>
      <c r="AQ5" s="35">
        <f t="shared" ref="AQ5:AQ38" si="31">(2*AH5*AI5*SQRT(AH5^2+AI5^2+1))/(AH5^2+AI5^2+1+AH5^2+AI5^2)</f>
        <v>1.999400229909036E-4</v>
      </c>
      <c r="AR5" s="35">
        <f t="shared" ref="AR5:AR38" si="32">(((AH5^2+AI5^2+2)/(AH5^2+AI5^2+1)))</f>
        <v>1.9998000399920017</v>
      </c>
      <c r="AS5" s="35">
        <f t="shared" ref="AS5:AS38" si="33">ATAN((2*AH5*AI5*SQRT(AH5^2+AI5^2+1)/(AH5^2+AI5^2+1-AH5^2*AI5^2)))</f>
        <v>1.9998000233303336E-4</v>
      </c>
      <c r="AT5" s="35">
        <f t="shared" si="6"/>
        <v>4.7732164418328537E-5</v>
      </c>
      <c r="AU5" s="35">
        <f t="shared" si="7"/>
        <v>2508.1076054865762</v>
      </c>
      <c r="AV5" s="35">
        <f t="shared" si="8"/>
        <v>11.445425763590155</v>
      </c>
      <c r="AW5" s="35">
        <f t="shared" ref="AW5:AW38" si="34">(AT5*4)*BE5</f>
        <v>2.8639298650997116</v>
      </c>
      <c r="AX5" s="35">
        <f t="shared" ref="AX5:AX38" si="35">($D$12*$G$9)/(1+$D$13)*LOG10((X5+AU5)/X5)</f>
        <v>1.3538300434959567</v>
      </c>
      <c r="AY5" s="74">
        <f t="shared" si="9"/>
        <v>1353.8300434959567</v>
      </c>
      <c r="AZ5" s="35">
        <f t="shared" ref="AZ5:AZ38" si="36">($D$14*$G$9)/(1+$D$13)*LOG10((X5+AU5)/X5)</f>
        <v>1.3448045098726502</v>
      </c>
      <c r="BA5" s="35">
        <f t="shared" ref="BA5:BA38" si="37">AZ5*1000</f>
        <v>1344.8045098726502</v>
      </c>
      <c r="BB5" s="35">
        <f t="shared" ref="BB5:BB38" si="38">(($D$14+$G$9)/(1+$D$13))*LOG10($D$15/$D$15)+($D$12*$G$9)/(1+$D$13)*LOG10((X5+AU5)/X5)</f>
        <v>1.3538300434959567</v>
      </c>
      <c r="BC5" s="35">
        <f t="shared" ref="BC5:BC38" si="39">BB5*1000</f>
        <v>1353.8300434959567</v>
      </c>
      <c r="BD5" s="44">
        <f t="shared" ref="BD5:BD38" si="40">BG5+AY5</f>
        <v>1448.0948186889389</v>
      </c>
      <c r="BE5" s="35">
        <f t="shared" si="10"/>
        <v>14999.999999999996</v>
      </c>
      <c r="BF5" s="35">
        <f t="shared" si="11"/>
        <v>9.4264775192982236E-2</v>
      </c>
      <c r="BG5" s="74">
        <f t="shared" ref="BG5:BG38" si="41">BF5*1000</f>
        <v>94.264775192982242</v>
      </c>
      <c r="BH5" s="35">
        <f t="shared" si="12"/>
        <v>14999.999999999996</v>
      </c>
      <c r="BI5" s="36">
        <f t="shared" si="13"/>
        <v>4.7132387596491118E-2</v>
      </c>
      <c r="BJ5" s="73">
        <f t="shared" ref="BJ5:BJ38" si="42">BI5*1000</f>
        <v>47.132387596491121</v>
      </c>
      <c r="BK5" s="42"/>
      <c r="BL5" s="30"/>
      <c r="BM5" s="30"/>
      <c r="BN5" s="30"/>
      <c r="BO5" s="42"/>
      <c r="BP5" s="30"/>
      <c r="BQ5" s="30"/>
      <c r="BR5" s="42"/>
      <c r="BS5" s="42"/>
      <c r="BT5" s="30"/>
      <c r="BU5" s="42"/>
      <c r="BV5" s="30"/>
      <c r="BW5" s="30"/>
      <c r="BX5" s="30"/>
    </row>
    <row r="6" spans="3:76" x14ac:dyDescent="0.25">
      <c r="C6" s="7" t="s">
        <v>3</v>
      </c>
      <c r="D6" s="13">
        <v>1</v>
      </c>
      <c r="E6" s="9"/>
      <c r="F6" s="10" t="s">
        <v>11</v>
      </c>
      <c r="G6" s="13">
        <v>21</v>
      </c>
      <c r="H6" s="9" t="s">
        <v>9</v>
      </c>
      <c r="I6" s="10" t="s">
        <v>14</v>
      </c>
      <c r="J6" s="49">
        <v>9.8059999999999992</v>
      </c>
      <c r="K6" s="9" t="s">
        <v>9</v>
      </c>
      <c r="L6" s="9"/>
      <c r="M6" s="9" t="s">
        <v>40</v>
      </c>
      <c r="N6" s="12">
        <f>VLOOKUP($G$5,'Base de datos'!$H$4:$K$54,3,0)</f>
        <v>23.18</v>
      </c>
      <c r="O6" s="9"/>
      <c r="P6" s="43"/>
      <c r="Q6" s="43"/>
      <c r="R6" s="18">
        <v>3</v>
      </c>
      <c r="S6" s="20">
        <f t="shared" si="0"/>
        <v>0.30000000000000004</v>
      </c>
      <c r="T6" s="20">
        <f t="shared" si="14"/>
        <v>0.30000000000000004</v>
      </c>
      <c r="U6" s="21">
        <f t="shared" si="15"/>
        <v>1</v>
      </c>
      <c r="V6" s="22">
        <f t="shared" ref="V6:V38" si="43">IF($G$13=1,$D$6*$G$6,IF($G$13=2,$G$7*$D$6,(($D$6-$J$8)*$G$6)+$J$8*($G$6-$J$6)))</f>
        <v>16.097000000000001</v>
      </c>
      <c r="W6" s="22">
        <f t="shared" si="16"/>
        <v>100.09699999999999</v>
      </c>
      <c r="X6" s="22">
        <f t="shared" si="17"/>
        <v>116.19399999999999</v>
      </c>
      <c r="Y6" s="22">
        <f t="shared" si="1"/>
        <v>1.1221997046783601</v>
      </c>
      <c r="Z6" s="22">
        <f t="shared" si="18"/>
        <v>0.56109985233918003</v>
      </c>
      <c r="AA6" s="35">
        <f t="shared" si="19"/>
        <v>1.7627471740390857</v>
      </c>
      <c r="AB6" s="22">
        <f t="shared" si="20"/>
        <v>1.7627471740390857</v>
      </c>
      <c r="AC6" s="22">
        <f t="shared" si="21"/>
        <v>0.31830988618379069</v>
      </c>
      <c r="AD6" s="19">
        <f t="shared" si="22"/>
        <v>1</v>
      </c>
      <c r="AE6" s="72">
        <f t="shared" si="23"/>
        <v>6666.6666666666652</v>
      </c>
      <c r="AF6" s="22">
        <f t="shared" si="24"/>
        <v>3.0000000000000006E-2</v>
      </c>
      <c r="AG6" s="22">
        <f t="shared" si="25"/>
        <v>3.0000000000000006E-2</v>
      </c>
      <c r="AH6" s="22">
        <f t="shared" si="26"/>
        <v>1.5000000000000003E-2</v>
      </c>
      <c r="AI6" s="22">
        <f t="shared" si="27"/>
        <v>1.5000000000000003E-2</v>
      </c>
      <c r="AJ6" s="35">
        <f t="shared" si="28"/>
        <v>1.8874875843463994E-5</v>
      </c>
      <c r="AK6" s="35">
        <f t="shared" si="29"/>
        <v>7.9577471545947673E-2</v>
      </c>
      <c r="AL6" s="35">
        <f t="shared" si="2"/>
        <v>1.7951567075083336E-3</v>
      </c>
      <c r="AM6" s="35">
        <f t="shared" si="3"/>
        <v>1.9982032341784786</v>
      </c>
      <c r="AN6" s="36">
        <f t="shared" si="4"/>
        <v>1.7983816990341476E-3</v>
      </c>
      <c r="AO6" s="35">
        <f t="shared" si="5"/>
        <v>4.2856205686633912E-4</v>
      </c>
      <c r="AP6" s="35">
        <f t="shared" si="30"/>
        <v>7.9577471545947673E-2</v>
      </c>
      <c r="AQ6" s="35">
        <f t="shared" si="31"/>
        <v>4.4969651175136115E-4</v>
      </c>
      <c r="AR6" s="35">
        <f t="shared" si="32"/>
        <v>1.9995502024089158</v>
      </c>
      <c r="AS6" s="35">
        <f t="shared" si="33"/>
        <v>4.4989877657043888E-4</v>
      </c>
      <c r="AT6" s="35">
        <f t="shared" si="6"/>
        <v>1.0735713350073385E-4</v>
      </c>
      <c r="AU6" s="35">
        <f t="shared" si="7"/>
        <v>1119.2071349376267</v>
      </c>
      <c r="AV6" s="35">
        <f t="shared" si="8"/>
        <v>11.428321516435707</v>
      </c>
      <c r="AW6" s="35">
        <f t="shared" si="34"/>
        <v>2.8628568933529017</v>
      </c>
      <c r="AX6" s="35">
        <f t="shared" si="35"/>
        <v>1.026624293348094</v>
      </c>
      <c r="AY6" s="74">
        <f t="shared" si="9"/>
        <v>1026.6242933480939</v>
      </c>
      <c r="AZ6" s="35">
        <f t="shared" si="36"/>
        <v>1.0197801313924399</v>
      </c>
      <c r="BA6" s="35">
        <f t="shared" si="37"/>
        <v>1019.7801313924399</v>
      </c>
      <c r="BB6" s="35">
        <f t="shared" si="38"/>
        <v>1.026624293348094</v>
      </c>
      <c r="BC6" s="35">
        <f t="shared" si="39"/>
        <v>1026.6242933480939</v>
      </c>
      <c r="BD6" s="44">
        <f t="shared" si="40"/>
        <v>1089.4674768100822</v>
      </c>
      <c r="BE6" s="35">
        <f t="shared" si="10"/>
        <v>6666.6666666666652</v>
      </c>
      <c r="BF6" s="35">
        <f t="shared" si="11"/>
        <v>6.2843183461988153E-2</v>
      </c>
      <c r="BG6" s="74">
        <f t="shared" si="41"/>
        <v>62.843183461988154</v>
      </c>
      <c r="BH6" s="35">
        <f t="shared" si="12"/>
        <v>6666.6666666666652</v>
      </c>
      <c r="BI6" s="36">
        <f t="shared" si="13"/>
        <v>3.1421591730994076E-2</v>
      </c>
      <c r="BJ6" s="73">
        <f t="shared" si="42"/>
        <v>31.421591730994077</v>
      </c>
      <c r="BK6" s="42"/>
      <c r="BL6" s="30"/>
      <c r="BM6" s="30"/>
      <c r="BN6" s="30"/>
      <c r="BO6" s="42"/>
      <c r="BP6" s="30"/>
      <c r="BQ6" s="30"/>
      <c r="BR6" s="42"/>
      <c r="BS6" s="42"/>
      <c r="BT6" s="30"/>
      <c r="BU6" s="42"/>
      <c r="BV6" s="30"/>
      <c r="BW6" s="30"/>
      <c r="BX6" s="30"/>
    </row>
    <row r="7" spans="3:76" ht="18" x14ac:dyDescent="0.4">
      <c r="C7" s="7" t="s">
        <v>4</v>
      </c>
      <c r="D7" s="13">
        <v>0.1</v>
      </c>
      <c r="E7" s="9"/>
      <c r="F7" s="10" t="s">
        <v>10</v>
      </c>
      <c r="G7" s="8">
        <f>G6-J6</f>
        <v>11.194000000000001</v>
      </c>
      <c r="H7" s="9" t="s">
        <v>9</v>
      </c>
      <c r="I7" s="10" t="s">
        <v>56</v>
      </c>
      <c r="J7" s="49">
        <v>0</v>
      </c>
      <c r="K7" s="9" t="s">
        <v>57</v>
      </c>
      <c r="L7" s="9"/>
      <c r="M7" s="9" t="s">
        <v>41</v>
      </c>
      <c r="N7" s="12">
        <f>VLOOKUP($G$5,'Base de datos'!$H$4:$K$54,4,0)</f>
        <v>30.22</v>
      </c>
      <c r="O7" s="9"/>
      <c r="P7" s="43"/>
      <c r="Q7" s="43"/>
      <c r="R7" s="18">
        <v>4</v>
      </c>
      <c r="S7" s="20">
        <f t="shared" si="0"/>
        <v>0.4</v>
      </c>
      <c r="T7" s="20">
        <f t="shared" si="14"/>
        <v>0.4</v>
      </c>
      <c r="U7" s="21">
        <f>$D$6</f>
        <v>1</v>
      </c>
      <c r="V7" s="22">
        <f t="shared" si="43"/>
        <v>16.097000000000001</v>
      </c>
      <c r="W7" s="22">
        <f t="shared" si="16"/>
        <v>100.09699999999999</v>
      </c>
      <c r="X7" s="22">
        <f t="shared" si="17"/>
        <v>116.19399999999999</v>
      </c>
      <c r="Y7" s="22">
        <f t="shared" si="1"/>
        <v>1.1221997046783601</v>
      </c>
      <c r="Z7" s="22">
        <f t="shared" si="18"/>
        <v>0.56109985233918003</v>
      </c>
      <c r="AA7" s="35">
        <f t="shared" si="19"/>
        <v>1.7627471740390857</v>
      </c>
      <c r="AB7" s="22">
        <f t="shared" si="20"/>
        <v>1.7627471740390857</v>
      </c>
      <c r="AC7" s="22">
        <f t="shared" si="21"/>
        <v>0.31830988618379069</v>
      </c>
      <c r="AD7" s="19">
        <f t="shared" si="22"/>
        <v>1</v>
      </c>
      <c r="AE7" s="72">
        <f t="shared" si="23"/>
        <v>3749.9999999999991</v>
      </c>
      <c r="AF7" s="22">
        <f t="shared" si="24"/>
        <v>0.04</v>
      </c>
      <c r="AG7" s="22">
        <f t="shared" si="25"/>
        <v>0.04</v>
      </c>
      <c r="AH7" s="22">
        <f t="shared" si="26"/>
        <v>0.02</v>
      </c>
      <c r="AI7" s="22">
        <f t="shared" si="27"/>
        <v>0.02</v>
      </c>
      <c r="AJ7" s="35">
        <f t="shared" si="28"/>
        <v>4.4650101180208669E-5</v>
      </c>
      <c r="AK7" s="35">
        <f t="shared" si="29"/>
        <v>7.9577471545947673E-2</v>
      </c>
      <c r="AL7" s="35">
        <f t="shared" si="2"/>
        <v>3.1847336154019489E-3</v>
      </c>
      <c r="AM7" s="35">
        <f t="shared" si="3"/>
        <v>1.996810207336523</v>
      </c>
      <c r="AN7" s="36">
        <f t="shared" si="4"/>
        <v>3.1948895377159471E-3</v>
      </c>
      <c r="AO7" s="35">
        <f t="shared" si="5"/>
        <v>7.6029892972287829E-4</v>
      </c>
      <c r="AP7" s="35">
        <f t="shared" si="30"/>
        <v>7.9577471545947673E-2</v>
      </c>
      <c r="AQ7" s="35">
        <f t="shared" si="31"/>
        <v>7.9904146967410875E-4</v>
      </c>
      <c r="AR7" s="35">
        <f t="shared" si="32"/>
        <v>1.9992006394884094</v>
      </c>
      <c r="AS7" s="35">
        <f t="shared" si="33"/>
        <v>7.9968014925657584E-4</v>
      </c>
      <c r="AT7" s="35">
        <f t="shared" si="6"/>
        <v>1.9075709605983595E-4</v>
      </c>
      <c r="AU7" s="35">
        <f t="shared" si="7"/>
        <v>633.07988203737818</v>
      </c>
      <c r="AV7" s="35">
        <f t="shared" si="8"/>
        <v>11.404483945843172</v>
      </c>
      <c r="AW7" s="35">
        <f t="shared" si="34"/>
        <v>2.8613564408975387</v>
      </c>
      <c r="AX7" s="35">
        <f t="shared" si="35"/>
        <v>0.80945689172491631</v>
      </c>
      <c r="AY7" s="74">
        <f t="shared" si="9"/>
        <v>809.45689172491632</v>
      </c>
      <c r="AZ7" s="35">
        <f t="shared" si="36"/>
        <v>0.80406051244675014</v>
      </c>
      <c r="BA7" s="35">
        <f t="shared" si="37"/>
        <v>804.06051244675018</v>
      </c>
      <c r="BB7" s="35">
        <f t="shared" si="38"/>
        <v>0.80945689172491631</v>
      </c>
      <c r="BC7" s="35">
        <f t="shared" si="39"/>
        <v>809.45689172491632</v>
      </c>
      <c r="BD7" s="44">
        <f t="shared" si="40"/>
        <v>856.58927932140739</v>
      </c>
      <c r="BE7" s="35">
        <f t="shared" si="10"/>
        <v>3749.9999999999991</v>
      </c>
      <c r="BF7" s="35">
        <f t="shared" si="11"/>
        <v>4.7132387596491118E-2</v>
      </c>
      <c r="BG7" s="74">
        <f t="shared" si="41"/>
        <v>47.132387596491121</v>
      </c>
      <c r="BH7" s="35">
        <f t="shared" si="12"/>
        <v>3749.9999999999991</v>
      </c>
      <c r="BI7" s="36">
        <f t="shared" si="13"/>
        <v>2.3566193798245559E-2</v>
      </c>
      <c r="BJ7" s="73">
        <f t="shared" si="42"/>
        <v>23.56619379824556</v>
      </c>
      <c r="BK7" s="42"/>
      <c r="BL7" s="30"/>
      <c r="BM7" s="30"/>
      <c r="BN7" s="30"/>
      <c r="BO7" s="42"/>
      <c r="BP7" s="30"/>
      <c r="BQ7" s="30"/>
      <c r="BR7" s="42"/>
      <c r="BS7" s="42"/>
      <c r="BT7" s="30"/>
      <c r="BU7" s="42"/>
      <c r="BV7" s="30"/>
      <c r="BW7" s="30"/>
      <c r="BX7" s="30"/>
    </row>
    <row r="8" spans="3:76" ht="15.75" thickBot="1" x14ac:dyDescent="0.3">
      <c r="C8" s="14" t="s">
        <v>5</v>
      </c>
      <c r="D8" s="55">
        <v>1</v>
      </c>
      <c r="E8" s="16" t="s">
        <v>15</v>
      </c>
      <c r="F8" s="16"/>
      <c r="G8" s="16"/>
      <c r="H8" s="16"/>
      <c r="I8" s="16" t="s">
        <v>58</v>
      </c>
      <c r="J8" s="50">
        <v>0.5</v>
      </c>
      <c r="K8" s="16"/>
      <c r="L8" s="16"/>
      <c r="M8" s="16"/>
      <c r="N8" s="17"/>
      <c r="O8" s="9"/>
      <c r="P8" s="43"/>
      <c r="Q8" s="43"/>
      <c r="R8" s="18">
        <v>5</v>
      </c>
      <c r="S8" s="20">
        <f t="shared" si="0"/>
        <v>0.5</v>
      </c>
      <c r="T8" s="20">
        <f t="shared" si="14"/>
        <v>0.5</v>
      </c>
      <c r="U8" s="21">
        <f t="shared" si="15"/>
        <v>1</v>
      </c>
      <c r="V8" s="22">
        <f t="shared" si="43"/>
        <v>16.097000000000001</v>
      </c>
      <c r="W8" s="22">
        <f t="shared" si="16"/>
        <v>100.09699999999999</v>
      </c>
      <c r="X8" s="22">
        <f t="shared" si="17"/>
        <v>116.19399999999999</v>
      </c>
      <c r="Y8" s="22">
        <f t="shared" si="1"/>
        <v>1.1221997046783601</v>
      </c>
      <c r="Z8" s="22">
        <f t="shared" si="18"/>
        <v>0.56109985233918003</v>
      </c>
      <c r="AA8" s="35">
        <f t="shared" si="19"/>
        <v>1.7627471740390857</v>
      </c>
      <c r="AB8" s="22">
        <f t="shared" si="20"/>
        <v>1.7627471740390857</v>
      </c>
      <c r="AC8" s="22">
        <f t="shared" si="21"/>
        <v>0.31830988618379069</v>
      </c>
      <c r="AD8" s="19">
        <f t="shared" si="22"/>
        <v>1</v>
      </c>
      <c r="AE8" s="72">
        <f t="shared" si="23"/>
        <v>2400</v>
      </c>
      <c r="AF8" s="22">
        <f t="shared" si="24"/>
        <v>0.05</v>
      </c>
      <c r="AG8" s="22">
        <f t="shared" si="25"/>
        <v>0.05</v>
      </c>
      <c r="AH8" s="22">
        <f t="shared" si="26"/>
        <v>2.5000000000000001E-2</v>
      </c>
      <c r="AI8" s="22">
        <f t="shared" si="27"/>
        <v>2.5000000000000001E-2</v>
      </c>
      <c r="AJ8" s="35">
        <f t="shared" si="28"/>
        <v>8.6950138283407063E-5</v>
      </c>
      <c r="AK8" s="35">
        <f t="shared" si="29"/>
        <v>7.9577471545947673E-2</v>
      </c>
      <c r="AL8" s="35">
        <f t="shared" si="2"/>
        <v>4.9628558553869882E-3</v>
      </c>
      <c r="AM8" s="35">
        <f t="shared" si="3"/>
        <v>1.9950248756218907</v>
      </c>
      <c r="AN8" s="36">
        <f t="shared" si="4"/>
        <v>4.9875363415496296E-3</v>
      </c>
      <c r="AO8" s="35">
        <f t="shared" si="5"/>
        <v>1.1847937391055274E-3</v>
      </c>
      <c r="AP8" s="35">
        <f t="shared" si="30"/>
        <v>7.9577471545947673E-2</v>
      </c>
      <c r="AQ8" s="35">
        <f t="shared" si="31"/>
        <v>1.2476618513833854E-3</v>
      </c>
      <c r="AR8" s="35">
        <f t="shared" si="32"/>
        <v>1.9987515605493136</v>
      </c>
      <c r="AS8" s="35">
        <f t="shared" si="33"/>
        <v>1.2492193192040902E-3</v>
      </c>
      <c r="AT8" s="35">
        <f t="shared" si="6"/>
        <v>2.9785731350446512E-4</v>
      </c>
      <c r="AU8" s="35">
        <f t="shared" si="7"/>
        <v>408.05925163188255</v>
      </c>
      <c r="AV8" s="35">
        <f t="shared" si="8"/>
        <v>11.374019895413063</v>
      </c>
      <c r="AW8" s="35">
        <f t="shared" si="34"/>
        <v>2.859430209642865</v>
      </c>
      <c r="AX8" s="35">
        <f t="shared" si="35"/>
        <v>0.65435743018556414</v>
      </c>
      <c r="AY8" s="74">
        <f t="shared" si="9"/>
        <v>654.35743018556411</v>
      </c>
      <c r="AZ8" s="35">
        <f t="shared" si="36"/>
        <v>0.64999504731766033</v>
      </c>
      <c r="BA8" s="35">
        <f t="shared" si="37"/>
        <v>649.99504731766035</v>
      </c>
      <c r="BB8" s="35">
        <f t="shared" si="38"/>
        <v>0.65435743018556414</v>
      </c>
      <c r="BC8" s="35">
        <f t="shared" si="39"/>
        <v>654.35743018556411</v>
      </c>
      <c r="BD8" s="44">
        <f t="shared" si="40"/>
        <v>692.06334026275704</v>
      </c>
      <c r="BE8" s="35">
        <f t="shared" si="10"/>
        <v>2400</v>
      </c>
      <c r="BF8" s="35">
        <f t="shared" si="11"/>
        <v>3.7705910077192893E-2</v>
      </c>
      <c r="BG8" s="74">
        <f t="shared" si="41"/>
        <v>37.70591007719289</v>
      </c>
      <c r="BH8" s="35">
        <f t="shared" si="12"/>
        <v>2400</v>
      </c>
      <c r="BI8" s="36">
        <f t="shared" si="13"/>
        <v>1.8852955038596447E-2</v>
      </c>
      <c r="BJ8" s="73">
        <f t="shared" si="42"/>
        <v>18.852955038596445</v>
      </c>
      <c r="BK8" s="42"/>
      <c r="BL8" s="30"/>
      <c r="BM8" s="30"/>
      <c r="BN8" s="30"/>
      <c r="BO8" s="42"/>
      <c r="BP8" s="30"/>
      <c r="BQ8" s="30"/>
      <c r="BR8" s="42"/>
      <c r="BS8" s="42"/>
      <c r="BT8" s="30"/>
      <c r="BU8" s="42"/>
      <c r="BV8" s="30"/>
      <c r="BW8" s="30"/>
      <c r="BX8" s="30"/>
    </row>
    <row r="9" spans="3:76" x14ac:dyDescent="0.25">
      <c r="C9" s="37" t="s">
        <v>92</v>
      </c>
      <c r="D9" s="38">
        <v>0.4</v>
      </c>
      <c r="F9" s="10" t="s">
        <v>102</v>
      </c>
      <c r="G9" s="38">
        <v>10</v>
      </c>
      <c r="I9" s="10" t="s">
        <v>106</v>
      </c>
      <c r="J9" s="56">
        <v>0</v>
      </c>
      <c r="P9" s="43"/>
      <c r="Q9" s="43"/>
      <c r="R9" s="18">
        <v>6</v>
      </c>
      <c r="S9" s="20">
        <f t="shared" si="0"/>
        <v>0.60000000000000009</v>
      </c>
      <c r="T9" s="20">
        <f t="shared" si="14"/>
        <v>0.60000000000000009</v>
      </c>
      <c r="U9" s="21">
        <f t="shared" si="15"/>
        <v>1</v>
      </c>
      <c r="V9" s="22">
        <f t="shared" si="43"/>
        <v>16.097000000000001</v>
      </c>
      <c r="W9" s="22">
        <f t="shared" si="16"/>
        <v>100.09699999999999</v>
      </c>
      <c r="X9" s="22">
        <f t="shared" si="17"/>
        <v>116.19399999999999</v>
      </c>
      <c r="Y9" s="22">
        <f t="shared" si="1"/>
        <v>1.1221997046783601</v>
      </c>
      <c r="Z9" s="22">
        <f t="shared" si="18"/>
        <v>0.56109985233918003</v>
      </c>
      <c r="AA9" s="35">
        <f t="shared" si="19"/>
        <v>1.7627471740390857</v>
      </c>
      <c r="AB9" s="22">
        <f t="shared" si="20"/>
        <v>1.7627471740390857</v>
      </c>
      <c r="AC9" s="22">
        <f t="shared" si="21"/>
        <v>0.31830988618379069</v>
      </c>
      <c r="AD9" s="19">
        <f t="shared" si="22"/>
        <v>1</v>
      </c>
      <c r="AE9" s="72">
        <f t="shared" si="23"/>
        <v>1666.6666666666663</v>
      </c>
      <c r="AF9" s="22">
        <f t="shared" si="24"/>
        <v>6.0000000000000012E-2</v>
      </c>
      <c r="AG9" s="22">
        <f t="shared" si="25"/>
        <v>6.0000000000000012E-2</v>
      </c>
      <c r="AH9" s="22">
        <f t="shared" si="26"/>
        <v>3.0000000000000006E-2</v>
      </c>
      <c r="AI9" s="22">
        <f t="shared" si="27"/>
        <v>3.0000000000000006E-2</v>
      </c>
      <c r="AJ9" s="35">
        <f t="shared" si="28"/>
        <v>1.4966900607412745E-4</v>
      </c>
      <c r="AK9" s="35">
        <f t="shared" si="29"/>
        <v>7.9577471545947673E-2</v>
      </c>
      <c r="AL9" s="35">
        <f t="shared" si="2"/>
        <v>7.1232980197255165E-3</v>
      </c>
      <c r="AM9" s="35">
        <f t="shared" si="3"/>
        <v>1.9928514694201747</v>
      </c>
      <c r="AN9" s="36">
        <f t="shared" si="4"/>
        <v>7.1741883626113799E-3</v>
      </c>
      <c r="AO9" s="35">
        <f t="shared" si="5"/>
        <v>1.7005596877686041E-3</v>
      </c>
      <c r="AP9" s="35">
        <f t="shared" si="30"/>
        <v>7.9577471545947673E-2</v>
      </c>
      <c r="AQ9" s="35">
        <f t="shared" si="31"/>
        <v>1.7951567075083336E-3</v>
      </c>
      <c r="AR9" s="35">
        <f t="shared" si="32"/>
        <v>1.9982032341784786</v>
      </c>
      <c r="AS9" s="35">
        <f t="shared" si="33"/>
        <v>1.7983816990341476E-3</v>
      </c>
      <c r="AT9" s="35">
        <f t="shared" si="6"/>
        <v>4.2856205686633912E-4</v>
      </c>
      <c r="AU9" s="35">
        <f t="shared" si="7"/>
        <v>285.81200089771193</v>
      </c>
      <c r="AV9" s="35">
        <f t="shared" si="8"/>
        <v>11.337064585124025</v>
      </c>
      <c r="AW9" s="35">
        <f t="shared" si="34"/>
        <v>2.8570803791089268</v>
      </c>
      <c r="AX9" s="35">
        <f t="shared" si="35"/>
        <v>0.53904883338192766</v>
      </c>
      <c r="AY9" s="74">
        <f t="shared" si="9"/>
        <v>539.04883338192769</v>
      </c>
      <c r="AZ9" s="35">
        <f t="shared" si="36"/>
        <v>0.53545517449271474</v>
      </c>
      <c r="BA9" s="35">
        <f t="shared" si="37"/>
        <v>535.45517449271472</v>
      </c>
      <c r="BB9" s="35">
        <f t="shared" si="38"/>
        <v>0.53904883338192766</v>
      </c>
      <c r="BC9" s="35">
        <f t="shared" si="39"/>
        <v>539.04883338192769</v>
      </c>
      <c r="BD9" s="44">
        <f t="shared" si="40"/>
        <v>570.47042511292182</v>
      </c>
      <c r="BE9" s="35">
        <f t="shared" si="10"/>
        <v>1666.6666666666663</v>
      </c>
      <c r="BF9" s="35">
        <f t="shared" si="11"/>
        <v>3.1421591730994076E-2</v>
      </c>
      <c r="BG9" s="74">
        <f t="shared" si="41"/>
        <v>31.421591730994077</v>
      </c>
      <c r="BH9" s="35">
        <f t="shared" si="12"/>
        <v>1666.6666666666663</v>
      </c>
      <c r="BI9" s="36">
        <f t="shared" si="13"/>
        <v>1.5710795865497038E-2</v>
      </c>
      <c r="BJ9" s="73">
        <f t="shared" si="42"/>
        <v>15.710795865497039</v>
      </c>
      <c r="BK9" s="42"/>
      <c r="BL9" s="30"/>
      <c r="BM9" s="30"/>
      <c r="BN9" s="30"/>
      <c r="BO9" s="42"/>
      <c r="BP9" s="30"/>
      <c r="BQ9" s="30"/>
      <c r="BR9" s="42"/>
      <c r="BS9" s="42"/>
      <c r="BT9" s="30"/>
      <c r="BU9" s="42"/>
      <c r="BV9" s="30"/>
      <c r="BW9" s="30"/>
      <c r="BX9" s="30"/>
    </row>
    <row r="10" spans="3:76" x14ac:dyDescent="0.25">
      <c r="C10" s="37" t="s">
        <v>93</v>
      </c>
      <c r="D10" s="38">
        <v>600</v>
      </c>
      <c r="F10" s="10" t="s">
        <v>103</v>
      </c>
      <c r="G10">
        <f>G9/2</f>
        <v>5</v>
      </c>
      <c r="I10" s="10" t="s">
        <v>107</v>
      </c>
      <c r="J10">
        <f>G10</f>
        <v>5</v>
      </c>
      <c r="P10" s="43"/>
      <c r="Q10" s="43"/>
      <c r="R10" s="18">
        <v>7</v>
      </c>
      <c r="S10" s="20">
        <f t="shared" si="0"/>
        <v>0.70000000000000007</v>
      </c>
      <c r="T10" s="20">
        <f t="shared" si="14"/>
        <v>0.70000000000000007</v>
      </c>
      <c r="U10" s="21">
        <f t="shared" si="15"/>
        <v>1</v>
      </c>
      <c r="V10" s="22">
        <f t="shared" si="43"/>
        <v>16.097000000000001</v>
      </c>
      <c r="W10" s="22">
        <f t="shared" si="16"/>
        <v>100.09699999999999</v>
      </c>
      <c r="X10" s="22">
        <f t="shared" si="17"/>
        <v>116.19399999999999</v>
      </c>
      <c r="Y10" s="22">
        <f t="shared" si="1"/>
        <v>1.1221997046783601</v>
      </c>
      <c r="Z10" s="22">
        <f t="shared" si="18"/>
        <v>0.56109985233918003</v>
      </c>
      <c r="AA10" s="35">
        <f t="shared" si="19"/>
        <v>1.7627471740390857</v>
      </c>
      <c r="AB10" s="22">
        <f t="shared" si="20"/>
        <v>1.7627471740390857</v>
      </c>
      <c r="AC10" s="22">
        <f t="shared" si="21"/>
        <v>0.31830988618379069</v>
      </c>
      <c r="AD10" s="19">
        <f t="shared" si="22"/>
        <v>1</v>
      </c>
      <c r="AE10" s="72">
        <f t="shared" si="23"/>
        <v>1224.489795918367</v>
      </c>
      <c r="AF10" s="22">
        <f t="shared" si="24"/>
        <v>7.0000000000000007E-2</v>
      </c>
      <c r="AG10" s="22">
        <f t="shared" si="25"/>
        <v>7.0000000000000007E-2</v>
      </c>
      <c r="AH10" s="22">
        <f t="shared" si="26"/>
        <v>3.5000000000000003E-2</v>
      </c>
      <c r="AI10" s="22">
        <f t="shared" si="27"/>
        <v>3.5000000000000003E-2</v>
      </c>
      <c r="AJ10" s="35">
        <f t="shared" si="28"/>
        <v>2.3653501387503091E-4</v>
      </c>
      <c r="AK10" s="35">
        <f t="shared" si="29"/>
        <v>7.9577471545947673E-2</v>
      </c>
      <c r="AL10" s="35">
        <f t="shared" si="2"/>
        <v>9.6585944723158179E-3</v>
      </c>
      <c r="AM10" s="35">
        <f t="shared" si="3"/>
        <v>1.9902951079421665</v>
      </c>
      <c r="AN10" s="36">
        <f t="shared" si="4"/>
        <v>9.7522527965321834E-3</v>
      </c>
      <c r="AO10" s="35">
        <f t="shared" si="5"/>
        <v>2.3058134296365601E-3</v>
      </c>
      <c r="AP10" s="35">
        <f t="shared" si="30"/>
        <v>7.9577471545947673E-2</v>
      </c>
      <c r="AQ10" s="35">
        <f t="shared" si="31"/>
        <v>2.4410383261845043E-3</v>
      </c>
      <c r="AR10" s="35">
        <f t="shared" si="32"/>
        <v>1.9975559878298168</v>
      </c>
      <c r="AS10" s="35">
        <f t="shared" si="33"/>
        <v>2.4470030325422598E-3</v>
      </c>
      <c r="AT10" s="35">
        <f t="shared" si="6"/>
        <v>5.8275487666791491E-4</v>
      </c>
      <c r="AU10" s="35">
        <f t="shared" si="7"/>
        <v>212.08653762874621</v>
      </c>
      <c r="AV10" s="35">
        <f t="shared" si="8"/>
        <v>11.293780063526006</v>
      </c>
      <c r="AW10" s="35">
        <f t="shared" si="34"/>
        <v>2.854309600006113</v>
      </c>
      <c r="AX10" s="35">
        <f t="shared" si="35"/>
        <v>0.45106143336959481</v>
      </c>
      <c r="AY10" s="74">
        <f t="shared" si="9"/>
        <v>451.06143336959479</v>
      </c>
      <c r="AZ10" s="35">
        <f t="shared" si="36"/>
        <v>0.44805435714713082</v>
      </c>
      <c r="BA10" s="35">
        <f t="shared" si="37"/>
        <v>448.05435714713082</v>
      </c>
      <c r="BB10" s="35">
        <f t="shared" si="38"/>
        <v>0.45106143336959481</v>
      </c>
      <c r="BC10" s="35">
        <f t="shared" si="39"/>
        <v>451.06143336959479</v>
      </c>
      <c r="BD10" s="44">
        <f t="shared" si="40"/>
        <v>477.99422628187546</v>
      </c>
      <c r="BE10" s="35">
        <f t="shared" si="10"/>
        <v>1224.489795918367</v>
      </c>
      <c r="BF10" s="35">
        <f t="shared" si="11"/>
        <v>2.6932792912280637E-2</v>
      </c>
      <c r="BG10" s="74">
        <f t="shared" si="41"/>
        <v>26.932792912280636</v>
      </c>
      <c r="BH10" s="35">
        <f t="shared" si="12"/>
        <v>1224.489795918367</v>
      </c>
      <c r="BI10" s="36">
        <f t="shared" si="13"/>
        <v>1.3466396456140318E-2</v>
      </c>
      <c r="BJ10" s="73">
        <f t="shared" si="42"/>
        <v>13.466396456140318</v>
      </c>
      <c r="BK10" s="42"/>
      <c r="BL10" s="30"/>
      <c r="BM10" s="30"/>
      <c r="BN10" s="30"/>
      <c r="BO10" s="42"/>
      <c r="BP10" s="30"/>
      <c r="BQ10" s="30"/>
      <c r="BR10" s="42"/>
      <c r="BS10" s="42"/>
      <c r="BT10" s="30"/>
      <c r="BU10" s="42"/>
      <c r="BV10" s="30"/>
      <c r="BW10" s="30"/>
      <c r="BX10" s="30"/>
    </row>
    <row r="11" spans="3:76" x14ac:dyDescent="0.25">
      <c r="C11" s="37" t="s">
        <v>95</v>
      </c>
      <c r="D11" s="38">
        <v>30000</v>
      </c>
      <c r="E11" t="s">
        <v>96</v>
      </c>
      <c r="I11" s="10" t="s">
        <v>108</v>
      </c>
      <c r="J11">
        <f>G9</f>
        <v>10</v>
      </c>
      <c r="P11" s="43"/>
      <c r="Q11" s="43"/>
      <c r="R11" s="18">
        <v>8</v>
      </c>
      <c r="S11" s="20">
        <f t="shared" si="0"/>
        <v>0.8</v>
      </c>
      <c r="T11" s="20">
        <f t="shared" si="14"/>
        <v>0.8</v>
      </c>
      <c r="U11" s="21">
        <f t="shared" si="15"/>
        <v>1</v>
      </c>
      <c r="V11" s="22">
        <f t="shared" si="43"/>
        <v>16.097000000000001</v>
      </c>
      <c r="W11" s="22">
        <f t="shared" si="16"/>
        <v>100.09699999999999</v>
      </c>
      <c r="X11" s="22">
        <f t="shared" si="17"/>
        <v>116.19399999999999</v>
      </c>
      <c r="Y11" s="22">
        <f t="shared" si="1"/>
        <v>1.1221997046783601</v>
      </c>
      <c r="Z11" s="22">
        <f t="shared" si="18"/>
        <v>0.56109985233918003</v>
      </c>
      <c r="AA11" s="35">
        <f t="shared" si="19"/>
        <v>1.7627471740390857</v>
      </c>
      <c r="AB11" s="22">
        <f t="shared" si="20"/>
        <v>1.7627471740390857</v>
      </c>
      <c r="AC11" s="22">
        <f t="shared" si="21"/>
        <v>0.31830988618379069</v>
      </c>
      <c r="AD11" s="19">
        <f t="shared" si="22"/>
        <v>1</v>
      </c>
      <c r="AE11" s="72">
        <f t="shared" si="23"/>
        <v>937.49999999999977</v>
      </c>
      <c r="AF11" s="22">
        <f t="shared" si="24"/>
        <v>0.08</v>
      </c>
      <c r="AG11" s="22">
        <f t="shared" si="25"/>
        <v>0.08</v>
      </c>
      <c r="AH11" s="22">
        <f t="shared" si="26"/>
        <v>0.04</v>
      </c>
      <c r="AI11" s="22">
        <f t="shared" si="27"/>
        <v>0.04</v>
      </c>
      <c r="AJ11" s="35">
        <f t="shared" si="28"/>
        <v>3.5107983923107685E-4</v>
      </c>
      <c r="AK11" s="35">
        <f t="shared" si="29"/>
        <v>7.9577471545947673E-2</v>
      </c>
      <c r="AL11" s="35">
        <f t="shared" si="2"/>
        <v>1.2560120437225961E-2</v>
      </c>
      <c r="AM11" s="35">
        <f t="shared" si="3"/>
        <v>1.9873617693522907</v>
      </c>
      <c r="AN11" s="36">
        <f t="shared" si="4"/>
        <v>1.2718686680314843E-2</v>
      </c>
      <c r="AO11" s="35">
        <f t="shared" si="5"/>
        <v>2.998494236089313E-3</v>
      </c>
      <c r="AP11" s="35">
        <f t="shared" si="30"/>
        <v>7.9577471545947673E-2</v>
      </c>
      <c r="AQ11" s="35">
        <f t="shared" si="31"/>
        <v>3.1847336154019489E-3</v>
      </c>
      <c r="AR11" s="35">
        <f t="shared" si="32"/>
        <v>1.996810207336523</v>
      </c>
      <c r="AS11" s="35">
        <f t="shared" si="33"/>
        <v>3.1948895377159471E-3</v>
      </c>
      <c r="AT11" s="35">
        <f t="shared" si="6"/>
        <v>7.6029892972287829E-4</v>
      </c>
      <c r="AU11" s="35">
        <f t="shared" si="7"/>
        <v>164.22142242130005</v>
      </c>
      <c r="AV11" s="35">
        <f t="shared" si="8"/>
        <v>11.244353385334922</v>
      </c>
      <c r="AW11" s="35">
        <f t="shared" si="34"/>
        <v>2.8511209864607929</v>
      </c>
      <c r="AX11" s="35">
        <f t="shared" si="35"/>
        <v>0.38261819285559245</v>
      </c>
      <c r="AY11" s="74">
        <f t="shared" si="9"/>
        <v>382.61819285559244</v>
      </c>
      <c r="AZ11" s="35">
        <f t="shared" si="36"/>
        <v>0.38006740490322183</v>
      </c>
      <c r="BA11" s="35">
        <f t="shared" si="37"/>
        <v>380.06740490322181</v>
      </c>
      <c r="BB11" s="35">
        <f t="shared" si="38"/>
        <v>0.38261819285559245</v>
      </c>
      <c r="BC11" s="35">
        <f t="shared" si="39"/>
        <v>382.61819285559244</v>
      </c>
      <c r="BD11" s="44">
        <f t="shared" si="40"/>
        <v>406.18438665383798</v>
      </c>
      <c r="BE11" s="35">
        <f t="shared" si="10"/>
        <v>937.49999999999977</v>
      </c>
      <c r="BF11" s="35">
        <f t="shared" si="11"/>
        <v>2.3566193798245559E-2</v>
      </c>
      <c r="BG11" s="74">
        <f t="shared" si="41"/>
        <v>23.56619379824556</v>
      </c>
      <c r="BH11" s="35">
        <f t="shared" si="12"/>
        <v>937.49999999999977</v>
      </c>
      <c r="BI11" s="36">
        <f t="shared" si="13"/>
        <v>1.178309689912278E-2</v>
      </c>
      <c r="BJ11" s="73">
        <f t="shared" si="42"/>
        <v>11.78309689912278</v>
      </c>
      <c r="BK11" s="42"/>
      <c r="BL11" s="30"/>
      <c r="BM11" s="30"/>
      <c r="BN11" s="30"/>
      <c r="BO11" s="42"/>
      <c r="BP11" s="30"/>
      <c r="BQ11" s="30"/>
      <c r="BR11" s="42"/>
      <c r="BS11" s="42"/>
      <c r="BT11" s="30"/>
      <c r="BU11" s="42"/>
      <c r="BV11" s="30"/>
      <c r="BW11" s="30"/>
      <c r="BX11" s="30"/>
    </row>
    <row r="12" spans="3:76" x14ac:dyDescent="0.25">
      <c r="C12" s="37" t="s">
        <v>112</v>
      </c>
      <c r="D12" s="38">
        <v>0.15</v>
      </c>
      <c r="P12" s="43"/>
      <c r="Q12" s="43"/>
      <c r="R12" s="18">
        <v>9</v>
      </c>
      <c r="S12" s="20">
        <f t="shared" si="0"/>
        <v>0.9</v>
      </c>
      <c r="T12" s="20">
        <f t="shared" si="14"/>
        <v>0.9</v>
      </c>
      <c r="U12" s="21">
        <f t="shared" si="15"/>
        <v>1</v>
      </c>
      <c r="V12" s="22">
        <f t="shared" si="43"/>
        <v>16.097000000000001</v>
      </c>
      <c r="W12" s="22">
        <f t="shared" si="16"/>
        <v>100.09699999999999</v>
      </c>
      <c r="X12" s="22">
        <f t="shared" si="17"/>
        <v>116.19399999999999</v>
      </c>
      <c r="Y12" s="22">
        <f t="shared" si="1"/>
        <v>1.1221997046783601</v>
      </c>
      <c r="Z12" s="22">
        <f t="shared" si="18"/>
        <v>0.56109985233918003</v>
      </c>
      <c r="AA12" s="35">
        <f t="shared" si="19"/>
        <v>1.7627471740390857</v>
      </c>
      <c r="AB12" s="22">
        <f t="shared" si="20"/>
        <v>1.7627471740390857</v>
      </c>
      <c r="AC12" s="22">
        <f t="shared" si="21"/>
        <v>0.31830988618379069</v>
      </c>
      <c r="AD12" s="19">
        <f t="shared" si="22"/>
        <v>1</v>
      </c>
      <c r="AE12" s="72">
        <f t="shared" si="23"/>
        <v>740.74074074074065</v>
      </c>
      <c r="AF12" s="22">
        <f t="shared" si="24"/>
        <v>0.09</v>
      </c>
      <c r="AG12" s="22">
        <f t="shared" si="25"/>
        <v>0.09</v>
      </c>
      <c r="AH12" s="22">
        <f t="shared" si="26"/>
        <v>4.4999999999999998E-2</v>
      </c>
      <c r="AI12" s="22">
        <f t="shared" si="27"/>
        <v>4.4999999999999998E-2</v>
      </c>
      <c r="AJ12" s="35">
        <f t="shared" si="28"/>
        <v>4.9661101315447696E-4</v>
      </c>
      <c r="AK12" s="35">
        <f t="shared" si="29"/>
        <v>7.9577471545947673E-2</v>
      </c>
      <c r="AL12" s="35">
        <f t="shared" si="2"/>
        <v>1.5818183669678049E-2</v>
      </c>
      <c r="AM12" s="35">
        <f t="shared" si="3"/>
        <v>1.9840582562487699</v>
      </c>
      <c r="AN12" s="36">
        <f t="shared" si="4"/>
        <v>1.6070007257988232E-2</v>
      </c>
      <c r="AO12" s="35">
        <f t="shared" si="5"/>
        <v>3.7762856613864386E-3</v>
      </c>
      <c r="AP12" s="35">
        <f t="shared" si="30"/>
        <v>7.9577471545947673E-2</v>
      </c>
      <c r="AQ12" s="35">
        <f t="shared" si="31"/>
        <v>4.0255857186857029E-3</v>
      </c>
      <c r="AR12" s="35">
        <f t="shared" si="32"/>
        <v>1.9959663363378315</v>
      </c>
      <c r="AS12" s="35">
        <f t="shared" si="33"/>
        <v>4.0418180751486399E-3</v>
      </c>
      <c r="AT12" s="35">
        <f t="shared" si="6"/>
        <v>9.6103736108880456E-4</v>
      </c>
      <c r="AU12" s="35">
        <f t="shared" si="7"/>
        <v>131.3907061761158</v>
      </c>
      <c r="AV12" s="35">
        <f t="shared" si="8"/>
        <v>11.188994552256112</v>
      </c>
      <c r="AW12" s="35">
        <f t="shared" si="34"/>
        <v>2.8475181069297908</v>
      </c>
      <c r="AX12" s="35">
        <f t="shared" si="35"/>
        <v>0.32854011126915816</v>
      </c>
      <c r="AY12" s="74">
        <f t="shared" si="9"/>
        <v>328.54011126915816</v>
      </c>
      <c r="AZ12" s="35">
        <f t="shared" si="36"/>
        <v>0.3263498438606971</v>
      </c>
      <c r="BA12" s="35">
        <f t="shared" si="37"/>
        <v>326.34984386069709</v>
      </c>
      <c r="BB12" s="35">
        <f t="shared" si="38"/>
        <v>0.32854011126915816</v>
      </c>
      <c r="BC12" s="35">
        <f t="shared" si="39"/>
        <v>328.54011126915816</v>
      </c>
      <c r="BD12" s="44">
        <f t="shared" si="40"/>
        <v>349.48783908982085</v>
      </c>
      <c r="BE12" s="35">
        <f t="shared" si="10"/>
        <v>740.74074074074065</v>
      </c>
      <c r="BF12" s="35">
        <f t="shared" si="11"/>
        <v>2.0947727820662718E-2</v>
      </c>
      <c r="BG12" s="74">
        <f t="shared" si="41"/>
        <v>20.947727820662717</v>
      </c>
      <c r="BH12" s="35">
        <f t="shared" si="12"/>
        <v>740.74074074074065</v>
      </c>
      <c r="BI12" s="36">
        <f t="shared" si="13"/>
        <v>1.0473863910331359E-2</v>
      </c>
      <c r="BJ12" s="73">
        <f t="shared" si="42"/>
        <v>10.473863910331358</v>
      </c>
      <c r="BK12" s="42"/>
      <c r="BL12" s="30"/>
      <c r="BM12" s="30"/>
      <c r="BN12" s="30"/>
      <c r="BO12" s="42"/>
      <c r="BP12" s="30"/>
      <c r="BQ12" s="30"/>
      <c r="BR12" s="42"/>
      <c r="BS12" s="42"/>
      <c r="BT12" s="30"/>
      <c r="BU12" s="42"/>
      <c r="BV12" s="30"/>
      <c r="BW12" s="30"/>
      <c r="BX12" s="30"/>
    </row>
    <row r="13" spans="3:76" x14ac:dyDescent="0.25">
      <c r="C13" s="37" t="s">
        <v>113</v>
      </c>
      <c r="D13" s="38">
        <v>0.5</v>
      </c>
      <c r="G13" s="18">
        <v>3</v>
      </c>
      <c r="I13" s="124" t="s">
        <v>126</v>
      </c>
      <c r="J13" s="124"/>
      <c r="K13" s="124"/>
      <c r="P13" s="43"/>
      <c r="Q13" s="43"/>
      <c r="R13" s="18">
        <v>10</v>
      </c>
      <c r="S13" s="20">
        <f t="shared" si="0"/>
        <v>1</v>
      </c>
      <c r="T13" s="20">
        <f t="shared" si="14"/>
        <v>1</v>
      </c>
      <c r="U13" s="21">
        <f t="shared" si="15"/>
        <v>1</v>
      </c>
      <c r="V13" s="22">
        <f t="shared" si="43"/>
        <v>16.097000000000001</v>
      </c>
      <c r="W13" s="22">
        <f t="shared" si="16"/>
        <v>100.09699999999999</v>
      </c>
      <c r="X13" s="22">
        <f t="shared" si="17"/>
        <v>116.19399999999999</v>
      </c>
      <c r="Y13" s="22">
        <f t="shared" si="1"/>
        <v>1.1221997046783601</v>
      </c>
      <c r="Z13" s="22">
        <f t="shared" si="18"/>
        <v>0.56109985233918003</v>
      </c>
      <c r="AA13" s="35">
        <f t="shared" si="19"/>
        <v>1.7627471740390857</v>
      </c>
      <c r="AB13" s="22">
        <f t="shared" si="20"/>
        <v>1.7627471740390857</v>
      </c>
      <c r="AC13" s="22">
        <f t="shared" si="21"/>
        <v>0.31830988618379069</v>
      </c>
      <c r="AD13" s="19">
        <f t="shared" si="22"/>
        <v>1</v>
      </c>
      <c r="AE13" s="72">
        <f t="shared" si="23"/>
        <v>600</v>
      </c>
      <c r="AF13" s="22">
        <f t="shared" si="24"/>
        <v>0.1</v>
      </c>
      <c r="AG13" s="22">
        <f t="shared" si="25"/>
        <v>0.1</v>
      </c>
      <c r="AH13" s="22">
        <f t="shared" si="26"/>
        <v>0.05</v>
      </c>
      <c r="AI13" s="22">
        <f t="shared" si="27"/>
        <v>0.05</v>
      </c>
      <c r="AJ13" s="35">
        <f t="shared" si="28"/>
        <v>6.7618817134741758E-4</v>
      </c>
      <c r="AK13" s="35">
        <f t="shared" si="29"/>
        <v>7.9577471545947673E-2</v>
      </c>
      <c r="AL13" s="35">
        <f t="shared" si="2"/>
        <v>1.9422124881465538E-2</v>
      </c>
      <c r="AM13" s="35">
        <f t="shared" si="3"/>
        <v>1.9803921568627452</v>
      </c>
      <c r="AN13" s="36">
        <f t="shared" si="4"/>
        <v>1.9802303742341931E-2</v>
      </c>
      <c r="AO13" s="35">
        <f t="shared" si="5"/>
        <v>4.6366392744001004E-3</v>
      </c>
      <c r="AP13" s="35">
        <f t="shared" si="30"/>
        <v>7.9577471545947673E-2</v>
      </c>
      <c r="AQ13" s="35">
        <f t="shared" si="31"/>
        <v>4.9628558553869882E-3</v>
      </c>
      <c r="AR13" s="35">
        <f t="shared" si="32"/>
        <v>1.9950248756218907</v>
      </c>
      <c r="AS13" s="35">
        <f t="shared" si="33"/>
        <v>4.9875363415496296E-3</v>
      </c>
      <c r="AT13" s="35">
        <f t="shared" si="6"/>
        <v>1.1847937391055274E-3</v>
      </c>
      <c r="AU13" s="35">
        <f t="shared" si="7"/>
        <v>107.89254033468235</v>
      </c>
      <c r="AV13" s="35">
        <f t="shared" si="8"/>
        <v>11.127934258560241</v>
      </c>
      <c r="AW13" s="35">
        <f t="shared" si="34"/>
        <v>2.8435049738532658</v>
      </c>
      <c r="AX13" s="35">
        <f t="shared" si="35"/>
        <v>0.28523206896892334</v>
      </c>
      <c r="AY13" s="74">
        <f t="shared" si="9"/>
        <v>285.23206896892333</v>
      </c>
      <c r="AZ13" s="35">
        <f t="shared" si="36"/>
        <v>0.28333052184246382</v>
      </c>
      <c r="BA13" s="35">
        <f t="shared" si="37"/>
        <v>283.33052184246384</v>
      </c>
      <c r="BB13" s="35">
        <f t="shared" si="38"/>
        <v>0.28523206896892334</v>
      </c>
      <c r="BC13" s="35">
        <f t="shared" si="39"/>
        <v>285.23206896892333</v>
      </c>
      <c r="BD13" s="44">
        <f t="shared" si="40"/>
        <v>304.08502400751979</v>
      </c>
      <c r="BE13" s="35">
        <f t="shared" si="10"/>
        <v>600</v>
      </c>
      <c r="BF13" s="35">
        <f t="shared" si="11"/>
        <v>1.8852955038596447E-2</v>
      </c>
      <c r="BG13" s="74">
        <f t="shared" si="41"/>
        <v>18.852955038596445</v>
      </c>
      <c r="BH13" s="35">
        <f t="shared" si="12"/>
        <v>600</v>
      </c>
      <c r="BI13" s="36">
        <f t="shared" si="13"/>
        <v>9.4264775192982233E-3</v>
      </c>
      <c r="BJ13" s="73">
        <f t="shared" si="42"/>
        <v>9.4264775192982224</v>
      </c>
      <c r="BK13" s="42"/>
      <c r="BL13" s="30"/>
      <c r="BM13" s="30"/>
      <c r="BN13" s="30"/>
      <c r="BO13" s="42"/>
      <c r="BP13" s="30"/>
      <c r="BQ13" s="30"/>
      <c r="BR13" s="42"/>
      <c r="BS13" s="42"/>
      <c r="BT13" s="30"/>
      <c r="BU13" s="42"/>
      <c r="BV13" s="30"/>
      <c r="BW13" s="30"/>
      <c r="BX13" s="30"/>
    </row>
    <row r="14" spans="3:76" x14ac:dyDescent="0.25">
      <c r="C14" s="37" t="s">
        <v>114</v>
      </c>
      <c r="D14" s="38">
        <v>0.14899999999999999</v>
      </c>
      <c r="P14" s="43"/>
      <c r="Q14" s="43"/>
      <c r="R14" s="18">
        <v>11</v>
      </c>
      <c r="S14" s="20">
        <f t="shared" si="0"/>
        <v>1.1000000000000001</v>
      </c>
      <c r="T14" s="20">
        <f t="shared" si="14"/>
        <v>1.1000000000000001</v>
      </c>
      <c r="U14" s="21">
        <f t="shared" si="15"/>
        <v>1</v>
      </c>
      <c r="V14" s="22">
        <f t="shared" si="43"/>
        <v>16.097000000000001</v>
      </c>
      <c r="W14" s="22">
        <f t="shared" si="16"/>
        <v>100.09699999999999</v>
      </c>
      <c r="X14" s="22">
        <f t="shared" si="17"/>
        <v>116.19399999999999</v>
      </c>
      <c r="Y14" s="22">
        <f t="shared" si="1"/>
        <v>1.1221997046783601</v>
      </c>
      <c r="Z14" s="22">
        <f t="shared" si="18"/>
        <v>0.56109985233918003</v>
      </c>
      <c r="AA14" s="35">
        <f t="shared" si="19"/>
        <v>1.7627471740390857</v>
      </c>
      <c r="AB14" s="22">
        <f t="shared" si="20"/>
        <v>1.7627471740390857</v>
      </c>
      <c r="AC14" s="22">
        <f t="shared" si="21"/>
        <v>0.31830988618379069</v>
      </c>
      <c r="AD14" s="19">
        <f t="shared" si="22"/>
        <v>1</v>
      </c>
      <c r="AE14" s="72">
        <f t="shared" si="23"/>
        <v>495.86776859504124</v>
      </c>
      <c r="AF14" s="22">
        <f t="shared" si="24"/>
        <v>0.11000000000000001</v>
      </c>
      <c r="AG14" s="22">
        <f t="shared" si="25"/>
        <v>0.11000000000000001</v>
      </c>
      <c r="AH14" s="22">
        <f t="shared" si="26"/>
        <v>5.5000000000000007E-2</v>
      </c>
      <c r="AI14" s="22">
        <f t="shared" si="27"/>
        <v>5.5000000000000007E-2</v>
      </c>
      <c r="AJ14" s="35">
        <f t="shared" si="28"/>
        <v>8.9260333044517768E-4</v>
      </c>
      <c r="AK14" s="35">
        <f t="shared" si="29"/>
        <v>7.9577471545947673E-2</v>
      </c>
      <c r="AL14" s="35">
        <f t="shared" si="2"/>
        <v>2.3360424986708053E-2</v>
      </c>
      <c r="AM14" s="35">
        <f t="shared" si="3"/>
        <v>1.9763718023823471</v>
      </c>
      <c r="AN14" s="36">
        <f t="shared" si="4"/>
        <v>2.3911250392328009E-2</v>
      </c>
      <c r="AO14" s="35">
        <f t="shared" si="5"/>
        <v>5.5767999988515053E-3</v>
      </c>
      <c r="AP14" s="35">
        <f t="shared" si="30"/>
        <v>7.9577471545947673E-2</v>
      </c>
      <c r="AQ14" s="35">
        <f t="shared" si="31"/>
        <v>5.9957253757316762E-3</v>
      </c>
      <c r="AR14" s="35">
        <f t="shared" si="32"/>
        <v>1.9939863823865611</v>
      </c>
      <c r="AS14" s="35">
        <f t="shared" si="33"/>
        <v>6.0317630880061821E-3</v>
      </c>
      <c r="AT14" s="35">
        <f t="shared" si="6"/>
        <v>1.4313725411847528E-3</v>
      </c>
      <c r="AU14" s="35">
        <f t="shared" si="7"/>
        <v>90.492090094740732</v>
      </c>
      <c r="AV14" s="35">
        <f t="shared" si="8"/>
        <v>11.061421485325297</v>
      </c>
      <c r="AW14" s="35">
        <f t="shared" si="34"/>
        <v>2.8390860321019886</v>
      </c>
      <c r="AX14" s="35">
        <f t="shared" si="35"/>
        <v>0.25012754710510093</v>
      </c>
      <c r="AY14" s="74">
        <f t="shared" si="9"/>
        <v>250.12754710510094</v>
      </c>
      <c r="AZ14" s="35">
        <f t="shared" si="36"/>
        <v>0.24846003012440024</v>
      </c>
      <c r="BA14" s="35">
        <f t="shared" si="37"/>
        <v>248.46003012440025</v>
      </c>
      <c r="BB14" s="35">
        <f t="shared" si="38"/>
        <v>0.25012754710510093</v>
      </c>
      <c r="BC14" s="35">
        <f t="shared" si="39"/>
        <v>250.12754710510094</v>
      </c>
      <c r="BD14" s="44">
        <f t="shared" si="40"/>
        <v>267.26659714018865</v>
      </c>
      <c r="BE14" s="35">
        <f t="shared" si="10"/>
        <v>495.86776859504124</v>
      </c>
      <c r="BF14" s="35">
        <f t="shared" si="11"/>
        <v>1.7139050035087679E-2</v>
      </c>
      <c r="BG14" s="74">
        <f t="shared" si="41"/>
        <v>17.139050035087678</v>
      </c>
      <c r="BH14" s="35">
        <f t="shared" si="12"/>
        <v>495.86776859504124</v>
      </c>
      <c r="BI14" s="36">
        <f t="shared" si="13"/>
        <v>8.5695250175438394E-3</v>
      </c>
      <c r="BJ14" s="73">
        <f t="shared" si="42"/>
        <v>8.5695250175438389</v>
      </c>
      <c r="BK14" s="42"/>
      <c r="BL14" s="30"/>
      <c r="BM14" s="30"/>
      <c r="BN14" s="30"/>
      <c r="BO14" s="42"/>
      <c r="BP14" s="30"/>
      <c r="BQ14" s="30"/>
      <c r="BR14" s="42"/>
      <c r="BS14" s="42"/>
      <c r="BT14" s="30"/>
      <c r="BU14" s="42"/>
      <c r="BV14" s="30"/>
      <c r="BW14" s="30"/>
      <c r="BX14" s="30"/>
    </row>
    <row r="15" spans="3:76" x14ac:dyDescent="0.25">
      <c r="C15" s="37" t="s">
        <v>115</v>
      </c>
      <c r="D15" s="38">
        <v>2000</v>
      </c>
      <c r="M15" s="76">
        <f>D6</f>
        <v>1</v>
      </c>
      <c r="P15" s="43"/>
      <c r="Q15" s="43"/>
      <c r="R15" s="18">
        <v>12</v>
      </c>
      <c r="S15" s="20">
        <f t="shared" si="0"/>
        <v>1.2000000000000002</v>
      </c>
      <c r="T15" s="20">
        <f t="shared" si="14"/>
        <v>1.2000000000000002</v>
      </c>
      <c r="U15" s="21">
        <f t="shared" si="15"/>
        <v>1</v>
      </c>
      <c r="V15" s="22">
        <f t="shared" si="43"/>
        <v>16.097000000000001</v>
      </c>
      <c r="W15" s="22">
        <f t="shared" si="16"/>
        <v>100.09699999999999</v>
      </c>
      <c r="X15" s="22">
        <f t="shared" si="17"/>
        <v>116.19399999999999</v>
      </c>
      <c r="Y15" s="22">
        <f t="shared" si="1"/>
        <v>1.1221997046783601</v>
      </c>
      <c r="Z15" s="22">
        <f t="shared" si="18"/>
        <v>0.56109985233918003</v>
      </c>
      <c r="AA15" s="35">
        <f t="shared" si="19"/>
        <v>1.7627471740390857</v>
      </c>
      <c r="AB15" s="22">
        <f t="shared" si="20"/>
        <v>1.7627471740390857</v>
      </c>
      <c r="AC15" s="22">
        <f t="shared" si="21"/>
        <v>0.31830988618379069</v>
      </c>
      <c r="AD15" s="19">
        <f t="shared" si="22"/>
        <v>1</v>
      </c>
      <c r="AE15" s="72">
        <f t="shared" si="23"/>
        <v>416.66666666666657</v>
      </c>
      <c r="AF15" s="22">
        <f t="shared" si="24"/>
        <v>0.12000000000000002</v>
      </c>
      <c r="AG15" s="22">
        <f t="shared" si="25"/>
        <v>0.12000000000000002</v>
      </c>
      <c r="AH15" s="22">
        <f t="shared" si="26"/>
        <v>6.0000000000000012E-2</v>
      </c>
      <c r="AI15" s="22">
        <f t="shared" si="27"/>
        <v>6.0000000000000012E-2</v>
      </c>
      <c r="AJ15" s="35">
        <f t="shared" si="28"/>
        <v>1.1483653465196892E-3</v>
      </c>
      <c r="AK15" s="35">
        <f t="shared" si="29"/>
        <v>7.9577471545947673E-2</v>
      </c>
      <c r="AL15" s="35">
        <f t="shared" si="2"/>
        <v>2.7620817185586385E-2</v>
      </c>
      <c r="AM15" s="35">
        <f t="shared" si="3"/>
        <v>1.9720062208398135</v>
      </c>
      <c r="AN15" s="36">
        <f t="shared" si="4"/>
        <v>2.8392120817994439E-2</v>
      </c>
      <c r="AO15" s="35">
        <f t="shared" si="5"/>
        <v>6.5938325929976987E-3</v>
      </c>
      <c r="AP15" s="35">
        <f t="shared" si="30"/>
        <v>7.9577471545947673E-2</v>
      </c>
      <c r="AQ15" s="35">
        <f t="shared" si="31"/>
        <v>7.1232980197255165E-3</v>
      </c>
      <c r="AR15" s="35">
        <f t="shared" si="32"/>
        <v>1.9928514694201747</v>
      </c>
      <c r="AS15" s="35">
        <f t="shared" si="33"/>
        <v>7.1741883626113799E-3</v>
      </c>
      <c r="AT15" s="35">
        <f t="shared" si="6"/>
        <v>1.7005596877686041E-3</v>
      </c>
      <c r="AU15" s="35">
        <f t="shared" si="7"/>
        <v>77.243302794377584</v>
      </c>
      <c r="AV15" s="35">
        <f t="shared" si="8"/>
        <v>10.989720988329495</v>
      </c>
      <c r="AW15" s="35">
        <f t="shared" si="34"/>
        <v>2.8342661462810064</v>
      </c>
      <c r="AX15" s="35">
        <f t="shared" si="35"/>
        <v>0.22135652531436081</v>
      </c>
      <c r="AY15" s="74">
        <f t="shared" si="9"/>
        <v>221.35652531436082</v>
      </c>
      <c r="AZ15" s="35">
        <f t="shared" si="36"/>
        <v>0.2198808151455984</v>
      </c>
      <c r="BA15" s="35">
        <f t="shared" si="37"/>
        <v>219.8808151455984</v>
      </c>
      <c r="BB15" s="35">
        <f t="shared" si="38"/>
        <v>0.22135652531436081</v>
      </c>
      <c r="BC15" s="35">
        <f t="shared" si="39"/>
        <v>221.35652531436082</v>
      </c>
      <c r="BD15" s="44">
        <f t="shared" si="40"/>
        <v>237.06732117985786</v>
      </c>
      <c r="BE15" s="35">
        <f t="shared" si="10"/>
        <v>416.66666666666657</v>
      </c>
      <c r="BF15" s="35">
        <f t="shared" si="11"/>
        <v>1.5710795865497038E-2</v>
      </c>
      <c r="BG15" s="74">
        <f t="shared" si="41"/>
        <v>15.710795865497039</v>
      </c>
      <c r="BH15" s="35">
        <f t="shared" si="12"/>
        <v>416.66666666666657</v>
      </c>
      <c r="BI15" s="36">
        <f t="shared" si="13"/>
        <v>7.8553979327485191E-3</v>
      </c>
      <c r="BJ15" s="73">
        <f t="shared" si="42"/>
        <v>7.8553979327485193</v>
      </c>
      <c r="BK15" s="42"/>
      <c r="BL15" s="30"/>
      <c r="BM15" s="30"/>
      <c r="BN15" s="30"/>
      <c r="BO15" s="42"/>
      <c r="BP15" s="30"/>
      <c r="BQ15" s="30"/>
      <c r="BR15" s="42"/>
      <c r="BS15" s="42"/>
      <c r="BT15" s="30"/>
      <c r="BU15" s="42"/>
      <c r="BV15" s="30"/>
      <c r="BW15" s="30"/>
      <c r="BX15" s="30"/>
    </row>
    <row r="16" spans="3:76" x14ac:dyDescent="0.25">
      <c r="P16" s="43"/>
      <c r="Q16" s="43"/>
      <c r="R16" s="18">
        <v>13</v>
      </c>
      <c r="S16" s="20">
        <f t="shared" si="0"/>
        <v>1.3</v>
      </c>
      <c r="T16" s="20">
        <f t="shared" si="14"/>
        <v>1.3</v>
      </c>
      <c r="U16" s="21">
        <f t="shared" si="15"/>
        <v>1</v>
      </c>
      <c r="V16" s="22">
        <f t="shared" si="43"/>
        <v>16.097000000000001</v>
      </c>
      <c r="W16" s="22">
        <f t="shared" si="16"/>
        <v>100.09699999999999</v>
      </c>
      <c r="X16" s="22">
        <f t="shared" si="17"/>
        <v>116.19399999999999</v>
      </c>
      <c r="Y16" s="22">
        <f t="shared" si="1"/>
        <v>1.1221997046783601</v>
      </c>
      <c r="Z16" s="22">
        <f t="shared" si="18"/>
        <v>0.56109985233918003</v>
      </c>
      <c r="AA16" s="35">
        <f t="shared" si="19"/>
        <v>1.7627471740390857</v>
      </c>
      <c r="AB16" s="22">
        <f t="shared" si="20"/>
        <v>1.7627471740390857</v>
      </c>
      <c r="AC16" s="22">
        <f t="shared" si="21"/>
        <v>0.31830988618379069</v>
      </c>
      <c r="AD16" s="19">
        <f t="shared" si="22"/>
        <v>1</v>
      </c>
      <c r="AE16" s="72">
        <f t="shared" si="23"/>
        <v>355.02958579881653</v>
      </c>
      <c r="AF16" s="22">
        <f t="shared" si="24"/>
        <v>0.13</v>
      </c>
      <c r="AG16" s="22">
        <f t="shared" si="25"/>
        <v>0.13</v>
      </c>
      <c r="AH16" s="22">
        <f t="shared" si="26"/>
        <v>6.5000000000000002E-2</v>
      </c>
      <c r="AI16" s="22">
        <f t="shared" si="27"/>
        <v>6.5000000000000002E-2</v>
      </c>
      <c r="AJ16" s="35">
        <f t="shared" si="28"/>
        <v>1.4456886126398851E-3</v>
      </c>
      <c r="AK16" s="35">
        <f t="shared" si="29"/>
        <v>7.9577471545947673E-2</v>
      </c>
      <c r="AL16" s="35">
        <f t="shared" si="2"/>
        <v>3.2190401911395425E-2</v>
      </c>
      <c r="AM16" s="35">
        <f t="shared" si="3"/>
        <v>1.9673050880247627</v>
      </c>
      <c r="AN16" s="36">
        <f t="shared" si="4"/>
        <v>3.3239803418095334E-2</v>
      </c>
      <c r="AO16" s="35">
        <f t="shared" si="5"/>
        <v>7.6846488017471336E-3</v>
      </c>
      <c r="AP16" s="35">
        <f t="shared" si="30"/>
        <v>7.9577471545947673E-2</v>
      </c>
      <c r="AQ16" s="35">
        <f t="shared" si="31"/>
        <v>8.3446023680610083E-3</v>
      </c>
      <c r="AR16" s="35">
        <f t="shared" si="32"/>
        <v>1.9916208042044719</v>
      </c>
      <c r="AS16" s="35">
        <f t="shared" si="33"/>
        <v>8.4144737770296789E-3</v>
      </c>
      <c r="AT16" s="35">
        <f t="shared" si="6"/>
        <v>1.9921231216488747E-3</v>
      </c>
      <c r="AU16" s="35">
        <f t="shared" si="7"/>
        <v>66.918513213878668</v>
      </c>
      <c r="AV16" s="35">
        <f t="shared" si="8"/>
        <v>10.913110724374626</v>
      </c>
      <c r="AW16" s="35">
        <f t="shared" si="34"/>
        <v>2.8290505869569817</v>
      </c>
      <c r="AX16" s="35">
        <f t="shared" si="35"/>
        <v>0.19753432072049396</v>
      </c>
      <c r="AY16" s="74">
        <f t="shared" si="9"/>
        <v>197.53432072049395</v>
      </c>
      <c r="AZ16" s="35">
        <f t="shared" si="36"/>
        <v>0.196217425249024</v>
      </c>
      <c r="BA16" s="35">
        <f t="shared" si="37"/>
        <v>196.21742524902399</v>
      </c>
      <c r="BB16" s="35">
        <f t="shared" si="38"/>
        <v>0.19753432072049396</v>
      </c>
      <c r="BC16" s="35">
        <f t="shared" si="39"/>
        <v>197.53432072049395</v>
      </c>
      <c r="BD16" s="44">
        <f t="shared" si="40"/>
        <v>212.0365938271066</v>
      </c>
      <c r="BE16" s="35">
        <f t="shared" si="10"/>
        <v>355.02958579881653</v>
      </c>
      <c r="BF16" s="35">
        <f t="shared" si="11"/>
        <v>1.4502273106612652E-2</v>
      </c>
      <c r="BG16" s="74">
        <f t="shared" si="41"/>
        <v>14.502273106612652</v>
      </c>
      <c r="BH16" s="35">
        <f t="shared" si="12"/>
        <v>355.02958579881653</v>
      </c>
      <c r="BI16" s="36">
        <f t="shared" si="13"/>
        <v>7.2511365533063261E-3</v>
      </c>
      <c r="BJ16" s="73">
        <f t="shared" si="42"/>
        <v>7.2511365533063259</v>
      </c>
      <c r="BK16" s="42"/>
      <c r="BL16" s="30"/>
      <c r="BM16" s="30"/>
      <c r="BN16" s="30"/>
      <c r="BO16" s="42"/>
      <c r="BP16" s="30"/>
      <c r="BQ16" s="30"/>
      <c r="BR16" s="42"/>
      <c r="BS16" s="42"/>
      <c r="BT16" s="30"/>
      <c r="BU16" s="42"/>
      <c r="BV16" s="30"/>
      <c r="BW16" s="30"/>
      <c r="BX16" s="30"/>
    </row>
    <row r="17" spans="7:76" x14ac:dyDescent="0.25">
      <c r="P17" s="43"/>
      <c r="Q17" s="43"/>
      <c r="R17" s="18">
        <v>14</v>
      </c>
      <c r="S17" s="20">
        <f t="shared" si="0"/>
        <v>1.4000000000000001</v>
      </c>
      <c r="T17" s="20">
        <f t="shared" si="14"/>
        <v>1.4000000000000001</v>
      </c>
      <c r="U17" s="21">
        <f t="shared" si="15"/>
        <v>1</v>
      </c>
      <c r="V17" s="22">
        <f t="shared" si="43"/>
        <v>16.097000000000001</v>
      </c>
      <c r="W17" s="22">
        <f t="shared" si="16"/>
        <v>100.09699999999999</v>
      </c>
      <c r="X17" s="22">
        <f t="shared" si="17"/>
        <v>116.19399999999999</v>
      </c>
      <c r="Y17" s="22">
        <f t="shared" si="1"/>
        <v>1.1221997046783601</v>
      </c>
      <c r="Z17" s="22">
        <f t="shared" si="18"/>
        <v>0.56109985233918003</v>
      </c>
      <c r="AA17" s="35">
        <f t="shared" si="19"/>
        <v>1.7627471740390857</v>
      </c>
      <c r="AB17" s="22">
        <f t="shared" si="20"/>
        <v>1.7627471740390857</v>
      </c>
      <c r="AC17" s="22">
        <f t="shared" si="21"/>
        <v>0.31830988618379069</v>
      </c>
      <c r="AD17" s="19">
        <f t="shared" si="22"/>
        <v>1</v>
      </c>
      <c r="AE17" s="72">
        <f t="shared" si="23"/>
        <v>306.12244897959175</v>
      </c>
      <c r="AF17" s="22">
        <f t="shared" si="24"/>
        <v>0.14000000000000001</v>
      </c>
      <c r="AG17" s="22">
        <f t="shared" si="25"/>
        <v>0.14000000000000001</v>
      </c>
      <c r="AH17" s="22">
        <f t="shared" si="26"/>
        <v>7.0000000000000007E-2</v>
      </c>
      <c r="AI17" s="22">
        <f t="shared" si="27"/>
        <v>7.0000000000000007E-2</v>
      </c>
      <c r="AJ17" s="35">
        <f t="shared" si="28"/>
        <v>1.7864859565443851E-3</v>
      </c>
      <c r="AK17" s="35">
        <f t="shared" si="29"/>
        <v>7.9577471545947673E-2</v>
      </c>
      <c r="AL17" s="35">
        <f t="shared" si="2"/>
        <v>3.7055762725896634E-2</v>
      </c>
      <c r="AM17" s="35">
        <f t="shared" si="3"/>
        <v>1.9622786759045423</v>
      </c>
      <c r="AN17" s="36">
        <f t="shared" si="4"/>
        <v>3.8448817849860692E-2</v>
      </c>
      <c r="AO17" s="35">
        <f t="shared" si="5"/>
        <v>8.8460347285352452E-3</v>
      </c>
      <c r="AP17" s="35">
        <f t="shared" si="30"/>
        <v>7.9577471545947673E-2</v>
      </c>
      <c r="AQ17" s="35">
        <f t="shared" si="31"/>
        <v>9.6585944723158179E-3</v>
      </c>
      <c r="AR17" s="35">
        <f t="shared" si="32"/>
        <v>1.9902951079421665</v>
      </c>
      <c r="AS17" s="35">
        <f t="shared" si="33"/>
        <v>9.7522527965321834E-3</v>
      </c>
      <c r="AT17" s="35">
        <f t="shared" si="6"/>
        <v>2.3058134296365601E-3</v>
      </c>
      <c r="AU17" s="35">
        <f t="shared" si="7"/>
        <v>58.712235172199478</v>
      </c>
      <c r="AV17" s="35">
        <f t="shared" si="8"/>
        <v>10.831879259430909</v>
      </c>
      <c r="AW17" s="35">
        <f t="shared" si="34"/>
        <v>2.8234450158815014</v>
      </c>
      <c r="AX17" s="35">
        <f t="shared" si="35"/>
        <v>0.17762158913802467</v>
      </c>
      <c r="AY17" s="74">
        <f t="shared" si="9"/>
        <v>177.62158913802466</v>
      </c>
      <c r="AZ17" s="35">
        <f t="shared" si="36"/>
        <v>0.17643744521043783</v>
      </c>
      <c r="BA17" s="35">
        <f t="shared" si="37"/>
        <v>176.43744521043783</v>
      </c>
      <c r="BB17" s="35">
        <f t="shared" si="38"/>
        <v>0.17762158913802467</v>
      </c>
      <c r="BC17" s="35">
        <f t="shared" si="39"/>
        <v>177.62158913802466</v>
      </c>
      <c r="BD17" s="44">
        <f t="shared" si="40"/>
        <v>191.08798559416499</v>
      </c>
      <c r="BE17" s="35">
        <f t="shared" si="10"/>
        <v>306.12244897959175</v>
      </c>
      <c r="BF17" s="35">
        <f t="shared" si="11"/>
        <v>1.3466396456140318E-2</v>
      </c>
      <c r="BG17" s="74">
        <f t="shared" si="41"/>
        <v>13.466396456140318</v>
      </c>
      <c r="BH17" s="35">
        <f t="shared" si="12"/>
        <v>306.12244897959175</v>
      </c>
      <c r="BI17" s="36">
        <f t="shared" si="13"/>
        <v>6.7331982280701592E-3</v>
      </c>
      <c r="BJ17" s="73">
        <f t="shared" si="42"/>
        <v>6.733198228070159</v>
      </c>
      <c r="BK17" s="42"/>
      <c r="BL17" s="30"/>
      <c r="BM17" s="30"/>
      <c r="BN17" s="30"/>
      <c r="BO17" s="42"/>
      <c r="BP17" s="30"/>
      <c r="BQ17" s="30"/>
      <c r="BR17" s="42"/>
      <c r="BS17" s="42"/>
      <c r="BT17" s="30"/>
      <c r="BU17" s="42"/>
      <c r="BV17" s="30"/>
      <c r="BW17" s="30"/>
      <c r="BX17" s="30"/>
    </row>
    <row r="18" spans="7:76" x14ac:dyDescent="0.25">
      <c r="P18" s="43"/>
      <c r="Q18" s="43" t="s">
        <v>124</v>
      </c>
      <c r="R18" s="18">
        <v>15</v>
      </c>
      <c r="S18" s="20">
        <f t="shared" si="0"/>
        <v>1.5</v>
      </c>
      <c r="T18" s="20">
        <f t="shared" si="14"/>
        <v>1.5</v>
      </c>
      <c r="U18" s="21">
        <f t="shared" si="15"/>
        <v>1</v>
      </c>
      <c r="V18" s="22">
        <f t="shared" si="43"/>
        <v>16.097000000000001</v>
      </c>
      <c r="W18" s="22">
        <f t="shared" si="16"/>
        <v>100.09699999999999</v>
      </c>
      <c r="X18" s="22">
        <f t="shared" si="17"/>
        <v>116.19399999999999</v>
      </c>
      <c r="Y18" s="22">
        <f t="shared" si="1"/>
        <v>1.1221997046783601</v>
      </c>
      <c r="Z18" s="22">
        <f t="shared" si="18"/>
        <v>0.56109985233918003</v>
      </c>
      <c r="AA18" s="35">
        <f t="shared" si="19"/>
        <v>1.7627471740390857</v>
      </c>
      <c r="AB18" s="22">
        <f t="shared" si="20"/>
        <v>1.7627471740390857</v>
      </c>
      <c r="AC18" s="22">
        <f t="shared" si="21"/>
        <v>0.31830988618379069</v>
      </c>
      <c r="AD18" s="19">
        <f t="shared" si="22"/>
        <v>1</v>
      </c>
      <c r="AE18" s="72">
        <f t="shared" si="23"/>
        <v>266.66666666666669</v>
      </c>
      <c r="AF18" s="22">
        <f t="shared" si="24"/>
        <v>0.15</v>
      </c>
      <c r="AG18" s="22">
        <f t="shared" si="25"/>
        <v>0.15</v>
      </c>
      <c r="AH18" s="22">
        <f t="shared" si="26"/>
        <v>7.4999999999999997E-2</v>
      </c>
      <c r="AI18" s="22">
        <f t="shared" si="27"/>
        <v>7.4999999999999997E-2</v>
      </c>
      <c r="AJ18" s="35">
        <f t="shared" si="28"/>
        <v>2.1723656113414656E-3</v>
      </c>
      <c r="AK18" s="35">
        <f t="shared" si="29"/>
        <v>7.9577471545947673E-2</v>
      </c>
      <c r="AL18" s="35">
        <f t="shared" si="2"/>
        <v>4.2203081353749512E-2</v>
      </c>
      <c r="AM18" s="35">
        <f t="shared" si="3"/>
        <v>1.9569377990430623</v>
      </c>
      <c r="AN18" s="36">
        <f t="shared" si="4"/>
        <v>4.4013332425835279E-2</v>
      </c>
      <c r="AO18" s="35">
        <f t="shared" si="5"/>
        <v>1.0074677999581925E-2</v>
      </c>
      <c r="AP18" s="35">
        <f t="shared" si="30"/>
        <v>7.9577471545947673E-2</v>
      </c>
      <c r="AQ18" s="35">
        <f t="shared" si="31"/>
        <v>1.1064160650982207E-2</v>
      </c>
      <c r="AR18" s="35">
        <f t="shared" si="32"/>
        <v>1.9888751545117429</v>
      </c>
      <c r="AS18" s="35">
        <f t="shared" si="33"/>
        <v>1.1187131052994733E-2</v>
      </c>
      <c r="AT18" s="35">
        <f t="shared" si="6"/>
        <v>2.6413645033938368E-3</v>
      </c>
      <c r="AU18" s="35">
        <f t="shared" si="7"/>
        <v>52.078235822528278</v>
      </c>
      <c r="AV18" s="35">
        <f t="shared" si="8"/>
        <v>10.746323199554054</v>
      </c>
      <c r="AW18" s="35">
        <f t="shared" si="34"/>
        <v>2.8174554702867596</v>
      </c>
      <c r="AX18" s="35">
        <f t="shared" si="35"/>
        <v>0.16082876257958334</v>
      </c>
      <c r="AY18" s="74">
        <f t="shared" si="9"/>
        <v>160.82876257958333</v>
      </c>
      <c r="AZ18" s="35">
        <f t="shared" si="36"/>
        <v>0.15975657082905279</v>
      </c>
      <c r="BA18" s="35">
        <f t="shared" si="37"/>
        <v>159.75657082905278</v>
      </c>
      <c r="BB18" s="35">
        <f t="shared" si="38"/>
        <v>0.16082876257958334</v>
      </c>
      <c r="BC18" s="35">
        <f t="shared" si="39"/>
        <v>160.82876257958333</v>
      </c>
      <c r="BD18" s="44">
        <f t="shared" si="40"/>
        <v>173.39739927198096</v>
      </c>
      <c r="BE18" s="35">
        <f t="shared" si="10"/>
        <v>266.66666666666669</v>
      </c>
      <c r="BF18" s="35">
        <f t="shared" si="11"/>
        <v>1.2568636692397632E-2</v>
      </c>
      <c r="BG18" s="74">
        <f t="shared" si="41"/>
        <v>12.568636692397632</v>
      </c>
      <c r="BH18" s="35">
        <f t="shared" si="12"/>
        <v>266.66666666666669</v>
      </c>
      <c r="BI18" s="36">
        <f t="shared" si="13"/>
        <v>6.2843183461988158E-3</v>
      </c>
      <c r="BJ18" s="73">
        <f t="shared" si="42"/>
        <v>6.2843183461988161</v>
      </c>
      <c r="BK18" s="42"/>
      <c r="BL18" s="30"/>
      <c r="BM18" s="30"/>
      <c r="BN18" s="30"/>
      <c r="BO18" s="42"/>
      <c r="BP18" s="30"/>
      <c r="BQ18" s="30"/>
      <c r="BR18" s="42"/>
      <c r="BS18" s="42"/>
      <c r="BT18" s="30"/>
      <c r="BU18" s="42"/>
      <c r="BV18" s="30"/>
      <c r="BW18" s="30"/>
      <c r="BX18" s="30"/>
    </row>
    <row r="19" spans="7:76" x14ac:dyDescent="0.25">
      <c r="P19" s="43"/>
      <c r="Q19" s="43"/>
      <c r="R19" s="18">
        <v>16</v>
      </c>
      <c r="S19" s="20">
        <f t="shared" si="0"/>
        <v>1.6</v>
      </c>
      <c r="T19" s="20">
        <f t="shared" si="14"/>
        <v>1.6</v>
      </c>
      <c r="U19" s="21">
        <f t="shared" si="15"/>
        <v>1</v>
      </c>
      <c r="V19" s="22">
        <f t="shared" si="43"/>
        <v>16.097000000000001</v>
      </c>
      <c r="W19" s="22">
        <f t="shared" si="16"/>
        <v>100.09699999999999</v>
      </c>
      <c r="X19" s="22">
        <f t="shared" si="17"/>
        <v>116.19399999999999</v>
      </c>
      <c r="Y19" s="22">
        <f t="shared" si="1"/>
        <v>1.1221997046783601</v>
      </c>
      <c r="Z19" s="22">
        <f t="shared" si="18"/>
        <v>0.56109985233918003</v>
      </c>
      <c r="AA19" s="35">
        <f t="shared" si="19"/>
        <v>1.7627471740390857</v>
      </c>
      <c r="AB19" s="22">
        <f t="shared" si="20"/>
        <v>1.7627471740390857</v>
      </c>
      <c r="AC19" s="22">
        <f t="shared" si="21"/>
        <v>0.31830988618379069</v>
      </c>
      <c r="AD19" s="19">
        <f t="shared" si="22"/>
        <v>1</v>
      </c>
      <c r="AE19" s="72">
        <f t="shared" si="23"/>
        <v>234.37499999999994</v>
      </c>
      <c r="AF19" s="22">
        <f t="shared" si="24"/>
        <v>0.16</v>
      </c>
      <c r="AG19" s="22">
        <f t="shared" si="25"/>
        <v>0.16</v>
      </c>
      <c r="AH19" s="22">
        <f t="shared" si="26"/>
        <v>0.08</v>
      </c>
      <c r="AI19" s="22">
        <f t="shared" si="27"/>
        <v>0.08</v>
      </c>
      <c r="AJ19" s="35">
        <f t="shared" si="28"/>
        <v>2.6046320539600838E-3</v>
      </c>
      <c r="AK19" s="35">
        <f t="shared" si="29"/>
        <v>7.9577471545947673E-2</v>
      </c>
      <c r="AL19" s="35">
        <f t="shared" si="2"/>
        <v>4.7618250191610041E-2</v>
      </c>
      <c r="AM19" s="35">
        <f t="shared" si="3"/>
        <v>1.9512937595129378</v>
      </c>
      <c r="AN19" s="36">
        <f t="shared" si="4"/>
        <v>4.9927182329234127E-2</v>
      </c>
      <c r="AO19" s="35">
        <f t="shared" si="5"/>
        <v>1.1367194327678435E-2</v>
      </c>
      <c r="AP19" s="35">
        <f t="shared" si="30"/>
        <v>7.9577471545947673E-2</v>
      </c>
      <c r="AQ19" s="35">
        <f t="shared" si="31"/>
        <v>1.2560120437225961E-2</v>
      </c>
      <c r="AR19" s="35">
        <f t="shared" si="32"/>
        <v>1.9873617693522907</v>
      </c>
      <c r="AS19" s="35">
        <f t="shared" si="33"/>
        <v>1.2718686680314843E-2</v>
      </c>
      <c r="AT19" s="35">
        <f t="shared" si="6"/>
        <v>2.998494236089313E-3</v>
      </c>
      <c r="AU19" s="35">
        <f t="shared" si="7"/>
        <v>46.635511179187972</v>
      </c>
      <c r="AV19" s="35">
        <f t="shared" si="8"/>
        <v>10.65674468219853</v>
      </c>
      <c r="AW19" s="35">
        <f t="shared" si="34"/>
        <v>2.8110883463337304</v>
      </c>
      <c r="AX19" s="35">
        <f t="shared" si="35"/>
        <v>0.14654941647711708</v>
      </c>
      <c r="AY19" s="74">
        <f t="shared" si="9"/>
        <v>146.54941647711709</v>
      </c>
      <c r="AZ19" s="35">
        <f t="shared" si="36"/>
        <v>0.14557242036726964</v>
      </c>
      <c r="BA19" s="35">
        <f t="shared" si="37"/>
        <v>145.57242036726964</v>
      </c>
      <c r="BB19" s="35">
        <f t="shared" si="38"/>
        <v>0.14654941647711708</v>
      </c>
      <c r="BC19" s="35">
        <f t="shared" si="39"/>
        <v>146.54941647711709</v>
      </c>
      <c r="BD19" s="44">
        <f t="shared" si="40"/>
        <v>158.33251337623986</v>
      </c>
      <c r="BE19" s="35">
        <f t="shared" si="10"/>
        <v>234.37499999999994</v>
      </c>
      <c r="BF19" s="35">
        <f t="shared" si="11"/>
        <v>1.178309689912278E-2</v>
      </c>
      <c r="BG19" s="74">
        <f t="shared" si="41"/>
        <v>11.78309689912278</v>
      </c>
      <c r="BH19" s="35">
        <f t="shared" si="12"/>
        <v>234.37499999999994</v>
      </c>
      <c r="BI19" s="36">
        <f t="shared" si="13"/>
        <v>5.8915484495613898E-3</v>
      </c>
      <c r="BJ19" s="73">
        <f t="shared" si="42"/>
        <v>5.8915484495613901</v>
      </c>
      <c r="BK19" s="42"/>
      <c r="BL19" s="30"/>
      <c r="BM19" s="30"/>
      <c r="BN19" s="30"/>
      <c r="BO19" s="42"/>
      <c r="BP19" s="30"/>
      <c r="BQ19" s="30"/>
      <c r="BR19" s="42"/>
      <c r="BS19" s="42"/>
      <c r="BT19" s="30"/>
      <c r="BU19" s="42"/>
      <c r="BV19" s="30"/>
      <c r="BW19" s="30"/>
      <c r="BX19" s="30"/>
    </row>
    <row r="20" spans="7:76" x14ac:dyDescent="0.25">
      <c r="P20" s="43"/>
      <c r="Q20" s="43"/>
      <c r="R20" s="18">
        <v>17</v>
      </c>
      <c r="S20" s="20">
        <f t="shared" si="0"/>
        <v>1.7000000000000002</v>
      </c>
      <c r="T20" s="20">
        <f t="shared" si="14"/>
        <v>1.7000000000000002</v>
      </c>
      <c r="U20" s="21">
        <f t="shared" si="15"/>
        <v>1</v>
      </c>
      <c r="V20" s="22">
        <f t="shared" si="43"/>
        <v>16.097000000000001</v>
      </c>
      <c r="W20" s="22">
        <f t="shared" si="16"/>
        <v>100.09699999999999</v>
      </c>
      <c r="X20" s="22">
        <f t="shared" si="17"/>
        <v>116.19399999999999</v>
      </c>
      <c r="Y20" s="22">
        <f t="shared" si="1"/>
        <v>1.1221997046783601</v>
      </c>
      <c r="Z20" s="22">
        <f t="shared" si="18"/>
        <v>0.56109985233918003</v>
      </c>
      <c r="AA20" s="35">
        <f t="shared" si="19"/>
        <v>1.7627471740390857</v>
      </c>
      <c r="AB20" s="22">
        <f t="shared" si="20"/>
        <v>1.7627471740390857</v>
      </c>
      <c r="AC20" s="22">
        <f t="shared" si="21"/>
        <v>0.31830988618379069</v>
      </c>
      <c r="AD20" s="19">
        <f t="shared" si="22"/>
        <v>1</v>
      </c>
      <c r="AE20" s="72">
        <f t="shared" si="23"/>
        <v>207.61245674740479</v>
      </c>
      <c r="AF20" s="22">
        <f t="shared" si="24"/>
        <v>0.17</v>
      </c>
      <c r="AG20" s="22">
        <f t="shared" si="25"/>
        <v>0.17</v>
      </c>
      <c r="AH20" s="22">
        <f t="shared" si="26"/>
        <v>8.5000000000000006E-2</v>
      </c>
      <c r="AI20" s="22">
        <f t="shared" si="27"/>
        <v>8.5000000000000006E-2</v>
      </c>
      <c r="AJ20" s="35">
        <f t="shared" si="28"/>
        <v>3.0842904395732866E-3</v>
      </c>
      <c r="AK20" s="35">
        <f t="shared" si="29"/>
        <v>7.9577471545947673E-2</v>
      </c>
      <c r="AL20" s="35">
        <f t="shared" si="2"/>
        <v>5.3286980803269476E-2</v>
      </c>
      <c r="AM20" s="35">
        <f t="shared" si="3"/>
        <v>1.94535829079221</v>
      </c>
      <c r="AN20" s="36">
        <f t="shared" si="4"/>
        <v>5.6183888536904335E-2</v>
      </c>
      <c r="AO20" s="35">
        <f t="shared" si="5"/>
        <v>1.2720153124497147E-2</v>
      </c>
      <c r="AP20" s="35">
        <f t="shared" si="30"/>
        <v>7.9577471545947673E-2</v>
      </c>
      <c r="AQ20" s="35">
        <f t="shared" si="31"/>
        <v>1.4145229663744369E-2</v>
      </c>
      <c r="AR20" s="35">
        <f t="shared" si="32"/>
        <v>1.9857558282813346</v>
      </c>
      <c r="AS20" s="35">
        <f t="shared" si="33"/>
        <v>1.4346470671667772E-2</v>
      </c>
      <c r="AT20" s="35">
        <f t="shared" si="6"/>
        <v>3.3769052514125764E-3</v>
      </c>
      <c r="AU20" s="35">
        <f t="shared" si="7"/>
        <v>42.111767162546862</v>
      </c>
      <c r="AV20" s="35">
        <f t="shared" si="8"/>
        <v>10.56344896152012</v>
      </c>
      <c r="AW20" s="35">
        <f t="shared" si="34"/>
        <v>2.8043503817959103</v>
      </c>
      <c r="AX20" s="35">
        <f t="shared" si="35"/>
        <v>0.13431303409628928</v>
      </c>
      <c r="AY20" s="74">
        <f t="shared" si="9"/>
        <v>134.31303409628927</v>
      </c>
      <c r="AZ20" s="35">
        <f t="shared" si="36"/>
        <v>0.13341761386898068</v>
      </c>
      <c r="BA20" s="35">
        <f t="shared" si="37"/>
        <v>133.41761386898068</v>
      </c>
      <c r="BB20" s="35">
        <f t="shared" si="38"/>
        <v>0.13431303409628928</v>
      </c>
      <c r="BC20" s="35">
        <f t="shared" si="39"/>
        <v>134.31303409628927</v>
      </c>
      <c r="BD20" s="44">
        <f t="shared" si="40"/>
        <v>145.40300764840484</v>
      </c>
      <c r="BE20" s="35">
        <f t="shared" si="10"/>
        <v>207.61245674740479</v>
      </c>
      <c r="BF20" s="35">
        <f t="shared" si="11"/>
        <v>1.1089973552115556E-2</v>
      </c>
      <c r="BG20" s="74">
        <f t="shared" si="41"/>
        <v>11.089973552115556</v>
      </c>
      <c r="BH20" s="35">
        <f t="shared" si="12"/>
        <v>207.61245674740479</v>
      </c>
      <c r="BI20" s="36">
        <f t="shared" si="13"/>
        <v>5.5449867760577779E-3</v>
      </c>
      <c r="BJ20" s="73">
        <f t="shared" si="42"/>
        <v>5.5449867760577778</v>
      </c>
      <c r="BK20" s="42"/>
      <c r="BL20" s="30"/>
      <c r="BM20" s="30"/>
      <c r="BN20" s="30"/>
      <c r="BO20" s="42"/>
      <c r="BP20" s="30"/>
      <c r="BQ20" s="30"/>
      <c r="BR20" s="42"/>
      <c r="BS20" s="42"/>
      <c r="BT20" s="30"/>
      <c r="BU20" s="42"/>
      <c r="BV20" s="30"/>
      <c r="BW20" s="30"/>
      <c r="BX20" s="30"/>
    </row>
    <row r="21" spans="7:76" x14ac:dyDescent="0.25">
      <c r="P21" s="43"/>
      <c r="Q21" s="43"/>
      <c r="R21" s="18">
        <v>18</v>
      </c>
      <c r="S21" s="20">
        <f t="shared" si="0"/>
        <v>1.8</v>
      </c>
      <c r="T21" s="20">
        <f t="shared" si="14"/>
        <v>1.8</v>
      </c>
      <c r="U21" s="21">
        <f t="shared" si="15"/>
        <v>1</v>
      </c>
      <c r="V21" s="22">
        <f t="shared" si="43"/>
        <v>16.097000000000001</v>
      </c>
      <c r="W21" s="22">
        <f t="shared" si="16"/>
        <v>100.09699999999999</v>
      </c>
      <c r="X21" s="22">
        <f t="shared" si="17"/>
        <v>116.19399999999999</v>
      </c>
      <c r="Y21" s="22">
        <f t="shared" si="1"/>
        <v>1.1221997046783601</v>
      </c>
      <c r="Z21" s="22">
        <f t="shared" si="18"/>
        <v>0.56109985233918003</v>
      </c>
      <c r="AA21" s="35">
        <f t="shared" si="19"/>
        <v>1.7627471740390857</v>
      </c>
      <c r="AB21" s="22">
        <f t="shared" si="20"/>
        <v>1.7627471740390857</v>
      </c>
      <c r="AC21" s="22">
        <f t="shared" si="21"/>
        <v>0.31830988618379069</v>
      </c>
      <c r="AD21" s="19">
        <f t="shared" si="22"/>
        <v>1</v>
      </c>
      <c r="AE21" s="72">
        <f t="shared" si="23"/>
        <v>185.18518518518516</v>
      </c>
      <c r="AF21" s="22">
        <f t="shared" si="24"/>
        <v>0.18</v>
      </c>
      <c r="AG21" s="22">
        <f t="shared" si="25"/>
        <v>0.18</v>
      </c>
      <c r="AH21" s="22">
        <f t="shared" si="26"/>
        <v>0.09</v>
      </c>
      <c r="AI21" s="22">
        <f t="shared" si="27"/>
        <v>0.09</v>
      </c>
      <c r="AJ21" s="35">
        <f t="shared" si="28"/>
        <v>3.6120543065112851E-3</v>
      </c>
      <c r="AK21" s="35">
        <f t="shared" si="29"/>
        <v>7.9577471545947673E-2</v>
      </c>
      <c r="AL21" s="35">
        <f t="shared" si="2"/>
        <v>5.919490711051948E-2</v>
      </c>
      <c r="AM21" s="35">
        <f t="shared" si="3"/>
        <v>1.9391435011269722</v>
      </c>
      <c r="AN21" s="36">
        <f t="shared" si="4"/>
        <v>6.277667733772134E-2</v>
      </c>
      <c r="AO21" s="35">
        <f t="shared" si="5"/>
        <v>1.4130101857572418E-2</v>
      </c>
      <c r="AP21" s="35">
        <f t="shared" si="30"/>
        <v>7.9577471545947673E-2</v>
      </c>
      <c r="AQ21" s="35">
        <f t="shared" si="31"/>
        <v>1.5818183669678049E-2</v>
      </c>
      <c r="AR21" s="35">
        <f t="shared" si="32"/>
        <v>1.9840582562487699</v>
      </c>
      <c r="AS21" s="35">
        <f t="shared" si="33"/>
        <v>1.6070007257988232E-2</v>
      </c>
      <c r="AT21" s="35">
        <f t="shared" si="6"/>
        <v>3.7762856613864386E-3</v>
      </c>
      <c r="AU21" s="35">
        <f t="shared" si="7"/>
        <v>38.308233715021736</v>
      </c>
      <c r="AV21" s="35">
        <f t="shared" si="8"/>
        <v>10.466742116720308</v>
      </c>
      <c r="AW21" s="35">
        <f t="shared" si="34"/>
        <v>2.797248638064028</v>
      </c>
      <c r="AX21" s="35">
        <f t="shared" si="35"/>
        <v>0.12375105998466356</v>
      </c>
      <c r="AY21" s="74">
        <f t="shared" si="9"/>
        <v>123.75105998466356</v>
      </c>
      <c r="AZ21" s="35">
        <f t="shared" si="36"/>
        <v>0.12292605291809913</v>
      </c>
      <c r="BA21" s="35">
        <f t="shared" si="37"/>
        <v>122.92605291809913</v>
      </c>
      <c r="BB21" s="35">
        <f t="shared" si="38"/>
        <v>0.12375105998466356</v>
      </c>
      <c r="BC21" s="35">
        <f t="shared" si="39"/>
        <v>123.75105998466356</v>
      </c>
      <c r="BD21" s="44">
        <f t="shared" si="40"/>
        <v>134.2249238949949</v>
      </c>
      <c r="BE21" s="35">
        <f t="shared" si="10"/>
        <v>185.18518518518516</v>
      </c>
      <c r="BF21" s="35">
        <f t="shared" si="11"/>
        <v>1.0473863910331359E-2</v>
      </c>
      <c r="BG21" s="74">
        <f t="shared" si="41"/>
        <v>10.473863910331358</v>
      </c>
      <c r="BH21" s="35">
        <f t="shared" si="12"/>
        <v>185.18518518518516</v>
      </c>
      <c r="BI21" s="36">
        <f t="shared" si="13"/>
        <v>5.2369319551656794E-3</v>
      </c>
      <c r="BJ21" s="73">
        <f t="shared" si="42"/>
        <v>5.2369319551656792</v>
      </c>
      <c r="BK21" s="42"/>
      <c r="BL21" s="30"/>
      <c r="BM21" s="30"/>
      <c r="BN21" s="30"/>
      <c r="BO21" s="42"/>
      <c r="BP21" s="30"/>
      <c r="BQ21" s="30"/>
      <c r="BR21" s="42"/>
      <c r="BS21" s="42"/>
      <c r="BT21" s="30"/>
      <c r="BU21" s="42"/>
      <c r="BV21" s="30"/>
      <c r="BW21" s="30"/>
      <c r="BX21" s="30"/>
    </row>
    <row r="22" spans="7:76" x14ac:dyDescent="0.25">
      <c r="M22" s="76">
        <f>G9</f>
        <v>10</v>
      </c>
      <c r="P22" s="43"/>
      <c r="Q22" s="43"/>
      <c r="R22" s="18">
        <v>19</v>
      </c>
      <c r="S22" s="20">
        <f t="shared" si="0"/>
        <v>1.9000000000000001</v>
      </c>
      <c r="T22" s="20">
        <f t="shared" si="14"/>
        <v>1.9000000000000001</v>
      </c>
      <c r="U22" s="21">
        <f t="shared" si="15"/>
        <v>1</v>
      </c>
      <c r="V22" s="22">
        <f t="shared" si="43"/>
        <v>16.097000000000001</v>
      </c>
      <c r="W22" s="22">
        <f t="shared" si="16"/>
        <v>100.09699999999999</v>
      </c>
      <c r="X22" s="22">
        <f t="shared" si="17"/>
        <v>116.19399999999999</v>
      </c>
      <c r="Y22" s="22">
        <f t="shared" si="1"/>
        <v>1.1221997046783601</v>
      </c>
      <c r="Z22" s="22">
        <f t="shared" si="18"/>
        <v>0.56109985233918003</v>
      </c>
      <c r="AA22" s="35">
        <f t="shared" si="19"/>
        <v>1.7627471740390857</v>
      </c>
      <c r="AB22" s="22">
        <f t="shared" si="20"/>
        <v>1.7627471740390857</v>
      </c>
      <c r="AC22" s="22">
        <f t="shared" si="21"/>
        <v>0.31830988618379069</v>
      </c>
      <c r="AD22" s="19">
        <f t="shared" si="22"/>
        <v>1</v>
      </c>
      <c r="AE22" s="72">
        <f t="shared" si="23"/>
        <v>166.20498614958447</v>
      </c>
      <c r="AF22" s="22">
        <f t="shared" si="24"/>
        <v>0.19</v>
      </c>
      <c r="AG22" s="22">
        <f t="shared" si="25"/>
        <v>0.19</v>
      </c>
      <c r="AH22" s="22">
        <f t="shared" si="26"/>
        <v>9.5000000000000001E-2</v>
      </c>
      <c r="AI22" s="22">
        <f t="shared" si="27"/>
        <v>9.5000000000000001E-2</v>
      </c>
      <c r="AJ22" s="35">
        <f t="shared" si="28"/>
        <v>4.1883561857710035E-3</v>
      </c>
      <c r="AK22" s="35">
        <f t="shared" si="29"/>
        <v>7.9577471545947673E-2</v>
      </c>
      <c r="AL22" s="35">
        <f t="shared" si="2"/>
        <v>6.5327682201832868E-2</v>
      </c>
      <c r="AM22" s="35">
        <f t="shared" si="3"/>
        <v>1.9326618168252192</v>
      </c>
      <c r="AN22" s="36">
        <f t="shared" si="4"/>
        <v>6.9698500334042943E-2</v>
      </c>
      <c r="AO22" s="35">
        <f t="shared" si="5"/>
        <v>1.55935888985565E-2</v>
      </c>
      <c r="AP22" s="35">
        <f t="shared" si="30"/>
        <v>7.9577471545947673E-2</v>
      </c>
      <c r="AQ22" s="35">
        <f t="shared" si="31"/>
        <v>1.7577620614230845E-2</v>
      </c>
      <c r="AR22" s="35">
        <f t="shared" si="32"/>
        <v>1.982270026030156</v>
      </c>
      <c r="AS22" s="35">
        <f t="shared" si="33"/>
        <v>1.7888794307032059E-2</v>
      </c>
      <c r="AT22" s="35">
        <f t="shared" si="6"/>
        <v>4.1963098493447348E-3</v>
      </c>
      <c r="AU22" s="35">
        <f t="shared" si="7"/>
        <v>35.077082043608947</v>
      </c>
      <c r="AV22" s="35">
        <f t="shared" si="8"/>
        <v>10.366928907627589</v>
      </c>
      <c r="AW22" s="35">
        <f t="shared" si="34"/>
        <v>2.7897904815588261</v>
      </c>
      <c r="AX22" s="35">
        <f t="shared" si="35"/>
        <v>0.11457221079033678</v>
      </c>
      <c r="AY22" s="74">
        <f t="shared" si="9"/>
        <v>114.57221079033678</v>
      </c>
      <c r="AZ22" s="35">
        <f t="shared" si="36"/>
        <v>0.11380839605173453</v>
      </c>
      <c r="BA22" s="35">
        <f t="shared" si="37"/>
        <v>113.80839605173452</v>
      </c>
      <c r="BB22" s="35">
        <f t="shared" si="38"/>
        <v>0.11457221079033678</v>
      </c>
      <c r="BC22" s="35">
        <f t="shared" si="39"/>
        <v>114.57221079033678</v>
      </c>
      <c r="BD22" s="44">
        <f t="shared" si="40"/>
        <v>124.49481870538754</v>
      </c>
      <c r="BE22" s="35">
        <f t="shared" si="10"/>
        <v>166.20498614958447</v>
      </c>
      <c r="BF22" s="35">
        <f t="shared" si="11"/>
        <v>9.9226079150507625E-3</v>
      </c>
      <c r="BG22" s="74">
        <f t="shared" si="41"/>
        <v>9.9226079150507633</v>
      </c>
      <c r="BH22" s="35">
        <f t="shared" si="12"/>
        <v>166.20498614958447</v>
      </c>
      <c r="BI22" s="36">
        <f t="shared" si="13"/>
        <v>4.9613039575253813E-3</v>
      </c>
      <c r="BJ22" s="73">
        <f t="shared" si="42"/>
        <v>4.9613039575253817</v>
      </c>
      <c r="BK22" s="42"/>
      <c r="BL22" s="30"/>
      <c r="BM22" s="30"/>
      <c r="BN22" s="30"/>
      <c r="BO22" s="42"/>
      <c r="BP22" s="30"/>
      <c r="BQ22" s="30"/>
      <c r="BR22" s="42"/>
      <c r="BS22" s="42"/>
      <c r="BT22" s="30"/>
      <c r="BU22" s="42"/>
      <c r="BV22" s="30"/>
      <c r="BW22" s="30"/>
      <c r="BX22" s="30"/>
    </row>
    <row r="23" spans="7:76" x14ac:dyDescent="0.25">
      <c r="I23" s="124" t="s">
        <v>125</v>
      </c>
      <c r="J23" s="124"/>
      <c r="K23" s="124"/>
      <c r="P23" s="43"/>
      <c r="Q23" s="43"/>
      <c r="R23" s="18">
        <v>20</v>
      </c>
      <c r="S23" s="20">
        <f t="shared" si="0"/>
        <v>2</v>
      </c>
      <c r="T23" s="20">
        <f t="shared" si="14"/>
        <v>2</v>
      </c>
      <c r="U23" s="21">
        <f t="shared" si="15"/>
        <v>1</v>
      </c>
      <c r="V23" s="22">
        <f t="shared" si="43"/>
        <v>16.097000000000001</v>
      </c>
      <c r="W23" s="22">
        <f t="shared" si="16"/>
        <v>100.09699999999999</v>
      </c>
      <c r="X23" s="22">
        <f t="shared" si="17"/>
        <v>116.19399999999999</v>
      </c>
      <c r="Y23" s="22">
        <f t="shared" si="1"/>
        <v>1.1221997046783601</v>
      </c>
      <c r="Z23" s="22">
        <f t="shared" si="18"/>
        <v>0.56109985233918003</v>
      </c>
      <c r="AA23" s="35">
        <f t="shared" si="19"/>
        <v>1.7627471740390857</v>
      </c>
      <c r="AB23" s="22">
        <f t="shared" si="20"/>
        <v>1.7627471740390857</v>
      </c>
      <c r="AC23" s="22">
        <f t="shared" si="21"/>
        <v>0.31830988618379069</v>
      </c>
      <c r="AD23" s="19">
        <f t="shared" si="22"/>
        <v>1</v>
      </c>
      <c r="AE23" s="72">
        <f t="shared" si="23"/>
        <v>150</v>
      </c>
      <c r="AF23" s="22">
        <f t="shared" si="24"/>
        <v>0.2</v>
      </c>
      <c r="AG23" s="22">
        <f t="shared" si="25"/>
        <v>0.2</v>
      </c>
      <c r="AH23" s="22">
        <f t="shared" si="26"/>
        <v>0.1</v>
      </c>
      <c r="AI23" s="22">
        <f t="shared" si="27"/>
        <v>0.1</v>
      </c>
      <c r="AJ23" s="35">
        <f t="shared" si="28"/>
        <v>4.8133607220412012E-3</v>
      </c>
      <c r="AK23" s="35">
        <f t="shared" si="29"/>
        <v>7.9577471545947673E-2</v>
      </c>
      <c r="AL23" s="35">
        <f t="shared" si="2"/>
        <v>7.1671067899401836E-2</v>
      </c>
      <c r="AM23" s="35">
        <f t="shared" si="3"/>
        <v>1.9259259259259258</v>
      </c>
      <c r="AN23" s="36">
        <f t="shared" si="4"/>
        <v>7.6942054814656671E-2</v>
      </c>
      <c r="AO23" s="35">
        <f t="shared" si="5"/>
        <v>1.7107184661199395E-2</v>
      </c>
      <c r="AP23" s="35">
        <f t="shared" si="30"/>
        <v>7.9577471545947673E-2</v>
      </c>
      <c r="AQ23" s="35">
        <f t="shared" si="31"/>
        <v>1.9422124881465538E-2</v>
      </c>
      <c r="AR23" s="35">
        <f t="shared" si="32"/>
        <v>1.9803921568627452</v>
      </c>
      <c r="AS23" s="35">
        <f t="shared" si="33"/>
        <v>1.9802303742341931E-2</v>
      </c>
      <c r="AT23" s="35">
        <f t="shared" si="6"/>
        <v>4.6366392744001004E-3</v>
      </c>
      <c r="AU23" s="35">
        <f t="shared" si="7"/>
        <v>32.306537791919766</v>
      </c>
      <c r="AV23" s="35">
        <f t="shared" si="8"/>
        <v>10.264310796719636</v>
      </c>
      <c r="AW23" s="35">
        <f t="shared" si="34"/>
        <v>2.7819835646400604</v>
      </c>
      <c r="AX23" s="35">
        <f t="shared" si="35"/>
        <v>0.10654432381424427</v>
      </c>
      <c r="AY23" s="74">
        <f t="shared" si="9"/>
        <v>106.54432381424427</v>
      </c>
      <c r="AZ23" s="35">
        <f t="shared" si="36"/>
        <v>0.1058340283221493</v>
      </c>
      <c r="BA23" s="35">
        <f t="shared" si="37"/>
        <v>105.83402832214931</v>
      </c>
      <c r="BB23" s="35">
        <f t="shared" si="38"/>
        <v>0.10654432381424427</v>
      </c>
      <c r="BC23" s="35">
        <f t="shared" si="39"/>
        <v>106.54432381424427</v>
      </c>
      <c r="BD23" s="44">
        <f t="shared" si="40"/>
        <v>115.97080133354248</v>
      </c>
      <c r="BE23" s="35">
        <f t="shared" si="10"/>
        <v>150</v>
      </c>
      <c r="BF23" s="35">
        <f t="shared" si="11"/>
        <v>9.4264775192982233E-3</v>
      </c>
      <c r="BG23" s="74">
        <f t="shared" si="41"/>
        <v>9.4264775192982224</v>
      </c>
      <c r="BH23" s="35">
        <f t="shared" si="12"/>
        <v>150</v>
      </c>
      <c r="BI23" s="36">
        <f t="shared" si="13"/>
        <v>4.7132387596491116E-3</v>
      </c>
      <c r="BJ23" s="73">
        <f t="shared" si="42"/>
        <v>4.7132387596491112</v>
      </c>
      <c r="BK23" s="42"/>
      <c r="BL23" s="30"/>
      <c r="BM23" s="30"/>
      <c r="BN23" s="30"/>
      <c r="BO23" s="42"/>
      <c r="BP23" s="30"/>
      <c r="BQ23" s="30"/>
      <c r="BR23" s="42"/>
      <c r="BS23" s="42"/>
      <c r="BT23" s="30"/>
      <c r="BU23" s="42"/>
      <c r="BV23" s="30"/>
      <c r="BW23" s="30"/>
      <c r="BX23" s="30"/>
    </row>
    <row r="24" spans="7:76" x14ac:dyDescent="0.25">
      <c r="P24" s="43"/>
      <c r="Q24" s="43"/>
      <c r="R24" s="18">
        <v>21</v>
      </c>
      <c r="S24" s="20">
        <f t="shared" si="0"/>
        <v>2.1</v>
      </c>
      <c r="T24" s="20">
        <f t="shared" si="14"/>
        <v>2.1</v>
      </c>
      <c r="U24" s="21">
        <f t="shared" si="15"/>
        <v>1</v>
      </c>
      <c r="V24" s="22">
        <f t="shared" si="43"/>
        <v>16.097000000000001</v>
      </c>
      <c r="W24" s="22">
        <f t="shared" si="16"/>
        <v>100.09699999999999</v>
      </c>
      <c r="X24" s="22">
        <f t="shared" si="17"/>
        <v>116.19399999999999</v>
      </c>
      <c r="Y24" s="22">
        <f t="shared" si="1"/>
        <v>1.1221997046783601</v>
      </c>
      <c r="Z24" s="22">
        <f t="shared" si="18"/>
        <v>0.56109985233918003</v>
      </c>
      <c r="AA24" s="35">
        <f t="shared" si="19"/>
        <v>1.7627471740390857</v>
      </c>
      <c r="AB24" s="22">
        <f t="shared" si="20"/>
        <v>1.7627471740390857</v>
      </c>
      <c r="AC24" s="22">
        <f t="shared" si="21"/>
        <v>0.31830988618379069</v>
      </c>
      <c r="AD24" s="19">
        <f t="shared" si="22"/>
        <v>1</v>
      </c>
      <c r="AE24" s="72">
        <f t="shared" si="23"/>
        <v>136.05442176870747</v>
      </c>
      <c r="AF24" s="22">
        <f t="shared" si="24"/>
        <v>0.21000000000000002</v>
      </c>
      <c r="AG24" s="22">
        <f t="shared" si="25"/>
        <v>0.21000000000000002</v>
      </c>
      <c r="AH24" s="22">
        <f t="shared" si="26"/>
        <v>0.10500000000000001</v>
      </c>
      <c r="AI24" s="22">
        <f t="shared" si="27"/>
        <v>0.10500000000000001</v>
      </c>
      <c r="AJ24" s="35">
        <f t="shared" si="28"/>
        <v>5.4869798986318559E-3</v>
      </c>
      <c r="AK24" s="35">
        <f t="shared" si="29"/>
        <v>7.9577471545947673E-2</v>
      </c>
      <c r="AL24" s="35">
        <f t="shared" si="2"/>
        <v>7.8211016442251188E-2</v>
      </c>
      <c r="AM24" s="35">
        <f t="shared" si="3"/>
        <v>1.9189487226612754</v>
      </c>
      <c r="AN24" s="36">
        <f t="shared" si="4"/>
        <v>8.4499804389424379E-2</v>
      </c>
      <c r="AO24" s="35">
        <f t="shared" si="5"/>
        <v>1.8667500878994644E-2</v>
      </c>
      <c r="AP24" s="35">
        <f t="shared" si="30"/>
        <v>7.9577471545947673E-2</v>
      </c>
      <c r="AQ24" s="35">
        <f t="shared" si="31"/>
        <v>2.135023056066818E-2</v>
      </c>
      <c r="AR24" s="35">
        <f t="shared" si="32"/>
        <v>1.9784257130277387</v>
      </c>
      <c r="AS24" s="35">
        <f t="shared" si="33"/>
        <v>2.1809981981413016E-2</v>
      </c>
      <c r="AT24" s="35">
        <f t="shared" si="6"/>
        <v>5.0969232937091618E-3</v>
      </c>
      <c r="AU24" s="35">
        <f t="shared" si="7"/>
        <v>29.910832363690499</v>
      </c>
      <c r="AV24" s="35">
        <f t="shared" si="8"/>
        <v>10.15918415183382</v>
      </c>
      <c r="AW24" s="35">
        <f t="shared" si="34"/>
        <v>2.773835806100224</v>
      </c>
      <c r="AX24" s="35">
        <f t="shared" si="35"/>
        <v>9.9480877671214163E-2</v>
      </c>
      <c r="AY24" s="74">
        <f t="shared" si="9"/>
        <v>99.480877671214159</v>
      </c>
      <c r="AZ24" s="35">
        <f t="shared" si="36"/>
        <v>9.8817671820072728E-2</v>
      </c>
      <c r="BA24" s="35">
        <f t="shared" si="37"/>
        <v>98.817671820072732</v>
      </c>
      <c r="BB24" s="35">
        <f t="shared" si="38"/>
        <v>9.9480877671214163E-2</v>
      </c>
      <c r="BC24" s="35">
        <f t="shared" si="39"/>
        <v>99.480877671214159</v>
      </c>
      <c r="BD24" s="44">
        <f t="shared" si="40"/>
        <v>108.45847530864104</v>
      </c>
      <c r="BE24" s="35">
        <f t="shared" si="10"/>
        <v>136.05442176870747</v>
      </c>
      <c r="BF24" s="35">
        <f t="shared" si="11"/>
        <v>8.9775976374268807E-3</v>
      </c>
      <c r="BG24" s="74">
        <f t="shared" si="41"/>
        <v>8.9775976374268804</v>
      </c>
      <c r="BH24" s="35">
        <f t="shared" si="12"/>
        <v>136.05442176870747</v>
      </c>
      <c r="BI24" s="36">
        <f t="shared" si="13"/>
        <v>4.4887988187134404E-3</v>
      </c>
      <c r="BJ24" s="73">
        <f t="shared" si="42"/>
        <v>4.4887988187134402</v>
      </c>
      <c r="BK24" s="42"/>
      <c r="BL24" s="30"/>
      <c r="BM24" s="30"/>
      <c r="BN24" s="30"/>
      <c r="BO24" s="42"/>
      <c r="BP24" s="30"/>
      <c r="BQ24" s="30"/>
      <c r="BR24" s="42"/>
      <c r="BS24" s="42"/>
      <c r="BT24" s="30"/>
      <c r="BU24" s="42"/>
      <c r="BV24" s="30"/>
      <c r="BW24" s="30"/>
      <c r="BX24" s="30"/>
    </row>
    <row r="25" spans="7:76" x14ac:dyDescent="0.25">
      <c r="G25" s="18">
        <v>3</v>
      </c>
      <c r="P25" s="43"/>
      <c r="Q25" s="43"/>
      <c r="R25" s="18">
        <v>22</v>
      </c>
      <c r="S25" s="20">
        <f t="shared" si="0"/>
        <v>2.2000000000000002</v>
      </c>
      <c r="T25" s="20">
        <f t="shared" si="14"/>
        <v>2.2000000000000002</v>
      </c>
      <c r="U25" s="21">
        <f t="shared" si="15"/>
        <v>1</v>
      </c>
      <c r="V25" s="22">
        <f t="shared" si="43"/>
        <v>16.097000000000001</v>
      </c>
      <c r="W25" s="22">
        <f t="shared" si="16"/>
        <v>100.09699999999999</v>
      </c>
      <c r="X25" s="22">
        <f t="shared" si="17"/>
        <v>116.19399999999999</v>
      </c>
      <c r="Y25" s="22">
        <f t="shared" si="1"/>
        <v>1.1221997046783601</v>
      </c>
      <c r="Z25" s="22">
        <f t="shared" si="18"/>
        <v>0.56109985233918003</v>
      </c>
      <c r="AA25" s="35">
        <f t="shared" si="19"/>
        <v>1.7627471740390857</v>
      </c>
      <c r="AB25" s="22">
        <f t="shared" si="20"/>
        <v>1.7627471740390857</v>
      </c>
      <c r="AC25" s="22">
        <f t="shared" si="21"/>
        <v>0.31830988618379069</v>
      </c>
      <c r="AD25" s="19">
        <f t="shared" si="22"/>
        <v>1</v>
      </c>
      <c r="AE25" s="72">
        <f t="shared" si="23"/>
        <v>123.96694214876031</v>
      </c>
      <c r="AF25" s="22">
        <f t="shared" si="24"/>
        <v>0.22000000000000003</v>
      </c>
      <c r="AG25" s="22">
        <f t="shared" si="25"/>
        <v>0.22000000000000003</v>
      </c>
      <c r="AH25" s="22">
        <f t="shared" si="26"/>
        <v>0.11000000000000001</v>
      </c>
      <c r="AI25" s="22">
        <f t="shared" si="27"/>
        <v>0.11000000000000001</v>
      </c>
      <c r="AJ25" s="35">
        <f t="shared" si="28"/>
        <v>6.2088899558515572E-3</v>
      </c>
      <c r="AK25" s="35">
        <f t="shared" si="29"/>
        <v>7.9577471545947673E-2</v>
      </c>
      <c r="AL25" s="35">
        <f t="shared" si="2"/>
        <v>8.4933743852649443E-2</v>
      </c>
      <c r="AM25" s="35">
        <f t="shared" si="3"/>
        <v>1.911743253099927</v>
      </c>
      <c r="AN25" s="36">
        <f t="shared" si="4"/>
        <v>9.2363999778485459E-2</v>
      </c>
      <c r="AO25" s="35">
        <f t="shared" si="5"/>
        <v>2.0271207922057277E-2</v>
      </c>
      <c r="AP25" s="35">
        <f t="shared" si="30"/>
        <v>7.9577471545947673E-2</v>
      </c>
      <c r="AQ25" s="35">
        <f t="shared" si="31"/>
        <v>2.3360424986708053E-2</v>
      </c>
      <c r="AR25" s="35">
        <f t="shared" si="32"/>
        <v>1.9763718023823471</v>
      </c>
      <c r="AS25" s="35">
        <f t="shared" si="33"/>
        <v>2.3911250392328009E-2</v>
      </c>
      <c r="AT25" s="35">
        <f t="shared" si="6"/>
        <v>5.5767999988515053E-3</v>
      </c>
      <c r="AU25" s="35">
        <f t="shared" si="7"/>
        <v>27.823275346039718</v>
      </c>
      <c r="AV25" s="35">
        <f t="shared" si="8"/>
        <v>10.051838639036665</v>
      </c>
      <c r="AW25" s="35">
        <f t="shared" si="34"/>
        <v>2.7653553713313244</v>
      </c>
      <c r="AX25" s="35">
        <f t="shared" si="35"/>
        <v>9.3230887640878127E-2</v>
      </c>
      <c r="AY25" s="74">
        <f t="shared" si="9"/>
        <v>93.230887640878123</v>
      </c>
      <c r="AZ25" s="35">
        <f t="shared" si="36"/>
        <v>9.2609348389938936E-2</v>
      </c>
      <c r="BA25" s="35">
        <f t="shared" si="37"/>
        <v>92.60934838993893</v>
      </c>
      <c r="BB25" s="35">
        <f t="shared" si="38"/>
        <v>9.3230887640878127E-2</v>
      </c>
      <c r="BC25" s="35">
        <f t="shared" si="39"/>
        <v>93.230887640878123</v>
      </c>
      <c r="BD25" s="44">
        <f t="shared" si="40"/>
        <v>101.80041265842196</v>
      </c>
      <c r="BE25" s="35">
        <f t="shared" si="10"/>
        <v>123.96694214876031</v>
      </c>
      <c r="BF25" s="35">
        <f t="shared" si="11"/>
        <v>8.5695250175438394E-3</v>
      </c>
      <c r="BG25" s="74">
        <f t="shared" si="41"/>
        <v>8.5695250175438389</v>
      </c>
      <c r="BH25" s="35">
        <f t="shared" si="12"/>
        <v>123.96694214876031</v>
      </c>
      <c r="BI25" s="36">
        <f t="shared" si="13"/>
        <v>4.2847625087719197E-3</v>
      </c>
      <c r="BJ25" s="73">
        <f t="shared" si="42"/>
        <v>4.2847625087719194</v>
      </c>
      <c r="BK25" s="42"/>
      <c r="BL25" s="30"/>
      <c r="BM25" s="30"/>
      <c r="BN25" s="30"/>
      <c r="BO25" s="42"/>
      <c r="BP25" s="30"/>
      <c r="BQ25" s="30"/>
      <c r="BR25" s="42"/>
      <c r="BS25" s="42"/>
      <c r="BT25" s="30"/>
      <c r="BU25" s="42"/>
      <c r="BV25" s="30"/>
      <c r="BW25" s="30"/>
      <c r="BX25" s="30"/>
    </row>
    <row r="26" spans="7:76" x14ac:dyDescent="0.25">
      <c r="P26" s="43"/>
      <c r="Q26" s="43"/>
      <c r="R26" s="18">
        <v>23</v>
      </c>
      <c r="S26" s="20">
        <f t="shared" si="0"/>
        <v>2.3000000000000003</v>
      </c>
      <c r="T26" s="20">
        <f t="shared" si="14"/>
        <v>2.3000000000000003</v>
      </c>
      <c r="U26" s="21">
        <f t="shared" si="15"/>
        <v>1</v>
      </c>
      <c r="V26" s="22">
        <f t="shared" si="43"/>
        <v>16.097000000000001</v>
      </c>
      <c r="W26" s="22">
        <f t="shared" si="16"/>
        <v>100.09699999999999</v>
      </c>
      <c r="X26" s="22">
        <f t="shared" si="17"/>
        <v>116.19399999999999</v>
      </c>
      <c r="Y26" s="22">
        <f t="shared" si="1"/>
        <v>1.1221997046783601</v>
      </c>
      <c r="Z26" s="22">
        <f t="shared" si="18"/>
        <v>0.56109985233918003</v>
      </c>
      <c r="AA26" s="35">
        <f t="shared" si="19"/>
        <v>1.7627471740390857</v>
      </c>
      <c r="AB26" s="22">
        <f t="shared" si="20"/>
        <v>1.7627471740390857</v>
      </c>
      <c r="AC26" s="22">
        <f t="shared" si="21"/>
        <v>0.31830988618379069</v>
      </c>
      <c r="AD26" s="19">
        <f t="shared" si="22"/>
        <v>1</v>
      </c>
      <c r="AE26" s="72">
        <f t="shared" si="23"/>
        <v>113.42155009451794</v>
      </c>
      <c r="AF26" s="22">
        <f t="shared" si="24"/>
        <v>0.23000000000000004</v>
      </c>
      <c r="AG26" s="22">
        <f t="shared" si="25"/>
        <v>0.23000000000000004</v>
      </c>
      <c r="AH26" s="22">
        <f t="shared" si="26"/>
        <v>0.11500000000000002</v>
      </c>
      <c r="AI26" s="22">
        <f t="shared" si="27"/>
        <v>0.11500000000000002</v>
      </c>
      <c r="AJ26" s="35">
        <f t="shared" si="28"/>
        <v>6.9785495999359713E-3</v>
      </c>
      <c r="AK26" s="35">
        <f t="shared" si="29"/>
        <v>7.9577471545947673E-2</v>
      </c>
      <c r="AL26" s="35">
        <f t="shared" si="2"/>
        <v>9.182579474958294E-2</v>
      </c>
      <c r="AM26" s="35">
        <f t="shared" si="3"/>
        <v>1.9043226623259175</v>
      </c>
      <c r="AN26" s="36">
        <f t="shared" si="4"/>
        <v>0.10052669965234773</v>
      </c>
      <c r="AO26" s="35">
        <f t="shared" si="5"/>
        <v>2.1915050099301128E-2</v>
      </c>
      <c r="AP26" s="35">
        <f t="shared" si="30"/>
        <v>7.9577471545947673E-2</v>
      </c>
      <c r="AQ26" s="35">
        <f t="shared" si="31"/>
        <v>2.5451152324958943E-2</v>
      </c>
      <c r="AR26" s="35">
        <f t="shared" si="32"/>
        <v>1.9742315748453407</v>
      </c>
      <c r="AS26" s="35">
        <f t="shared" si="33"/>
        <v>2.6105505768106892E-2</v>
      </c>
      <c r="AT26" s="35">
        <f t="shared" si="6"/>
        <v>6.0758970626725254E-3</v>
      </c>
      <c r="AU26" s="35">
        <f t="shared" si="7"/>
        <v>25.991387331559693</v>
      </c>
      <c r="AV26" s="35">
        <f t="shared" si="8"/>
        <v>9.9425558106470131</v>
      </c>
      <c r="AW26" s="35">
        <f t="shared" si="34"/>
        <v>2.756550652252185</v>
      </c>
      <c r="AX26" s="35">
        <f t="shared" si="35"/>
        <v>8.767126276844911E-2</v>
      </c>
      <c r="AY26" s="74">
        <f t="shared" si="9"/>
        <v>87.671262768449111</v>
      </c>
      <c r="AZ26" s="35">
        <f t="shared" si="36"/>
        <v>8.7086787683326117E-2</v>
      </c>
      <c r="BA26" s="35">
        <f t="shared" si="37"/>
        <v>87.086787683326122</v>
      </c>
      <c r="BB26" s="35">
        <f t="shared" si="38"/>
        <v>8.767126276844911E-2</v>
      </c>
      <c r="BC26" s="35">
        <f t="shared" si="39"/>
        <v>87.671262768449111</v>
      </c>
      <c r="BD26" s="44">
        <f t="shared" si="40"/>
        <v>95.868199741751909</v>
      </c>
      <c r="BE26" s="35">
        <f t="shared" si="10"/>
        <v>113.42155009451794</v>
      </c>
      <c r="BF26" s="35">
        <f t="shared" si="11"/>
        <v>8.1969369733028048E-3</v>
      </c>
      <c r="BG26" s="74">
        <f t="shared" si="41"/>
        <v>8.1969369733028046</v>
      </c>
      <c r="BH26" s="35">
        <f t="shared" si="12"/>
        <v>113.42155009451794</v>
      </c>
      <c r="BI26" s="36">
        <f t="shared" si="13"/>
        <v>4.0984684866514024E-3</v>
      </c>
      <c r="BJ26" s="73">
        <f t="shared" si="42"/>
        <v>4.0984684866514023</v>
      </c>
      <c r="BK26" s="42"/>
      <c r="BL26" s="30"/>
      <c r="BM26" s="30"/>
      <c r="BN26" s="30"/>
      <c r="BO26" s="42"/>
      <c r="BP26" s="30"/>
      <c r="BQ26" s="30"/>
      <c r="BR26" s="42"/>
      <c r="BS26" s="42"/>
      <c r="BT26" s="30"/>
      <c r="BU26" s="42"/>
      <c r="BV26" s="30"/>
      <c r="BW26" s="30"/>
      <c r="BX26" s="30"/>
    </row>
    <row r="27" spans="7:76" x14ac:dyDescent="0.25">
      <c r="P27" s="43"/>
      <c r="Q27" s="43"/>
      <c r="R27" s="18">
        <v>24</v>
      </c>
      <c r="S27" s="20">
        <f t="shared" si="0"/>
        <v>2.4000000000000004</v>
      </c>
      <c r="T27" s="20">
        <f t="shared" si="14"/>
        <v>2.4000000000000004</v>
      </c>
      <c r="U27" s="21">
        <f t="shared" si="15"/>
        <v>1</v>
      </c>
      <c r="V27" s="22">
        <f t="shared" si="43"/>
        <v>16.097000000000001</v>
      </c>
      <c r="W27" s="22">
        <f t="shared" si="16"/>
        <v>100.09699999999999</v>
      </c>
      <c r="X27" s="22">
        <f t="shared" si="17"/>
        <v>116.19399999999999</v>
      </c>
      <c r="Y27" s="22">
        <f t="shared" si="1"/>
        <v>1.1221997046783601</v>
      </c>
      <c r="Z27" s="22">
        <f t="shared" si="18"/>
        <v>0.56109985233918003</v>
      </c>
      <c r="AA27" s="35">
        <f t="shared" si="19"/>
        <v>1.7627471740390857</v>
      </c>
      <c r="AB27" s="22">
        <f t="shared" si="20"/>
        <v>1.7627471740390857</v>
      </c>
      <c r="AC27" s="22">
        <f t="shared" si="21"/>
        <v>0.31830988618379069</v>
      </c>
      <c r="AD27" s="19">
        <f t="shared" si="22"/>
        <v>1</v>
      </c>
      <c r="AE27" s="72">
        <f t="shared" si="23"/>
        <v>104.16666666666664</v>
      </c>
      <c r="AF27" s="22">
        <f t="shared" si="24"/>
        <v>0.24000000000000005</v>
      </c>
      <c r="AG27" s="22">
        <f t="shared" si="25"/>
        <v>0.24000000000000005</v>
      </c>
      <c r="AH27" s="22">
        <f t="shared" si="26"/>
        <v>0.12000000000000002</v>
      </c>
      <c r="AI27" s="22">
        <f t="shared" si="27"/>
        <v>0.12000000000000002</v>
      </c>
      <c r="AJ27" s="35">
        <f t="shared" si="28"/>
        <v>7.7952191161024566E-3</v>
      </c>
      <c r="AK27" s="35">
        <f t="shared" si="29"/>
        <v>7.9577471545947673E-2</v>
      </c>
      <c r="AL27" s="35">
        <f t="shared" si="2"/>
        <v>9.8874098552507089E-2</v>
      </c>
      <c r="AM27" s="35">
        <f t="shared" si="3"/>
        <v>1.8967001434720232</v>
      </c>
      <c r="AN27" s="36">
        <f t="shared" si="4"/>
        <v>0.10897979142339359</v>
      </c>
      <c r="AO27" s="35">
        <f t="shared" si="5"/>
        <v>2.3595858934383464E-2</v>
      </c>
      <c r="AP27" s="35">
        <f t="shared" si="30"/>
        <v>7.9577471545947673E-2</v>
      </c>
      <c r="AQ27" s="35">
        <f t="shared" si="31"/>
        <v>2.7620817185586385E-2</v>
      </c>
      <c r="AR27" s="35">
        <f t="shared" si="32"/>
        <v>1.9720062208398135</v>
      </c>
      <c r="AS27" s="35">
        <f t="shared" si="33"/>
        <v>2.8392120817994439E-2</v>
      </c>
      <c r="AT27" s="35">
        <f t="shared" si="6"/>
        <v>6.5938325929976987E-3</v>
      </c>
      <c r="AU27" s="35">
        <f t="shared" si="7"/>
        <v>24.373421411842468</v>
      </c>
      <c r="AV27" s="35">
        <f t="shared" si="8"/>
        <v>9.8316078893264418</v>
      </c>
      <c r="AW27" s="35">
        <f t="shared" si="34"/>
        <v>2.7474302470823737</v>
      </c>
      <c r="AX27" s="35">
        <f t="shared" si="35"/>
        <v>8.2700975516894065E-2</v>
      </c>
      <c r="AY27" s="74">
        <f t="shared" si="9"/>
        <v>82.700975516894061</v>
      </c>
      <c r="AZ27" s="35">
        <f t="shared" si="36"/>
        <v>8.2149635680114769E-2</v>
      </c>
      <c r="BA27" s="35">
        <f t="shared" si="37"/>
        <v>82.14963568011477</v>
      </c>
      <c r="BB27" s="35">
        <f t="shared" si="38"/>
        <v>8.2700975516894065E-2</v>
      </c>
      <c r="BC27" s="35">
        <f t="shared" si="39"/>
        <v>82.700975516894061</v>
      </c>
      <c r="BD27" s="44">
        <f t="shared" si="40"/>
        <v>90.556373449642578</v>
      </c>
      <c r="BE27" s="35">
        <f t="shared" si="10"/>
        <v>104.16666666666664</v>
      </c>
      <c r="BF27" s="35">
        <f t="shared" si="11"/>
        <v>7.8553979327485191E-3</v>
      </c>
      <c r="BG27" s="74">
        <f t="shared" si="41"/>
        <v>7.8553979327485193</v>
      </c>
      <c r="BH27" s="35">
        <f t="shared" si="12"/>
        <v>104.16666666666664</v>
      </c>
      <c r="BI27" s="36">
        <f t="shared" si="13"/>
        <v>3.9276989663742596E-3</v>
      </c>
      <c r="BJ27" s="73">
        <f t="shared" si="42"/>
        <v>3.9276989663742596</v>
      </c>
      <c r="BK27" s="42"/>
      <c r="BL27" s="30"/>
      <c r="BM27" s="30"/>
      <c r="BN27" s="30"/>
      <c r="BO27" s="42"/>
      <c r="BP27" s="30"/>
      <c r="BQ27" s="30"/>
      <c r="BR27" s="42"/>
      <c r="BS27" s="42"/>
      <c r="BT27" s="30"/>
      <c r="BU27" s="42"/>
      <c r="BV27" s="30"/>
      <c r="BW27" s="30"/>
      <c r="BX27" s="30"/>
    </row>
    <row r="28" spans="7:76" ht="15.75" customHeight="1" x14ac:dyDescent="0.25">
      <c r="M28" s="108" t="s">
        <v>123</v>
      </c>
      <c r="N28" s="108"/>
      <c r="O28" s="108"/>
      <c r="P28" s="108"/>
      <c r="Q28" s="43"/>
      <c r="R28" s="18">
        <v>25</v>
      </c>
      <c r="S28" s="20">
        <f t="shared" si="0"/>
        <v>2.5</v>
      </c>
      <c r="T28" s="20">
        <f t="shared" si="14"/>
        <v>2.5</v>
      </c>
      <c r="U28" s="21">
        <f t="shared" si="15"/>
        <v>1</v>
      </c>
      <c r="V28" s="22">
        <f t="shared" si="43"/>
        <v>16.097000000000001</v>
      </c>
      <c r="W28" s="22">
        <f t="shared" si="16"/>
        <v>100.09699999999999</v>
      </c>
      <c r="X28" s="22">
        <f t="shared" si="17"/>
        <v>116.19399999999999</v>
      </c>
      <c r="Y28" s="22">
        <f t="shared" si="1"/>
        <v>1.1221997046783601</v>
      </c>
      <c r="Z28" s="22">
        <f t="shared" si="18"/>
        <v>0.56109985233918003</v>
      </c>
      <c r="AA28" s="35">
        <f t="shared" si="19"/>
        <v>1.7627471740390857</v>
      </c>
      <c r="AB28" s="22">
        <f t="shared" si="20"/>
        <v>1.7627471740390857</v>
      </c>
      <c r="AC28" s="22">
        <f t="shared" si="21"/>
        <v>0.31830988618379069</v>
      </c>
      <c r="AD28" s="19">
        <f t="shared" si="22"/>
        <v>1</v>
      </c>
      <c r="AE28" s="72">
        <f t="shared" si="23"/>
        <v>96</v>
      </c>
      <c r="AF28" s="22">
        <f t="shared" si="24"/>
        <v>0.25</v>
      </c>
      <c r="AG28" s="22">
        <f t="shared" si="25"/>
        <v>0.25</v>
      </c>
      <c r="AH28" s="22">
        <f t="shared" si="26"/>
        <v>0.125</v>
      </c>
      <c r="AI28" s="22">
        <f t="shared" si="27"/>
        <v>0.125</v>
      </c>
      <c r="AJ28" s="35">
        <f t="shared" si="28"/>
        <v>8.6579800230813589E-3</v>
      </c>
      <c r="AK28" s="35">
        <f t="shared" si="29"/>
        <v>7.9577471545947673E-2</v>
      </c>
      <c r="AL28" s="35">
        <f t="shared" si="2"/>
        <v>0.10606601717798211</v>
      </c>
      <c r="AM28" s="35">
        <f t="shared" si="3"/>
        <v>1.8888888888888888</v>
      </c>
      <c r="AN28" s="36">
        <f t="shared" si="4"/>
        <v>0.11771501189416245</v>
      </c>
      <c r="AO28" s="35">
        <f t="shared" si="5"/>
        <v>2.5310564441487354E-2</v>
      </c>
      <c r="AP28" s="35">
        <f t="shared" si="30"/>
        <v>7.9577471545947673E-2</v>
      </c>
      <c r="AQ28" s="35">
        <f t="shared" si="31"/>
        <v>2.9867788252338091E-2</v>
      </c>
      <c r="AR28" s="35">
        <f t="shared" si="32"/>
        <v>1.9696969696969697</v>
      </c>
      <c r="AS28" s="35">
        <f t="shared" si="33"/>
        <v>3.0770444674888649E-2</v>
      </c>
      <c r="AT28" s="35">
        <f t="shared" si="6"/>
        <v>7.1302159897055515E-3</v>
      </c>
      <c r="AU28" s="35">
        <f t="shared" si="7"/>
        <v>22.935838320361913</v>
      </c>
      <c r="AV28" s="35">
        <f t="shared" si="8"/>
        <v>9.719256745531144</v>
      </c>
      <c r="AW28" s="35">
        <f t="shared" si="34"/>
        <v>2.7380029400469317</v>
      </c>
      <c r="AX28" s="35">
        <f t="shared" si="35"/>
        <v>7.8236577815258709E-2</v>
      </c>
      <c r="AY28" s="74">
        <f t="shared" si="9"/>
        <v>78.236577815258713</v>
      </c>
      <c r="AZ28" s="35">
        <f t="shared" si="36"/>
        <v>7.7715000629823644E-2</v>
      </c>
      <c r="BA28" s="35">
        <f t="shared" si="37"/>
        <v>77.715000629823649</v>
      </c>
      <c r="BB28" s="35">
        <f t="shared" si="38"/>
        <v>7.8236577815258709E-2</v>
      </c>
      <c r="BC28" s="35">
        <f t="shared" si="39"/>
        <v>78.236577815258713</v>
      </c>
      <c r="BD28" s="44">
        <f t="shared" si="40"/>
        <v>85.777759830697292</v>
      </c>
      <c r="BE28" s="35">
        <f t="shared" si="10"/>
        <v>96</v>
      </c>
      <c r="BF28" s="35">
        <f t="shared" si="11"/>
        <v>7.5411820154385797E-3</v>
      </c>
      <c r="BG28" s="74">
        <f t="shared" si="41"/>
        <v>7.5411820154385794</v>
      </c>
      <c r="BH28" s="35">
        <f t="shared" si="12"/>
        <v>96</v>
      </c>
      <c r="BI28" s="36">
        <f t="shared" si="13"/>
        <v>3.7705910077192898E-3</v>
      </c>
      <c r="BJ28" s="73">
        <f t="shared" si="42"/>
        <v>3.7705910077192897</v>
      </c>
      <c r="BK28" s="42"/>
      <c r="BL28" s="30"/>
      <c r="BM28" s="30"/>
      <c r="BN28" s="30"/>
      <c r="BO28" s="42"/>
      <c r="BP28" s="30"/>
      <c r="BQ28" s="30"/>
      <c r="BR28" s="42"/>
      <c r="BS28" s="42"/>
      <c r="BT28" s="30"/>
      <c r="BU28" s="42"/>
      <c r="BV28" s="30"/>
      <c r="BW28" s="30"/>
      <c r="BX28" s="30"/>
    </row>
    <row r="29" spans="7:76" x14ac:dyDescent="0.25">
      <c r="M29" s="108"/>
      <c r="N29" s="108"/>
      <c r="O29" s="108"/>
      <c r="P29" s="108"/>
      <c r="Q29" s="43"/>
      <c r="R29" s="18">
        <v>26</v>
      </c>
      <c r="S29" s="20">
        <f t="shared" si="0"/>
        <v>2.6</v>
      </c>
      <c r="T29" s="20">
        <f t="shared" si="14"/>
        <v>2.6</v>
      </c>
      <c r="U29" s="21">
        <f t="shared" si="15"/>
        <v>1</v>
      </c>
      <c r="V29" s="22">
        <f t="shared" si="43"/>
        <v>16.097000000000001</v>
      </c>
      <c r="W29" s="22">
        <f t="shared" si="16"/>
        <v>100.09699999999999</v>
      </c>
      <c r="X29" s="22">
        <f t="shared" si="17"/>
        <v>116.19399999999999</v>
      </c>
      <c r="Y29" s="22">
        <f t="shared" si="1"/>
        <v>1.1221997046783601</v>
      </c>
      <c r="Z29" s="22">
        <f t="shared" si="18"/>
        <v>0.56109985233918003</v>
      </c>
      <c r="AA29" s="35">
        <f t="shared" si="19"/>
        <v>1.7627471740390857</v>
      </c>
      <c r="AB29" s="22">
        <f t="shared" si="20"/>
        <v>1.7627471740390857</v>
      </c>
      <c r="AC29" s="22">
        <f t="shared" si="21"/>
        <v>0.31830988618379069</v>
      </c>
      <c r="AD29" s="19">
        <f t="shared" si="22"/>
        <v>1</v>
      </c>
      <c r="AE29" s="72">
        <f t="shared" si="23"/>
        <v>88.757396449704132</v>
      </c>
      <c r="AF29" s="22">
        <f t="shared" si="24"/>
        <v>0.26</v>
      </c>
      <c r="AG29" s="22">
        <f t="shared" si="25"/>
        <v>0.26</v>
      </c>
      <c r="AH29" s="22">
        <f t="shared" si="26"/>
        <v>0.13</v>
      </c>
      <c r="AI29" s="22">
        <f t="shared" si="27"/>
        <v>0.13</v>
      </c>
      <c r="AJ29" s="35">
        <f t="shared" si="28"/>
        <v>9.5657549359138734E-3</v>
      </c>
      <c r="AK29" s="35">
        <f t="shared" si="29"/>
        <v>7.9577471545947673E-2</v>
      </c>
      <c r="AL29" s="35">
        <f t="shared" si="2"/>
        <v>0.1133893844692976</v>
      </c>
      <c r="AM29" s="35">
        <f t="shared" si="3"/>
        <v>1.8809020436927415</v>
      </c>
      <c r="AN29" s="36">
        <f t="shared" si="4"/>
        <v>0.12672396767315572</v>
      </c>
      <c r="AO29" s="35">
        <f t="shared" si="5"/>
        <v>2.7056204459385818E-2</v>
      </c>
      <c r="AP29" s="35">
        <f t="shared" si="30"/>
        <v>7.9577471545947673E-2</v>
      </c>
      <c r="AQ29" s="35">
        <f t="shared" si="31"/>
        <v>3.2190401911395425E-2</v>
      </c>
      <c r="AR29" s="35">
        <f t="shared" si="32"/>
        <v>1.9673050880247627</v>
      </c>
      <c r="AS29" s="35">
        <f t="shared" si="33"/>
        <v>3.3239803418095334E-2</v>
      </c>
      <c r="AT29" s="35">
        <f t="shared" si="6"/>
        <v>7.6846488017471336E-3</v>
      </c>
      <c r="AU29" s="35">
        <f t="shared" si="7"/>
        <v>21.651447730135526</v>
      </c>
      <c r="AV29" s="35">
        <f t="shared" si="8"/>
        <v>9.6057530625038403</v>
      </c>
      <c r="AW29" s="35">
        <f t="shared" si="34"/>
        <v>2.7282776810936564</v>
      </c>
      <c r="AX29" s="35">
        <f t="shared" si="35"/>
        <v>7.4208725711761486E-2</v>
      </c>
      <c r="AY29" s="74">
        <f t="shared" si="9"/>
        <v>74.208725711761488</v>
      </c>
      <c r="AZ29" s="35">
        <f t="shared" si="36"/>
        <v>7.3714000873683072E-2</v>
      </c>
      <c r="BA29" s="35">
        <f t="shared" si="37"/>
        <v>73.714000873683077</v>
      </c>
      <c r="BB29" s="35">
        <f t="shared" si="38"/>
        <v>7.4208725711761486E-2</v>
      </c>
      <c r="BC29" s="35">
        <f t="shared" si="39"/>
        <v>74.208725711761488</v>
      </c>
      <c r="BD29" s="44">
        <f t="shared" si="40"/>
        <v>81.459862265067812</v>
      </c>
      <c r="BE29" s="35">
        <f t="shared" si="10"/>
        <v>88.757396449704132</v>
      </c>
      <c r="BF29" s="35">
        <f t="shared" si="11"/>
        <v>7.2511365533063261E-3</v>
      </c>
      <c r="BG29" s="74">
        <f t="shared" si="41"/>
        <v>7.2511365533063259</v>
      </c>
      <c r="BH29" s="35">
        <f t="shared" si="12"/>
        <v>88.757396449704132</v>
      </c>
      <c r="BI29" s="36">
        <f t="shared" si="13"/>
        <v>3.6255682766531631E-3</v>
      </c>
      <c r="BJ29" s="73">
        <f t="shared" si="42"/>
        <v>3.6255682766531629</v>
      </c>
      <c r="BK29" s="42"/>
      <c r="BL29" s="30"/>
      <c r="BM29" s="30"/>
      <c r="BN29" s="30"/>
      <c r="BO29" s="42"/>
      <c r="BP29" s="30"/>
      <c r="BQ29" s="30"/>
      <c r="BR29" s="42"/>
      <c r="BS29" s="42"/>
      <c r="BT29" s="30"/>
      <c r="BU29" s="42"/>
      <c r="BV29" s="30"/>
      <c r="BW29" s="30"/>
      <c r="BX29" s="30"/>
    </row>
    <row r="30" spans="7:76" x14ac:dyDescent="0.25">
      <c r="P30" s="43"/>
      <c r="Q30" s="43"/>
      <c r="R30" s="18">
        <v>27</v>
      </c>
      <c r="S30" s="20">
        <f t="shared" si="0"/>
        <v>2.7</v>
      </c>
      <c r="T30" s="20">
        <f t="shared" ref="T30:T37" si="44">S30*$D$8</f>
        <v>2.7</v>
      </c>
      <c r="U30" s="21">
        <f t="shared" si="15"/>
        <v>1</v>
      </c>
      <c r="V30" s="22">
        <f t="shared" si="43"/>
        <v>16.097000000000001</v>
      </c>
      <c r="W30" s="22">
        <f t="shared" si="16"/>
        <v>100.09699999999999</v>
      </c>
      <c r="X30" s="22">
        <f t="shared" si="17"/>
        <v>116.19399999999999</v>
      </c>
      <c r="Y30" s="22">
        <f t="shared" si="1"/>
        <v>1.1221997046783601</v>
      </c>
      <c r="Z30" s="22">
        <f t="shared" si="18"/>
        <v>0.56109985233918003</v>
      </c>
      <c r="AA30" s="35">
        <f t="shared" ref="AA30:AA37" si="45">LN((SQRT(1+AD30 ^2)+AD30)/(SQRT(1+AD30 ^2)-AD30))</f>
        <v>1.7627471740390857</v>
      </c>
      <c r="AB30" s="22">
        <f t="shared" ref="AB30:AB37" si="46">AD30*LN((SQRT(1+AD30 ^2)+AD30)/(SQRT(1+AD30 ^2)-AD30))</f>
        <v>1.7627471740390857</v>
      </c>
      <c r="AC30" s="22">
        <f t="shared" si="21"/>
        <v>0.31830988618379069</v>
      </c>
      <c r="AD30" s="19">
        <f t="shared" si="22"/>
        <v>1</v>
      </c>
      <c r="AE30" s="72">
        <f t="shared" si="23"/>
        <v>82.304526748971185</v>
      </c>
      <c r="AF30" s="22">
        <f t="shared" si="24"/>
        <v>0.27</v>
      </c>
      <c r="AG30" s="22">
        <f t="shared" si="25"/>
        <v>0.27</v>
      </c>
      <c r="AH30" s="22">
        <f t="shared" si="26"/>
        <v>0.13500000000000001</v>
      </c>
      <c r="AI30" s="22">
        <f t="shared" si="27"/>
        <v>0.13500000000000001</v>
      </c>
      <c r="AJ30" s="35">
        <f t="shared" si="28"/>
        <v>1.0517327337309501E-2</v>
      </c>
      <c r="AK30" s="35">
        <f t="shared" si="29"/>
        <v>7.9577471545947673E-2</v>
      </c>
      <c r="AL30" s="35">
        <f t="shared" si="2"/>
        <v>0.12083253771395948</v>
      </c>
      <c r="AM30" s="35">
        <f t="shared" si="3"/>
        <v>1.8727526618956187</v>
      </c>
      <c r="AN30" s="36">
        <f t="shared" si="4"/>
        <v>0.13599815527474579</v>
      </c>
      <c r="AO30" s="35">
        <f t="shared" si="5"/>
        <v>2.8829932129185512E-2</v>
      </c>
      <c r="AP30" s="35">
        <f t="shared" si="30"/>
        <v>7.9577471545947673E-2</v>
      </c>
      <c r="AQ30" s="35">
        <f t="shared" si="31"/>
        <v>3.4586965866344133E-2</v>
      </c>
      <c r="AR30" s="35">
        <f t="shared" si="32"/>
        <v>1.9648318780452503</v>
      </c>
      <c r="AS30" s="35">
        <f t="shared" si="33"/>
        <v>3.5799500610578232E-2</v>
      </c>
      <c r="AT30" s="35">
        <f t="shared" si="6"/>
        <v>8.2567255808192064E-3</v>
      </c>
      <c r="AU30" s="35">
        <f t="shared" si="7"/>
        <v>20.498022172705689</v>
      </c>
      <c r="AV30" s="35">
        <f t="shared" si="8"/>
        <v>9.4913356803902911</v>
      </c>
      <c r="AW30" s="35">
        <f t="shared" si="34"/>
        <v>2.7182635657017959</v>
      </c>
      <c r="AX30" s="35">
        <f t="shared" si="35"/>
        <v>7.05594657224803E-2</v>
      </c>
      <c r="AY30" s="74">
        <f t="shared" si="9"/>
        <v>70.559465722480297</v>
      </c>
      <c r="AZ30" s="35">
        <f t="shared" si="36"/>
        <v>7.0089069284330424E-2</v>
      </c>
      <c r="BA30" s="35">
        <f t="shared" si="37"/>
        <v>70.089069284330421</v>
      </c>
      <c r="BB30" s="35">
        <f t="shared" si="38"/>
        <v>7.05594657224803E-2</v>
      </c>
      <c r="BC30" s="35">
        <f t="shared" si="39"/>
        <v>70.559465722480297</v>
      </c>
      <c r="BD30" s="44">
        <f t="shared" si="40"/>
        <v>77.542041662701209</v>
      </c>
      <c r="BE30" s="35">
        <f t="shared" si="10"/>
        <v>82.304526748971185</v>
      </c>
      <c r="BF30" s="35">
        <f t="shared" si="11"/>
        <v>6.9825759402209068E-3</v>
      </c>
      <c r="BG30" s="74">
        <f t="shared" si="41"/>
        <v>6.9825759402209071</v>
      </c>
      <c r="BH30" s="35">
        <f t="shared" si="12"/>
        <v>82.304526748971185</v>
      </c>
      <c r="BI30" s="36">
        <f t="shared" si="13"/>
        <v>3.4912879701104534E-3</v>
      </c>
      <c r="BJ30" s="73">
        <f t="shared" si="42"/>
        <v>3.4912879701104536</v>
      </c>
      <c r="BK30" s="42"/>
      <c r="BL30" s="30"/>
      <c r="BM30" s="30"/>
      <c r="BN30" s="30"/>
      <c r="BO30" s="42"/>
      <c r="BP30" s="30"/>
      <c r="BQ30" s="30"/>
      <c r="BR30" s="42"/>
      <c r="BS30" s="42"/>
      <c r="BT30" s="30"/>
      <c r="BU30" s="42"/>
      <c r="BV30" s="30"/>
      <c r="BW30" s="30"/>
      <c r="BX30" s="30"/>
    </row>
    <row r="31" spans="7:76" x14ac:dyDescent="0.25">
      <c r="P31" s="43"/>
      <c r="Q31" s="43"/>
      <c r="R31" s="18">
        <v>28</v>
      </c>
      <c r="S31" s="20">
        <f t="shared" si="0"/>
        <v>2.8000000000000003</v>
      </c>
      <c r="T31" s="20">
        <f t="shared" si="44"/>
        <v>2.8000000000000003</v>
      </c>
      <c r="U31" s="21">
        <f t="shared" si="15"/>
        <v>1</v>
      </c>
      <c r="V31" s="22">
        <f t="shared" si="43"/>
        <v>16.097000000000001</v>
      </c>
      <c r="W31" s="22">
        <f t="shared" si="16"/>
        <v>100.09699999999999</v>
      </c>
      <c r="X31" s="22">
        <f t="shared" si="17"/>
        <v>116.19399999999999</v>
      </c>
      <c r="Y31" s="22">
        <f t="shared" si="1"/>
        <v>1.1221997046783601</v>
      </c>
      <c r="Z31" s="22">
        <f t="shared" si="18"/>
        <v>0.56109985233918003</v>
      </c>
      <c r="AA31" s="35">
        <f t="shared" si="45"/>
        <v>1.7627471740390857</v>
      </c>
      <c r="AB31" s="22">
        <f t="shared" si="46"/>
        <v>1.7627471740390857</v>
      </c>
      <c r="AC31" s="22">
        <f t="shared" si="21"/>
        <v>0.31830988618379069</v>
      </c>
      <c r="AD31" s="19">
        <f t="shared" si="22"/>
        <v>1</v>
      </c>
      <c r="AE31" s="72">
        <f t="shared" si="23"/>
        <v>76.530612244897938</v>
      </c>
      <c r="AF31" s="22">
        <f t="shared" si="24"/>
        <v>0.28000000000000003</v>
      </c>
      <c r="AG31" s="22">
        <f t="shared" si="25"/>
        <v>0.28000000000000003</v>
      </c>
      <c r="AH31" s="22">
        <f t="shared" si="26"/>
        <v>0.14000000000000001</v>
      </c>
      <c r="AI31" s="22">
        <f t="shared" si="27"/>
        <v>0.14000000000000001</v>
      </c>
      <c r="AJ31" s="35">
        <f t="shared" si="28"/>
        <v>1.1511360993923801E-2</v>
      </c>
      <c r="AK31" s="35">
        <f t="shared" si="29"/>
        <v>7.9577471545947673E-2</v>
      </c>
      <c r="AL31" s="35">
        <f t="shared" si="2"/>
        <v>0.12838434169601731</v>
      </c>
      <c r="AM31" s="35">
        <f t="shared" si="3"/>
        <v>1.8644536652835408</v>
      </c>
      <c r="AN31" s="36">
        <f t="shared" si="4"/>
        <v>0.14552898082597387</v>
      </c>
      <c r="AO31" s="35">
        <f t="shared" si="5"/>
        <v>3.0629021622704686E-2</v>
      </c>
      <c r="AP31" s="35">
        <f t="shared" si="30"/>
        <v>7.9577471545947673E-2</v>
      </c>
      <c r="AQ31" s="35">
        <f t="shared" si="31"/>
        <v>3.7055762725896634E-2</v>
      </c>
      <c r="AR31" s="35">
        <f t="shared" si="32"/>
        <v>1.9622786759045423</v>
      </c>
      <c r="AS31" s="35">
        <f t="shared" si="33"/>
        <v>3.8448817849860692E-2</v>
      </c>
      <c r="AT31" s="35">
        <f t="shared" si="6"/>
        <v>8.8460347285352452E-3</v>
      </c>
      <c r="AU31" s="35">
        <f t="shared" si="7"/>
        <v>19.457251082620097</v>
      </c>
      <c r="AV31" s="35">
        <f t="shared" si="8"/>
        <v>9.3762311089912274</v>
      </c>
      <c r="AW31" s="35">
        <f t="shared" si="34"/>
        <v>2.7079698148577274</v>
      </c>
      <c r="AX31" s="35">
        <f t="shared" si="35"/>
        <v>6.7240100890490637E-2</v>
      </c>
      <c r="AY31" s="74">
        <f t="shared" si="9"/>
        <v>67.240100890490638</v>
      </c>
      <c r="AZ31" s="35">
        <f t="shared" si="36"/>
        <v>6.6791833551220703E-2</v>
      </c>
      <c r="BA31" s="35">
        <f t="shared" si="37"/>
        <v>66.791833551220705</v>
      </c>
      <c r="BB31" s="35">
        <f t="shared" si="38"/>
        <v>6.7240100890490637E-2</v>
      </c>
      <c r="BC31" s="35">
        <f t="shared" si="39"/>
        <v>67.240100890490638</v>
      </c>
      <c r="BD31" s="44">
        <f t="shared" si="40"/>
        <v>73.973299118560803</v>
      </c>
      <c r="BE31" s="35">
        <f t="shared" si="10"/>
        <v>76.530612244897938</v>
      </c>
      <c r="BF31" s="35">
        <f t="shared" si="11"/>
        <v>6.7331982280701592E-3</v>
      </c>
      <c r="BG31" s="74">
        <f t="shared" si="41"/>
        <v>6.733198228070159</v>
      </c>
      <c r="BH31" s="35">
        <f t="shared" si="12"/>
        <v>76.530612244897938</v>
      </c>
      <c r="BI31" s="36">
        <f t="shared" si="13"/>
        <v>3.3665991140350796E-3</v>
      </c>
      <c r="BJ31" s="73">
        <f t="shared" si="42"/>
        <v>3.3665991140350795</v>
      </c>
      <c r="BK31" s="42"/>
      <c r="BL31" s="30"/>
      <c r="BM31" s="30"/>
      <c r="BN31" s="30"/>
      <c r="BO31" s="42"/>
      <c r="BP31" s="30"/>
      <c r="BQ31" s="30"/>
      <c r="BR31" s="42"/>
      <c r="BS31" s="42"/>
      <c r="BT31" s="30"/>
      <c r="BU31" s="42"/>
      <c r="BV31" s="30"/>
      <c r="BW31" s="30"/>
      <c r="BX31" s="30"/>
    </row>
    <row r="32" spans="7:76" x14ac:dyDescent="0.25">
      <c r="P32" s="43"/>
      <c r="Q32" s="43"/>
      <c r="R32" s="18">
        <v>29</v>
      </c>
      <c r="S32" s="20">
        <f t="shared" si="0"/>
        <v>2.9000000000000004</v>
      </c>
      <c r="T32" s="20">
        <f t="shared" si="44"/>
        <v>2.9000000000000004</v>
      </c>
      <c r="U32" s="21">
        <f t="shared" si="15"/>
        <v>1</v>
      </c>
      <c r="V32" s="22">
        <f t="shared" si="43"/>
        <v>16.097000000000001</v>
      </c>
      <c r="W32" s="22">
        <f t="shared" si="16"/>
        <v>100.09699999999999</v>
      </c>
      <c r="X32" s="22">
        <f t="shared" si="17"/>
        <v>116.19399999999999</v>
      </c>
      <c r="Y32" s="22">
        <f t="shared" si="1"/>
        <v>1.1221997046783601</v>
      </c>
      <c r="Z32" s="22">
        <f t="shared" si="18"/>
        <v>0.56109985233918003</v>
      </c>
      <c r="AA32" s="35">
        <f t="shared" si="45"/>
        <v>1.7627471740390857</v>
      </c>
      <c r="AB32" s="22">
        <f t="shared" si="46"/>
        <v>1.7627471740390857</v>
      </c>
      <c r="AC32" s="22">
        <f t="shared" si="21"/>
        <v>0.31830988618379069</v>
      </c>
      <c r="AD32" s="19">
        <f t="shared" si="22"/>
        <v>1</v>
      </c>
      <c r="AE32" s="72">
        <f t="shared" si="23"/>
        <v>71.343638525564785</v>
      </c>
      <c r="AF32" s="22">
        <f t="shared" si="24"/>
        <v>0.29000000000000004</v>
      </c>
      <c r="AG32" s="22">
        <f t="shared" si="25"/>
        <v>0.29000000000000004</v>
      </c>
      <c r="AH32" s="22">
        <f t="shared" si="26"/>
        <v>0.14500000000000002</v>
      </c>
      <c r="AI32" s="22">
        <f t="shared" si="27"/>
        <v>0.14500000000000002</v>
      </c>
      <c r="AJ32" s="35">
        <f t="shared" si="28"/>
        <v>1.2546418791191841E-2</v>
      </c>
      <c r="AK32" s="35">
        <f t="shared" si="29"/>
        <v>7.9577471545947673E-2</v>
      </c>
      <c r="AL32" s="35">
        <f t="shared" si="2"/>
        <v>0.13603420580043865</v>
      </c>
      <c r="AM32" s="35">
        <f t="shared" si="3"/>
        <v>1.8560178051703475</v>
      </c>
      <c r="AN32" s="36">
        <f t="shared" si="4"/>
        <v>0.1553077793094888</v>
      </c>
      <c r="AO32" s="35">
        <f t="shared" si="5"/>
        <v>3.2450872244794579E-2</v>
      </c>
      <c r="AP32" s="35">
        <f t="shared" si="30"/>
        <v>7.9577471545947673E-2</v>
      </c>
      <c r="AQ32" s="35">
        <f t="shared" si="31"/>
        <v>3.9595053551636374E-2</v>
      </c>
      <c r="AR32" s="35">
        <f t="shared" si="32"/>
        <v>1.9596468499592152</v>
      </c>
      <c r="AS32" s="35">
        <f t="shared" si="33"/>
        <v>4.118701533172367E-2</v>
      </c>
      <c r="AT32" s="35">
        <f t="shared" si="6"/>
        <v>9.4521593340903976E-3</v>
      </c>
      <c r="AU32" s="35">
        <f t="shared" si="7"/>
        <v>18.513942844864143</v>
      </c>
      <c r="AV32" s="35">
        <f t="shared" si="8"/>
        <v>9.2606531970876294</v>
      </c>
      <c r="AW32" s="35">
        <f t="shared" si="34"/>
        <v>2.6974057552695538</v>
      </c>
      <c r="AX32" s="35">
        <f t="shared" si="35"/>
        <v>6.42095013471531E-2</v>
      </c>
      <c r="AY32" s="74">
        <f t="shared" si="9"/>
        <v>64.209501347153093</v>
      </c>
      <c r="AZ32" s="35">
        <f t="shared" si="36"/>
        <v>6.378143800483875E-2</v>
      </c>
      <c r="BA32" s="35">
        <f t="shared" si="37"/>
        <v>63.781438004838748</v>
      </c>
      <c r="BB32" s="35">
        <f t="shared" si="38"/>
        <v>6.42095013471531E-2</v>
      </c>
      <c r="BC32" s="35">
        <f t="shared" si="39"/>
        <v>64.209501347153093</v>
      </c>
      <c r="BD32" s="44">
        <f t="shared" si="40"/>
        <v>70.710520325979459</v>
      </c>
      <c r="BE32" s="35">
        <f t="shared" si="10"/>
        <v>71.343638525564785</v>
      </c>
      <c r="BF32" s="35">
        <f t="shared" si="11"/>
        <v>6.5010189788263601E-3</v>
      </c>
      <c r="BG32" s="74">
        <f t="shared" si="41"/>
        <v>6.5010189788263597</v>
      </c>
      <c r="BH32" s="35">
        <f t="shared" si="12"/>
        <v>71.343638525564785</v>
      </c>
      <c r="BI32" s="36">
        <f t="shared" si="13"/>
        <v>3.2505094894131801E-3</v>
      </c>
      <c r="BJ32" s="73">
        <f t="shared" si="42"/>
        <v>3.2505094894131799</v>
      </c>
      <c r="BK32" s="42"/>
      <c r="BL32" s="30"/>
      <c r="BM32" s="30"/>
      <c r="BN32" s="30"/>
      <c r="BO32" s="42"/>
      <c r="BP32" s="30"/>
      <c r="BQ32" s="30"/>
      <c r="BR32" s="42"/>
      <c r="BS32" s="42"/>
      <c r="BT32" s="30"/>
      <c r="BU32" s="42"/>
      <c r="BV32" s="30"/>
      <c r="BW32" s="30"/>
      <c r="BX32" s="30"/>
    </row>
    <row r="33" spans="16:76" x14ac:dyDescent="0.25">
      <c r="P33" s="43"/>
      <c r="Q33" s="43"/>
      <c r="R33" s="18">
        <v>30</v>
      </c>
      <c r="S33" s="20">
        <f t="shared" si="0"/>
        <v>3</v>
      </c>
      <c r="T33" s="20">
        <f t="shared" si="44"/>
        <v>3</v>
      </c>
      <c r="U33" s="21">
        <f t="shared" si="15"/>
        <v>1</v>
      </c>
      <c r="V33" s="22">
        <f t="shared" si="43"/>
        <v>16.097000000000001</v>
      </c>
      <c r="W33" s="22">
        <f t="shared" si="16"/>
        <v>100.09699999999999</v>
      </c>
      <c r="X33" s="22">
        <f t="shared" si="17"/>
        <v>116.19399999999999</v>
      </c>
      <c r="Y33" s="22">
        <f t="shared" si="1"/>
        <v>1.1221997046783601</v>
      </c>
      <c r="Z33" s="22">
        <f t="shared" si="18"/>
        <v>0.56109985233918003</v>
      </c>
      <c r="AA33" s="35">
        <f t="shared" si="45"/>
        <v>1.7627471740390857</v>
      </c>
      <c r="AB33" s="22">
        <f t="shared" si="46"/>
        <v>1.7627471740390857</v>
      </c>
      <c r="AC33" s="22">
        <f t="shared" si="21"/>
        <v>0.31830988618379069</v>
      </c>
      <c r="AD33" s="19">
        <f t="shared" si="22"/>
        <v>1</v>
      </c>
      <c r="AE33" s="72">
        <f t="shared" si="23"/>
        <v>66.666666666666671</v>
      </c>
      <c r="AF33" s="22">
        <f t="shared" si="24"/>
        <v>0.3</v>
      </c>
      <c r="AG33" s="22">
        <f t="shared" si="25"/>
        <v>0.3</v>
      </c>
      <c r="AH33" s="22">
        <f t="shared" si="26"/>
        <v>0.15</v>
      </c>
      <c r="AI33" s="22">
        <f t="shared" si="27"/>
        <v>0.15</v>
      </c>
      <c r="AJ33" s="35">
        <f t="shared" si="28"/>
        <v>1.3620980797650386E-2</v>
      </c>
      <c r="AK33" s="35">
        <f t="shared" si="29"/>
        <v>7.9577471545947673E-2</v>
      </c>
      <c r="AL33" s="35">
        <f t="shared" si="2"/>
        <v>0.1437720947364734</v>
      </c>
      <c r="AM33" s="35">
        <f t="shared" si="3"/>
        <v>1.8474576271186443</v>
      </c>
      <c r="AN33" s="36">
        <f t="shared" si="4"/>
        <v>0.1653258332785382</v>
      </c>
      <c r="AO33" s="35">
        <f t="shared" si="5"/>
        <v>3.4293011044401397E-2</v>
      </c>
      <c r="AP33" s="35">
        <f t="shared" si="30"/>
        <v>7.9577471545947673E-2</v>
      </c>
      <c r="AQ33" s="35">
        <f t="shared" si="31"/>
        <v>4.2203081353749512E-2</v>
      </c>
      <c r="AR33" s="35">
        <f t="shared" si="32"/>
        <v>1.9569377990430623</v>
      </c>
      <c r="AS33" s="35">
        <f>ATAN((2*AH33*AI33*SQRT(AH33^2+AI33^2+1)/(AH33^2+AI33^2+1-AH33^2*AI33^2)))</f>
        <v>4.4013332425835279E-2</v>
      </c>
      <c r="AT33" s="35">
        <f t="shared" si="6"/>
        <v>1.0074677999581925E-2</v>
      </c>
      <c r="AU33" s="35">
        <f t="shared" si="7"/>
        <v>17.655409874541668</v>
      </c>
      <c r="AV33" s="35">
        <f t="shared" si="8"/>
        <v>9.1448029451737067</v>
      </c>
      <c r="AW33" s="35">
        <f t="shared" si="34"/>
        <v>2.6865807998885134</v>
      </c>
      <c r="AX33" s="35">
        <f t="shared" si="35"/>
        <v>6.1432758145452682E-2</v>
      </c>
      <c r="AY33" s="74">
        <f t="shared" si="9"/>
        <v>61.432758145452681</v>
      </c>
      <c r="AZ33" s="35">
        <f t="shared" si="36"/>
        <v>6.1023206424482994E-2</v>
      </c>
      <c r="BA33" s="35">
        <f t="shared" si="37"/>
        <v>61.023206424482993</v>
      </c>
      <c r="BB33" s="35">
        <f t="shared" si="38"/>
        <v>6.1432758145452682E-2</v>
      </c>
      <c r="BC33" s="35">
        <f t="shared" si="39"/>
        <v>61.432758145452681</v>
      </c>
      <c r="BD33" s="44">
        <f t="shared" si="40"/>
        <v>67.717076491651497</v>
      </c>
      <c r="BE33" s="54">
        <f t="shared" si="10"/>
        <v>66.666666666666671</v>
      </c>
      <c r="BF33" s="35">
        <f t="shared" si="11"/>
        <v>6.2843183461988158E-3</v>
      </c>
      <c r="BG33" s="74">
        <f>BF33*1000</f>
        <v>6.2843183461988161</v>
      </c>
      <c r="BH33" s="35">
        <f t="shared" si="12"/>
        <v>66.666666666666671</v>
      </c>
      <c r="BI33" s="36">
        <f t="shared" si="13"/>
        <v>3.1421591730994079E-3</v>
      </c>
      <c r="BJ33" s="73">
        <f t="shared" si="42"/>
        <v>3.1421591730994081</v>
      </c>
      <c r="BK33" s="42"/>
      <c r="BL33" s="30"/>
      <c r="BM33" s="30"/>
      <c r="BN33" s="30"/>
      <c r="BO33" s="42"/>
      <c r="BP33" s="30"/>
      <c r="BQ33" s="30"/>
      <c r="BR33" s="42"/>
      <c r="BS33" s="42"/>
      <c r="BT33" s="30"/>
      <c r="BU33" s="42"/>
      <c r="BV33" s="30"/>
      <c r="BW33" s="30"/>
      <c r="BX33" s="30"/>
    </row>
    <row r="34" spans="16:76" x14ac:dyDescent="0.25">
      <c r="P34" s="43"/>
      <c r="Q34" s="43"/>
      <c r="R34" s="18">
        <v>31</v>
      </c>
      <c r="S34" s="20">
        <f t="shared" si="0"/>
        <v>3.1</v>
      </c>
      <c r="T34" s="20">
        <f t="shared" si="44"/>
        <v>3.1</v>
      </c>
      <c r="U34" s="21">
        <f t="shared" si="15"/>
        <v>1</v>
      </c>
      <c r="V34" s="22">
        <f t="shared" si="43"/>
        <v>16.097000000000001</v>
      </c>
      <c r="W34" s="22">
        <f t="shared" si="16"/>
        <v>100.09699999999999</v>
      </c>
      <c r="X34" s="22">
        <f t="shared" si="17"/>
        <v>116.19399999999999</v>
      </c>
      <c r="Y34" s="22">
        <f t="shared" si="1"/>
        <v>1.1221997046783601</v>
      </c>
      <c r="Z34" s="22">
        <f t="shared" si="18"/>
        <v>0.56109985233918003</v>
      </c>
      <c r="AA34" s="35">
        <f t="shared" si="45"/>
        <v>1.7627471740390857</v>
      </c>
      <c r="AB34" s="22">
        <f t="shared" si="46"/>
        <v>1.7627471740390857</v>
      </c>
      <c r="AC34" s="22">
        <f t="shared" si="21"/>
        <v>0.31830988618379069</v>
      </c>
      <c r="AD34" s="19">
        <f t="shared" si="22"/>
        <v>1</v>
      </c>
      <c r="AE34" s="72">
        <f t="shared" si="23"/>
        <v>62.43496357960457</v>
      </c>
      <c r="AF34" s="22">
        <f t="shared" si="24"/>
        <v>0.31</v>
      </c>
      <c r="AG34" s="22">
        <f t="shared" si="25"/>
        <v>0.31</v>
      </c>
      <c r="AH34" s="22">
        <f t="shared" si="26"/>
        <v>0.155</v>
      </c>
      <c r="AI34" s="22">
        <f t="shared" si="27"/>
        <v>0.155</v>
      </c>
      <c r="AJ34" s="35">
        <f t="shared" si="28"/>
        <v>1.4733461406005861E-2</v>
      </c>
      <c r="AK34" s="35">
        <f t="shared" si="29"/>
        <v>7.9577471545947673E-2</v>
      </c>
      <c r="AL34" s="35">
        <f t="shared" si="2"/>
        <v>0.15158853347799489</v>
      </c>
      <c r="AM34" s="35">
        <f t="shared" si="3"/>
        <v>1.8387854386847846</v>
      </c>
      <c r="AN34" s="36">
        <f t="shared" si="4"/>
        <v>0.17557439098668029</v>
      </c>
      <c r="AO34" s="35">
        <f t="shared" si="5"/>
        <v>3.6153094076221956E-2</v>
      </c>
      <c r="AP34" s="35">
        <f t="shared" si="30"/>
        <v>7.9577471545947673E-2</v>
      </c>
      <c r="AQ34" s="35">
        <f t="shared" si="31"/>
        <v>4.487807452345291E-2</v>
      </c>
      <c r="AR34" s="35">
        <f t="shared" si="32"/>
        <v>1.9541529507180002</v>
      </c>
      <c r="AS34" s="35">
        <f t="shared" si="33"/>
        <v>4.6926988262440482E-2</v>
      </c>
      <c r="AT34" s="35">
        <f t="shared" si="6"/>
        <v>1.071316565032358E-2</v>
      </c>
      <c r="AU34" s="35">
        <f t="shared" si="7"/>
        <v>16.87099029990474</v>
      </c>
      <c r="AV34" s="35">
        <f t="shared" si="8"/>
        <v>9.0288684477557428</v>
      </c>
      <c r="AW34" s="35">
        <f t="shared" si="34"/>
        <v>2.6755044288008936</v>
      </c>
      <c r="AX34" s="35">
        <f t="shared" si="35"/>
        <v>5.8880104011335588E-2</v>
      </c>
      <c r="AY34" s="74">
        <f t="shared" si="9"/>
        <v>58.88010401133559</v>
      </c>
      <c r="AZ34" s="35">
        <f t="shared" si="36"/>
        <v>5.8487569984593347E-2</v>
      </c>
      <c r="BA34" s="35">
        <f t="shared" si="37"/>
        <v>58.48756998459335</v>
      </c>
      <c r="BB34" s="35">
        <f t="shared" si="38"/>
        <v>5.8880104011335588E-2</v>
      </c>
      <c r="BC34" s="35">
        <f t="shared" si="39"/>
        <v>58.88010401133559</v>
      </c>
      <c r="BD34" s="44">
        <f t="shared" si="40"/>
        <v>64.961702410882836</v>
      </c>
      <c r="BE34" s="35">
        <f t="shared" si="10"/>
        <v>62.43496357960457</v>
      </c>
      <c r="BF34" s="35">
        <f t="shared" si="11"/>
        <v>6.0815983995472405E-3</v>
      </c>
      <c r="BG34" s="74">
        <f t="shared" si="41"/>
        <v>6.0815983995472402</v>
      </c>
      <c r="BH34" s="35">
        <f t="shared" si="12"/>
        <v>62.43496357960457</v>
      </c>
      <c r="BI34" s="36">
        <f t="shared" si="13"/>
        <v>3.0407991997736202E-3</v>
      </c>
      <c r="BJ34" s="73">
        <f t="shared" si="42"/>
        <v>3.0407991997736201</v>
      </c>
      <c r="BK34" s="42"/>
      <c r="BL34" s="30"/>
      <c r="BM34" s="30"/>
      <c r="BN34" s="30"/>
      <c r="BO34" s="42"/>
      <c r="BP34" s="30"/>
      <c r="BQ34" s="30"/>
      <c r="BR34" s="42"/>
      <c r="BS34" s="42"/>
      <c r="BT34" s="30"/>
      <c r="BU34" s="42"/>
      <c r="BV34" s="30"/>
      <c r="BW34" s="30"/>
      <c r="BX34" s="30"/>
    </row>
    <row r="35" spans="16:76" x14ac:dyDescent="0.25">
      <c r="P35" s="43"/>
      <c r="Q35" s="43"/>
      <c r="R35" s="18">
        <v>32</v>
      </c>
      <c r="S35" s="20">
        <f t="shared" si="0"/>
        <v>3.2</v>
      </c>
      <c r="T35" s="20">
        <f t="shared" si="44"/>
        <v>3.2</v>
      </c>
      <c r="U35" s="21">
        <f t="shared" si="15"/>
        <v>1</v>
      </c>
      <c r="V35" s="22">
        <f t="shared" si="43"/>
        <v>16.097000000000001</v>
      </c>
      <c r="W35" s="22">
        <f t="shared" si="16"/>
        <v>100.09699999999999</v>
      </c>
      <c r="X35" s="22">
        <f t="shared" si="17"/>
        <v>116.19399999999999</v>
      </c>
      <c r="Y35" s="22">
        <f t="shared" si="1"/>
        <v>1.1221997046783601</v>
      </c>
      <c r="Z35" s="22">
        <f t="shared" si="18"/>
        <v>0.56109985233918003</v>
      </c>
      <c r="AA35" s="35">
        <f t="shared" si="45"/>
        <v>1.7627471740390857</v>
      </c>
      <c r="AB35" s="22">
        <f t="shared" si="46"/>
        <v>1.7627471740390857</v>
      </c>
      <c r="AC35" s="22">
        <f t="shared" si="21"/>
        <v>0.31830988618379069</v>
      </c>
      <c r="AD35" s="19">
        <f t="shared" si="22"/>
        <v>1</v>
      </c>
      <c r="AE35" s="72">
        <f t="shared" si="23"/>
        <v>58.593749999999986</v>
      </c>
      <c r="AF35" s="22">
        <f t="shared" si="24"/>
        <v>0.32</v>
      </c>
      <c r="AG35" s="22">
        <f t="shared" si="25"/>
        <v>0.32</v>
      </c>
      <c r="AH35" s="22">
        <f t="shared" si="26"/>
        <v>0.16</v>
      </c>
      <c r="AI35" s="22">
        <f t="shared" si="27"/>
        <v>0.16</v>
      </c>
      <c r="AJ35" s="35">
        <f t="shared" si="28"/>
        <v>1.588222543275292E-2</v>
      </c>
      <c r="AK35" s="35">
        <f t="shared" si="29"/>
        <v>7.9577471545947673E-2</v>
      </c>
      <c r="AL35" s="35">
        <f t="shared" si="2"/>
        <v>0.15947460703324107</v>
      </c>
      <c r="AM35" s="35">
        <f t="shared" si="3"/>
        <v>1.8300132802124833</v>
      </c>
      <c r="AN35" s="36">
        <f t="shared" si="4"/>
        <v>0.18604468388166356</v>
      </c>
      <c r="AO35" s="35">
        <f t="shared" si="5"/>
        <v>3.8028906457931312E-2</v>
      </c>
      <c r="AP35" s="35">
        <f t="shared" si="30"/>
        <v>7.9577471545947673E-2</v>
      </c>
      <c r="AQ35" s="35">
        <f t="shared" si="31"/>
        <v>4.7618250191610041E-2</v>
      </c>
      <c r="AR35" s="35">
        <f t="shared" si="32"/>
        <v>1.9512937595129378</v>
      </c>
      <c r="AS35" s="35">
        <f t="shared" si="33"/>
        <v>4.9927182329234127E-2</v>
      </c>
      <c r="AT35" s="35">
        <f t="shared" si="6"/>
        <v>1.1367194327678435E-2</v>
      </c>
      <c r="AU35" s="35">
        <f t="shared" si="7"/>
        <v>16.151672662476702</v>
      </c>
      <c r="AV35" s="35">
        <f t="shared" si="8"/>
        <v>8.9130249510776487</v>
      </c>
      <c r="AW35" s="35">
        <f t="shared" si="34"/>
        <v>2.6641861705496326</v>
      </c>
      <c r="AX35" s="35">
        <f t="shared" si="35"/>
        <v>5.652604300972635E-2</v>
      </c>
      <c r="AY35" s="74">
        <f t="shared" si="9"/>
        <v>56.526043009726351</v>
      </c>
      <c r="AZ35" s="35">
        <f t="shared" si="36"/>
        <v>5.614920272299484E-2</v>
      </c>
      <c r="BA35" s="35">
        <f t="shared" si="37"/>
        <v>56.149202722994843</v>
      </c>
      <c r="BB35" s="35">
        <f t="shared" si="38"/>
        <v>5.652604300972635E-2</v>
      </c>
      <c r="BC35" s="35">
        <f t="shared" si="39"/>
        <v>56.526043009726351</v>
      </c>
      <c r="BD35" s="44">
        <f t="shared" si="40"/>
        <v>62.417591459287742</v>
      </c>
      <c r="BE35" s="35">
        <f t="shared" si="10"/>
        <v>58.593749999999986</v>
      </c>
      <c r="BF35" s="35">
        <f t="shared" si="11"/>
        <v>5.8915484495613898E-3</v>
      </c>
      <c r="BG35" s="74">
        <f t="shared" si="41"/>
        <v>5.8915484495613901</v>
      </c>
      <c r="BH35" s="35">
        <f t="shared" si="12"/>
        <v>58.593749999999986</v>
      </c>
      <c r="BI35" s="36">
        <f t="shared" si="13"/>
        <v>2.9457742247806949E-3</v>
      </c>
      <c r="BJ35" s="73">
        <f t="shared" si="42"/>
        <v>2.9457742247806951</v>
      </c>
      <c r="BK35" s="42"/>
      <c r="BL35" s="30"/>
      <c r="BM35" s="30"/>
      <c r="BN35" s="30"/>
      <c r="BO35" s="42"/>
      <c r="BP35" s="30"/>
      <c r="BQ35" s="30"/>
      <c r="BR35" s="42"/>
      <c r="BS35" s="42"/>
      <c r="BT35" s="30"/>
      <c r="BU35" s="42"/>
      <c r="BV35" s="30"/>
      <c r="BW35" s="30"/>
      <c r="BX35" s="30"/>
    </row>
    <row r="36" spans="16:76" x14ac:dyDescent="0.25">
      <c r="P36" s="43"/>
      <c r="Q36" s="43"/>
      <c r="R36" s="18">
        <v>33</v>
      </c>
      <c r="S36" s="20">
        <f t="shared" si="0"/>
        <v>3.3000000000000003</v>
      </c>
      <c r="T36" s="20">
        <f t="shared" si="44"/>
        <v>3.3000000000000003</v>
      </c>
      <c r="U36" s="21">
        <f t="shared" si="15"/>
        <v>1</v>
      </c>
      <c r="V36" s="22">
        <f t="shared" si="43"/>
        <v>16.097000000000001</v>
      </c>
      <c r="W36" s="22">
        <f t="shared" si="16"/>
        <v>100.09699999999999</v>
      </c>
      <c r="X36" s="22">
        <f t="shared" si="17"/>
        <v>116.19399999999999</v>
      </c>
      <c r="Y36" s="22">
        <f t="shared" si="1"/>
        <v>1.1221997046783601</v>
      </c>
      <c r="Z36" s="22">
        <f t="shared" si="18"/>
        <v>0.56109985233918003</v>
      </c>
      <c r="AA36" s="35">
        <f t="shared" si="45"/>
        <v>1.7627471740390857</v>
      </c>
      <c r="AB36" s="22">
        <f t="shared" si="46"/>
        <v>1.7627471740390857</v>
      </c>
      <c r="AC36" s="22">
        <f t="shared" si="21"/>
        <v>0.31830988618379069</v>
      </c>
      <c r="AD36" s="19">
        <f t="shared" si="22"/>
        <v>1</v>
      </c>
      <c r="AE36" s="72">
        <f t="shared" si="23"/>
        <v>55.096418732782354</v>
      </c>
      <c r="AF36" s="22">
        <f t="shared" si="24"/>
        <v>0.33</v>
      </c>
      <c r="AG36" s="22">
        <f t="shared" si="25"/>
        <v>0.33</v>
      </c>
      <c r="AH36" s="22">
        <f t="shared" si="26"/>
        <v>0.16500000000000001</v>
      </c>
      <c r="AI36" s="22">
        <f t="shared" si="27"/>
        <v>0.16500000000000001</v>
      </c>
      <c r="AJ36" s="35">
        <f t="shared" si="28"/>
        <v>1.706560309030539E-2</v>
      </c>
      <c r="AK36" s="35">
        <f t="shared" si="29"/>
        <v>7.9577471545947673E-2</v>
      </c>
      <c r="AL36" s="35">
        <f t="shared" si="2"/>
        <v>0.16742195565646331</v>
      </c>
      <c r="AM36" s="35">
        <f t="shared" si="3"/>
        <v>1.8211528986697323</v>
      </c>
      <c r="AN36" s="36">
        <f t="shared" si="4"/>
        <v>0.19672794341966071</v>
      </c>
      <c r="AO36" s="35">
        <f t="shared" si="5"/>
        <v>3.9918361367695908E-2</v>
      </c>
      <c r="AP36" s="35">
        <f t="shared" si="30"/>
        <v>7.9577471545947673E-2</v>
      </c>
      <c r="AQ36" s="35">
        <f t="shared" si="31"/>
        <v>5.0421817503840873E-2</v>
      </c>
      <c r="AR36" s="35">
        <f t="shared" si="32"/>
        <v>1.9483617051543458</v>
      </c>
      <c r="AS36" s="35">
        <f t="shared" si="33"/>
        <v>5.3013095077538389E-2</v>
      </c>
      <c r="AT36" s="35">
        <f t="shared" si="6"/>
        <v>1.2036333962128352E-2</v>
      </c>
      <c r="AU36" s="35">
        <f t="shared" si="7"/>
        <v>15.489799060896672</v>
      </c>
      <c r="AV36" s="35">
        <f t="shared" si="8"/>
        <v>8.7974350121643852</v>
      </c>
      <c r="AW36" s="35">
        <f t="shared" si="34"/>
        <v>2.6526355839401319</v>
      </c>
      <c r="AX36" s="35">
        <f t="shared" si="35"/>
        <v>5.4348644758461559E-2</v>
      </c>
      <c r="AY36" s="74">
        <f t="shared" si="9"/>
        <v>54.34864475846156</v>
      </c>
      <c r="AZ36" s="35">
        <f t="shared" si="36"/>
        <v>5.3986320460071811E-2</v>
      </c>
      <c r="BA36" s="35">
        <f t="shared" si="37"/>
        <v>53.986320460071809</v>
      </c>
      <c r="BB36" s="35">
        <f t="shared" si="38"/>
        <v>5.4348644758461559E-2</v>
      </c>
      <c r="BC36" s="35">
        <f t="shared" si="39"/>
        <v>54.34864475846156</v>
      </c>
      <c r="BD36" s="44">
        <f t="shared" si="40"/>
        <v>60.061661436824117</v>
      </c>
      <c r="BE36" s="35">
        <f t="shared" si="10"/>
        <v>55.096418732782354</v>
      </c>
      <c r="BF36" s="35">
        <f t="shared" si="11"/>
        <v>5.7130166783625593E-3</v>
      </c>
      <c r="BG36" s="74">
        <f t="shared" si="41"/>
        <v>5.7130166783625596</v>
      </c>
      <c r="BH36" s="35">
        <f t="shared" si="12"/>
        <v>55.096418732782354</v>
      </c>
      <c r="BI36" s="36">
        <f t="shared" si="13"/>
        <v>2.8565083391812796E-3</v>
      </c>
      <c r="BJ36" s="73">
        <f t="shared" si="42"/>
        <v>2.8565083391812798</v>
      </c>
      <c r="BK36" s="42"/>
      <c r="BL36" s="30"/>
      <c r="BM36" s="30"/>
      <c r="BN36" s="30"/>
      <c r="BO36" s="42"/>
      <c r="BP36" s="30"/>
      <c r="BQ36" s="30"/>
      <c r="BR36" s="42"/>
      <c r="BS36" s="42"/>
      <c r="BT36" s="30"/>
      <c r="BU36" s="42"/>
      <c r="BV36" s="30"/>
      <c r="BW36" s="30"/>
      <c r="BX36" s="30"/>
    </row>
    <row r="37" spans="16:76" x14ac:dyDescent="0.25">
      <c r="P37" s="43"/>
      <c r="Q37" s="43"/>
      <c r="R37" s="18">
        <v>34</v>
      </c>
      <c r="S37" s="20">
        <f t="shared" si="0"/>
        <v>3.4000000000000004</v>
      </c>
      <c r="T37" s="20">
        <f t="shared" si="44"/>
        <v>3.4000000000000004</v>
      </c>
      <c r="U37" s="21">
        <f t="shared" si="15"/>
        <v>1</v>
      </c>
      <c r="V37" s="22">
        <f t="shared" si="43"/>
        <v>16.097000000000001</v>
      </c>
      <c r="W37" s="22">
        <f t="shared" si="16"/>
        <v>100.09699999999999</v>
      </c>
      <c r="X37" s="22">
        <f t="shared" si="17"/>
        <v>116.19399999999999</v>
      </c>
      <c r="Y37" s="22">
        <f t="shared" si="1"/>
        <v>1.1221997046783601</v>
      </c>
      <c r="Z37" s="22">
        <f t="shared" si="18"/>
        <v>0.56109985233918003</v>
      </c>
      <c r="AA37" s="35">
        <f t="shared" si="45"/>
        <v>1.7627471740390857</v>
      </c>
      <c r="AB37" s="22">
        <f t="shared" si="46"/>
        <v>1.7627471740390857</v>
      </c>
      <c r="AC37" s="22">
        <f t="shared" si="21"/>
        <v>0.31830988618379069</v>
      </c>
      <c r="AD37" s="19">
        <f t="shared" si="22"/>
        <v>1</v>
      </c>
      <c r="AE37" s="72">
        <f t="shared" si="23"/>
        <v>51.903114186851198</v>
      </c>
      <c r="AF37" s="22">
        <f t="shared" si="24"/>
        <v>0.34</v>
      </c>
      <c r="AG37" s="22">
        <f t="shared" si="25"/>
        <v>0.34</v>
      </c>
      <c r="AH37" s="22">
        <f t="shared" si="26"/>
        <v>0.17</v>
      </c>
      <c r="AI37" s="22">
        <f t="shared" si="27"/>
        <v>0.17</v>
      </c>
      <c r="AJ37" s="35">
        <f t="shared" si="28"/>
        <v>1.8281903774929668E-2</v>
      </c>
      <c r="AK37" s="35">
        <f t="shared" si="29"/>
        <v>7.9577471545947673E-2</v>
      </c>
      <c r="AL37" s="35">
        <f t="shared" si="2"/>
        <v>0.17542276610199464</v>
      </c>
      <c r="AM37" s="35">
        <f t="shared" si="3"/>
        <v>1.8122157244964261</v>
      </c>
      <c r="AN37" s="36">
        <f t="shared" si="4"/>
        <v>0.20761541716266083</v>
      </c>
      <c r="AO37" s="35">
        <f t="shared" si="5"/>
        <v>4.1819498123576014E-2</v>
      </c>
      <c r="AP37" s="35">
        <f t="shared" si="30"/>
        <v>7.9577471545947673E-2</v>
      </c>
      <c r="AQ37" s="35">
        <f t="shared" si="31"/>
        <v>5.3286980803269476E-2</v>
      </c>
      <c r="AR37" s="35">
        <f t="shared" si="32"/>
        <v>1.94535829079221</v>
      </c>
      <c r="AS37" s="35">
        <f t="shared" si="33"/>
        <v>5.6183888536904335E-2</v>
      </c>
      <c r="AT37" s="35">
        <f t="shared" si="6"/>
        <v>1.2720153124497147E-2</v>
      </c>
      <c r="AU37" s="35">
        <f t="shared" si="7"/>
        <v>14.878828568124606</v>
      </c>
      <c r="AV37" s="35">
        <f t="shared" si="8"/>
        <v>8.682248745379102</v>
      </c>
      <c r="AW37" s="35">
        <f t="shared" si="34"/>
        <v>2.6408622403800299</v>
      </c>
      <c r="AX37" s="35">
        <f t="shared" si="35"/>
        <v>5.2328969028718787E-2</v>
      </c>
      <c r="AY37" s="74">
        <f t="shared" si="9"/>
        <v>52.328969028718788</v>
      </c>
      <c r="AZ37" s="35">
        <f t="shared" si="36"/>
        <v>5.1980109235193993E-2</v>
      </c>
      <c r="BA37" s="35">
        <f t="shared" si="37"/>
        <v>51.980109235193993</v>
      </c>
      <c r="BB37" s="35">
        <f t="shared" si="38"/>
        <v>5.2328969028718787E-2</v>
      </c>
      <c r="BC37" s="35">
        <f t="shared" si="39"/>
        <v>52.328969028718788</v>
      </c>
      <c r="BD37" s="44">
        <f t="shared" si="40"/>
        <v>57.873955804776564</v>
      </c>
      <c r="BE37" s="35">
        <f t="shared" si="10"/>
        <v>51.903114186851198</v>
      </c>
      <c r="BF37" s="35">
        <f t="shared" si="11"/>
        <v>5.5449867760577779E-3</v>
      </c>
      <c r="BG37" s="74">
        <f t="shared" si="41"/>
        <v>5.5449867760577778</v>
      </c>
      <c r="BH37" s="35">
        <f t="shared" si="12"/>
        <v>51.903114186851198</v>
      </c>
      <c r="BI37" s="36">
        <f t="shared" si="13"/>
        <v>2.772493388028889E-3</v>
      </c>
      <c r="BJ37" s="73">
        <f t="shared" si="42"/>
        <v>2.7724933880288889</v>
      </c>
      <c r="BK37" s="42"/>
      <c r="BL37" s="30"/>
      <c r="BM37" s="30"/>
      <c r="BN37" s="30"/>
      <c r="BO37" s="42"/>
      <c r="BP37" s="30"/>
      <c r="BQ37" s="30"/>
      <c r="BR37" s="42"/>
      <c r="BS37" s="42"/>
      <c r="BT37" s="30"/>
      <c r="BU37" s="42"/>
      <c r="BV37" s="30"/>
      <c r="BW37" s="30"/>
      <c r="BX37" s="30"/>
    </row>
    <row r="38" spans="16:76" x14ac:dyDescent="0.25">
      <c r="P38" s="43"/>
      <c r="Q38" s="43"/>
      <c r="R38" s="18">
        <v>35</v>
      </c>
      <c r="S38" s="20">
        <f t="shared" si="0"/>
        <v>3.5</v>
      </c>
      <c r="T38" s="20">
        <f t="shared" ref="T38" si="47">S38*$D$8</f>
        <v>3.5</v>
      </c>
      <c r="U38" s="21">
        <f t="shared" si="15"/>
        <v>1</v>
      </c>
      <c r="V38" s="22">
        <f t="shared" si="43"/>
        <v>16.097000000000001</v>
      </c>
      <c r="W38" s="22">
        <f t="shared" si="16"/>
        <v>100.09699999999999</v>
      </c>
      <c r="X38" s="22">
        <f t="shared" ref="X38" si="48">V38+W38</f>
        <v>116.19399999999999</v>
      </c>
      <c r="Y38" s="22">
        <f t="shared" ref="Y38" si="49">(1/PI())*(LN((SQRT(1+AD38 ^2)+AD38)/(SQRT(1+AD38 ^2)-AD38))+(AD38*LN((SQRT(1+AD38 ^2)+1)/(SQRT(1+AD38 ^2)-1))))</f>
        <v>1.1221997046783601</v>
      </c>
      <c r="Z38" s="22">
        <f t="shared" si="18"/>
        <v>0.56109985233918003</v>
      </c>
      <c r="AA38" s="35">
        <f t="shared" ref="AA38" si="50">LN((SQRT(1+AD38 ^2)+AD38)/(SQRT(1+AD38 ^2)-AD38))</f>
        <v>1.7627471740390857</v>
      </c>
      <c r="AB38" s="22">
        <f t="shared" ref="AB38" si="51">AD38*LN((SQRT(1+AD38 ^2)+AD38)/(SQRT(1+AD38 ^2)-AD38))</f>
        <v>1.7627471740390857</v>
      </c>
      <c r="AC38" s="22">
        <f t="shared" si="21"/>
        <v>0.31830988618379069</v>
      </c>
      <c r="AD38" s="19">
        <f t="shared" ref="AD38" si="52">S38/T38</f>
        <v>1</v>
      </c>
      <c r="AE38" s="72">
        <f t="shared" ref="AE38" si="53">BE38</f>
        <v>48.979591836734691</v>
      </c>
      <c r="AF38" s="22">
        <f t="shared" ref="AF38" si="54">(S38/2)/$J$10</f>
        <v>0.35</v>
      </c>
      <c r="AG38" s="22">
        <f t="shared" ref="AG38" si="55">(T38/2)/$J$10</f>
        <v>0.35</v>
      </c>
      <c r="AH38" s="22">
        <f t="shared" ref="AH38" si="56">(S38/2)/$J$11</f>
        <v>0.17499999999999999</v>
      </c>
      <c r="AI38" s="22">
        <f t="shared" ref="AI38" si="57">(T38/2)/$J$11</f>
        <v>0.17499999999999999</v>
      </c>
      <c r="AJ38" s="35">
        <f t="shared" ref="AJ38" si="58">(1/(4*PI()))*((2*AF38*AG38*SQRT(AF38^2+AG38^2)/(AF38^2+AG38^2+1+AF38^2+AG38^2))*(((AF38^2+AG38^2+2)/(AF38^2+AG38^2+1))+ATAN((2+AF38+AG38*SQRT(AF38^2+AG38^2+1)/(AF38^2+AG38^2+1-AF38^2*AG38^2)))))</f>
        <v>1.9529428639993022E-2</v>
      </c>
      <c r="AK38" s="35">
        <f t="shared" si="29"/>
        <v>7.9577471545947673E-2</v>
      </c>
      <c r="AL38" s="35">
        <f t="shared" si="2"/>
        <v>0.18346975949943764</v>
      </c>
      <c r="AM38" s="35">
        <f t="shared" si="3"/>
        <v>1.8032128514056227</v>
      </c>
      <c r="AN38" s="36">
        <f t="shared" si="4"/>
        <v>0.21869838412827983</v>
      </c>
      <c r="AO38" s="35">
        <f t="shared" si="5"/>
        <v>4.3730479481007119E-2</v>
      </c>
      <c r="AP38" s="35">
        <f t="shared" si="30"/>
        <v>7.9577471545947673E-2</v>
      </c>
      <c r="AQ38" s="35">
        <f t="shared" si="31"/>
        <v>5.621194271290586E-2</v>
      </c>
      <c r="AR38" s="35">
        <f t="shared" si="32"/>
        <v>1.9422850412249704</v>
      </c>
      <c r="AS38" s="35">
        <f t="shared" si="33"/>
        <v>5.9438706937258848E-2</v>
      </c>
      <c r="AT38" s="35">
        <f t="shared" si="6"/>
        <v>1.3418219753447055E-2</v>
      </c>
      <c r="AU38" s="35">
        <f t="shared" si="7"/>
        <v>14.313147352733894</v>
      </c>
      <c r="AV38" s="35">
        <f t="shared" si="8"/>
        <v>8.5676041432177215</v>
      </c>
      <c r="AW38" s="35">
        <f t="shared" si="34"/>
        <v>2.6288757067977904</v>
      </c>
      <c r="AX38" s="35">
        <f t="shared" si="35"/>
        <v>5.0450594260384347E-2</v>
      </c>
      <c r="AY38" s="74">
        <f t="shared" si="9"/>
        <v>50.450594260384349</v>
      </c>
      <c r="AZ38" s="35">
        <f t="shared" si="36"/>
        <v>5.0114256965315115E-2</v>
      </c>
      <c r="BA38" s="35">
        <f t="shared" si="37"/>
        <v>50.114256965315114</v>
      </c>
      <c r="BB38" s="35">
        <f t="shared" si="38"/>
        <v>5.0450594260384347E-2</v>
      </c>
      <c r="BC38" s="35">
        <f t="shared" si="39"/>
        <v>50.450594260384349</v>
      </c>
      <c r="BD38" s="44">
        <f t="shared" si="40"/>
        <v>55.837152842840474</v>
      </c>
      <c r="BE38" s="35">
        <f>$D$10/(S38*T38)</f>
        <v>48.979591836734691</v>
      </c>
      <c r="BF38" s="35">
        <f t="shared" si="11"/>
        <v>5.3865585824561281E-3</v>
      </c>
      <c r="BG38" s="74">
        <f t="shared" si="41"/>
        <v>5.3865585824561277</v>
      </c>
      <c r="BH38" s="35">
        <f>$D$10/(S38*T38)</f>
        <v>48.979591836734691</v>
      </c>
      <c r="BI38" s="36">
        <f t="shared" si="13"/>
        <v>2.693279291228064E-3</v>
      </c>
      <c r="BJ38" s="73">
        <f t="shared" si="42"/>
        <v>2.6932792912280639</v>
      </c>
    </row>
    <row r="39" spans="16:76" x14ac:dyDescent="0.25">
      <c r="P39" s="43"/>
      <c r="Q39" s="43"/>
      <c r="R39" s="18">
        <v>36</v>
      </c>
    </row>
  </sheetData>
  <mergeCells count="20">
    <mergeCell ref="BR2:BT2"/>
    <mergeCell ref="BE2:BG2"/>
    <mergeCell ref="AF2:AG2"/>
    <mergeCell ref="AH2:AI2"/>
    <mergeCell ref="AJ2:AO2"/>
    <mergeCell ref="AY2:AY3"/>
    <mergeCell ref="AZ2:AZ3"/>
    <mergeCell ref="AX2:AX3"/>
    <mergeCell ref="BA2:BA3"/>
    <mergeCell ref="BB2:BB3"/>
    <mergeCell ref="M28:P29"/>
    <mergeCell ref="C1:N1"/>
    <mergeCell ref="BH2:BJ2"/>
    <mergeCell ref="BK2:BN2"/>
    <mergeCell ref="BO2:BQ2"/>
    <mergeCell ref="I23:K23"/>
    <mergeCell ref="I13:K13"/>
    <mergeCell ref="BB1:BC1"/>
    <mergeCell ref="AZ1:BA1"/>
    <mergeCell ref="AX1:AY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Option Button 1">
              <controlPr defaultSize="0" autoFill="0" autoLine="0" autoPict="0">
                <anchor moveWithCells="1">
                  <from>
                    <xdr:col>8</xdr:col>
                    <xdr:colOff>57150</xdr:colOff>
                    <xdr:row>13</xdr:row>
                    <xdr:rowOff>123825</xdr:rowOff>
                  </from>
                  <to>
                    <xdr:col>11</xdr:col>
                    <xdr:colOff>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Option Button 2">
              <controlPr defaultSize="0" autoFill="0" autoLine="0" autoPict="0">
                <anchor moveWithCells="1">
                  <from>
                    <xdr:col>8</xdr:col>
                    <xdr:colOff>57150</xdr:colOff>
                    <xdr:row>15</xdr:row>
                    <xdr:rowOff>123825</xdr:rowOff>
                  </from>
                  <to>
                    <xdr:col>10</xdr:col>
                    <xdr:colOff>504825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Option Button 3">
              <controlPr defaultSize="0" autoFill="0" autoLine="0" autoPict="0">
                <anchor moveWithCells="1">
                  <from>
                    <xdr:col>8</xdr:col>
                    <xdr:colOff>57150</xdr:colOff>
                    <xdr:row>18</xdr:row>
                    <xdr:rowOff>123825</xdr:rowOff>
                  </from>
                  <to>
                    <xdr:col>11</xdr:col>
                    <xdr:colOff>314325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Group Box 4">
              <controlPr defaultSize="0" autoFill="0" autoPict="0">
                <anchor moveWithCells="1">
                  <from>
                    <xdr:col>6</xdr:col>
                    <xdr:colOff>142875</xdr:colOff>
                    <xdr:row>11</xdr:row>
                    <xdr:rowOff>123825</xdr:rowOff>
                  </from>
                  <to>
                    <xdr:col>11</xdr:col>
                    <xdr:colOff>371475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Option Button 5">
              <controlPr defaultSize="0" autoFill="0" autoLine="0" autoPict="0">
                <anchor moveWithCells="1">
                  <from>
                    <xdr:col>8</xdr:col>
                    <xdr:colOff>57150</xdr:colOff>
                    <xdr:row>23</xdr:row>
                    <xdr:rowOff>123825</xdr:rowOff>
                  </from>
                  <to>
                    <xdr:col>11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Option Button 6">
              <controlPr defaultSize="0" autoFill="0" autoLine="0" autoPict="0">
                <anchor moveWithCells="1">
                  <from>
                    <xdr:col>8</xdr:col>
                    <xdr:colOff>57150</xdr:colOff>
                    <xdr:row>25</xdr:row>
                    <xdr:rowOff>123825</xdr:rowOff>
                  </from>
                  <to>
                    <xdr:col>10</xdr:col>
                    <xdr:colOff>504825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Option Button 7">
              <controlPr defaultSize="0" autoFill="0" autoLine="0" autoPict="0">
                <anchor moveWithCells="1">
                  <from>
                    <xdr:col>8</xdr:col>
                    <xdr:colOff>57150</xdr:colOff>
                    <xdr:row>27</xdr:row>
                    <xdr:rowOff>123825</xdr:rowOff>
                  </from>
                  <to>
                    <xdr:col>11</xdr:col>
                    <xdr:colOff>257175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Group Box 8">
              <controlPr defaultSize="0" autoFill="0" autoPict="0">
                <anchor moveWithCells="1">
                  <from>
                    <xdr:col>6</xdr:col>
                    <xdr:colOff>123825</xdr:colOff>
                    <xdr:row>21</xdr:row>
                    <xdr:rowOff>133350</xdr:rowOff>
                  </from>
                  <to>
                    <xdr:col>11</xdr:col>
                    <xdr:colOff>361950</xdr:colOff>
                    <xdr:row>30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4"/>
  <sheetViews>
    <sheetView showGridLines="0" topLeftCell="A13" zoomScale="90" zoomScaleNormal="90" workbookViewId="0">
      <selection activeCell="L18" sqref="L18"/>
    </sheetView>
  </sheetViews>
  <sheetFormatPr baseColWidth="10" defaultRowHeight="15" x14ac:dyDescent="0.25"/>
  <cols>
    <col min="5" max="6" width="18.42578125" customWidth="1"/>
  </cols>
  <sheetData>
    <row r="1" spans="2:17" x14ac:dyDescent="0.25">
      <c r="F1" s="57"/>
    </row>
    <row r="2" spans="2:17" x14ac:dyDescent="0.25">
      <c r="B2" s="48" t="s">
        <v>42</v>
      </c>
      <c r="C2" s="128" t="s">
        <v>43</v>
      </c>
      <c r="D2" s="129"/>
      <c r="E2" s="130"/>
      <c r="F2" s="40"/>
      <c r="H2" s="48" t="s">
        <v>48</v>
      </c>
      <c r="I2" s="128" t="s">
        <v>49</v>
      </c>
      <c r="J2" s="129"/>
      <c r="K2" s="130"/>
      <c r="L2" s="40"/>
      <c r="N2" s="48" t="s">
        <v>74</v>
      </c>
      <c r="O2" s="128" t="s">
        <v>43</v>
      </c>
      <c r="P2" s="129"/>
      <c r="Q2" s="130"/>
    </row>
    <row r="3" spans="2:17" x14ac:dyDescent="0.25">
      <c r="B3" s="48" t="s">
        <v>44</v>
      </c>
      <c r="C3" s="48" t="s">
        <v>45</v>
      </c>
      <c r="D3" s="48" t="s">
        <v>46</v>
      </c>
      <c r="E3" s="48" t="s">
        <v>47</v>
      </c>
      <c r="F3" s="58"/>
      <c r="H3" s="48" t="s">
        <v>44</v>
      </c>
      <c r="I3" s="48" t="s">
        <v>45</v>
      </c>
      <c r="J3" s="48" t="s">
        <v>46</v>
      </c>
      <c r="K3" s="48" t="s">
        <v>47</v>
      </c>
      <c r="L3" s="40"/>
      <c r="N3" s="48" t="s">
        <v>44</v>
      </c>
      <c r="O3" s="48" t="s">
        <v>75</v>
      </c>
      <c r="P3" s="48" t="s">
        <v>76</v>
      </c>
      <c r="Q3" s="48" t="s">
        <v>77</v>
      </c>
    </row>
    <row r="4" spans="2:17" x14ac:dyDescent="0.25">
      <c r="B4" s="45">
        <v>0</v>
      </c>
      <c r="C4" s="45">
        <v>5.7</v>
      </c>
      <c r="D4" s="45">
        <v>0</v>
      </c>
      <c r="E4" s="45">
        <v>0</v>
      </c>
      <c r="F4" s="46"/>
      <c r="H4" s="45">
        <v>0</v>
      </c>
      <c r="I4" s="45">
        <v>5.14</v>
      </c>
      <c r="J4" s="45">
        <v>1</v>
      </c>
      <c r="K4" s="45">
        <v>0</v>
      </c>
      <c r="L4" s="46"/>
      <c r="N4" s="45">
        <v>0</v>
      </c>
      <c r="O4" s="45">
        <v>5.7</v>
      </c>
      <c r="P4" s="45">
        <v>1</v>
      </c>
      <c r="Q4" s="45">
        <v>0</v>
      </c>
    </row>
    <row r="5" spans="2:17" x14ac:dyDescent="0.25">
      <c r="B5" s="45">
        <v>1</v>
      </c>
      <c r="C5" s="45">
        <v>6</v>
      </c>
      <c r="D5" s="45">
        <v>1.1000000000000001</v>
      </c>
      <c r="E5" s="45">
        <v>0.01</v>
      </c>
      <c r="F5" s="46"/>
      <c r="H5" s="45">
        <v>1</v>
      </c>
      <c r="I5" s="45">
        <v>5.38</v>
      </c>
      <c r="J5" s="45">
        <v>1.0900000000000001</v>
      </c>
      <c r="K5" s="45">
        <v>7.0000000000000007E-2</v>
      </c>
      <c r="L5" s="46"/>
      <c r="N5" s="45">
        <v>1</v>
      </c>
      <c r="O5" s="45">
        <v>5.9</v>
      </c>
      <c r="P5" s="45">
        <v>1.07</v>
      </c>
      <c r="Q5" s="45">
        <v>5.0000000000000001E-3</v>
      </c>
    </row>
    <row r="6" spans="2:17" x14ac:dyDescent="0.25">
      <c r="B6" s="45">
        <v>2</v>
      </c>
      <c r="C6" s="45">
        <v>6.3</v>
      </c>
      <c r="D6" s="45">
        <v>1.22</v>
      </c>
      <c r="E6" s="45">
        <v>0.04</v>
      </c>
      <c r="F6" s="46"/>
      <c r="H6" s="45">
        <v>2</v>
      </c>
      <c r="I6" s="45">
        <v>5.63</v>
      </c>
      <c r="J6" s="45">
        <v>1.2</v>
      </c>
      <c r="K6" s="45">
        <v>0.15</v>
      </c>
      <c r="L6" s="46"/>
      <c r="N6" s="45">
        <v>2</v>
      </c>
      <c r="O6" s="45">
        <v>6.1</v>
      </c>
      <c r="P6" s="45">
        <v>1.1399999999999999</v>
      </c>
      <c r="Q6" s="45">
        <v>0.02</v>
      </c>
    </row>
    <row r="7" spans="2:17" x14ac:dyDescent="0.25">
      <c r="B7" s="45">
        <v>3</v>
      </c>
      <c r="C7" s="45">
        <v>6.62</v>
      </c>
      <c r="D7" s="45">
        <v>1.35</v>
      </c>
      <c r="E7" s="45">
        <v>0.06</v>
      </c>
      <c r="F7" s="46"/>
      <c r="H7" s="45">
        <v>3</v>
      </c>
      <c r="I7" s="45">
        <v>5.9</v>
      </c>
      <c r="J7" s="45">
        <v>1.31</v>
      </c>
      <c r="K7" s="45">
        <v>0.24</v>
      </c>
      <c r="L7" s="46"/>
      <c r="N7" s="45">
        <v>3</v>
      </c>
      <c r="O7" s="45">
        <v>6.3</v>
      </c>
      <c r="P7" s="45">
        <v>1.22</v>
      </c>
      <c r="Q7" s="45">
        <v>0.04</v>
      </c>
    </row>
    <row r="8" spans="2:17" x14ac:dyDescent="0.25">
      <c r="B8" s="45">
        <v>4</v>
      </c>
      <c r="C8" s="45">
        <v>6.97</v>
      </c>
      <c r="D8" s="45">
        <v>1.49</v>
      </c>
      <c r="E8" s="45">
        <v>0.1</v>
      </c>
      <c r="F8" s="46"/>
      <c r="H8" s="45">
        <v>4</v>
      </c>
      <c r="I8" s="45">
        <v>6.19</v>
      </c>
      <c r="J8" s="45">
        <v>1.43</v>
      </c>
      <c r="K8" s="45">
        <v>0.34</v>
      </c>
      <c r="L8" s="46"/>
      <c r="N8" s="45">
        <v>4</v>
      </c>
      <c r="O8" s="45">
        <v>6.51</v>
      </c>
      <c r="P8" s="45">
        <v>1.3</v>
      </c>
      <c r="Q8" s="45">
        <v>5.5E-2</v>
      </c>
    </row>
    <row r="9" spans="2:17" x14ac:dyDescent="0.25">
      <c r="B9" s="45">
        <v>5</v>
      </c>
      <c r="C9" s="45">
        <v>7.34</v>
      </c>
      <c r="D9" s="45">
        <v>1.64</v>
      </c>
      <c r="E9" s="45">
        <v>0.14000000000000001</v>
      </c>
      <c r="F9" s="46"/>
      <c r="H9" s="45">
        <v>5</v>
      </c>
      <c r="I9" s="45">
        <v>6.49</v>
      </c>
      <c r="J9" s="45">
        <v>1.57</v>
      </c>
      <c r="K9" s="45">
        <v>0.45</v>
      </c>
      <c r="L9" s="46"/>
      <c r="N9" s="45">
        <v>5</v>
      </c>
      <c r="O9" s="45">
        <v>6.74</v>
      </c>
      <c r="P9" s="45">
        <v>1.39</v>
      </c>
      <c r="Q9" s="45">
        <v>7.3999999999999996E-2</v>
      </c>
    </row>
    <row r="10" spans="2:17" x14ac:dyDescent="0.25">
      <c r="B10" s="45">
        <v>6</v>
      </c>
      <c r="C10" s="45">
        <v>7.73</v>
      </c>
      <c r="D10" s="45">
        <v>1.81</v>
      </c>
      <c r="E10" s="45">
        <v>0.2</v>
      </c>
      <c r="F10" s="46"/>
      <c r="H10" s="45">
        <v>6</v>
      </c>
      <c r="I10" s="45">
        <v>6.81</v>
      </c>
      <c r="J10" s="45">
        <v>1.72</v>
      </c>
      <c r="K10" s="45">
        <v>0.56999999999999995</v>
      </c>
      <c r="L10" s="46"/>
      <c r="N10" s="45">
        <v>6</v>
      </c>
      <c r="O10" s="45">
        <v>6.97</v>
      </c>
      <c r="P10" s="45">
        <v>1.49</v>
      </c>
      <c r="Q10" s="45">
        <v>0.1</v>
      </c>
    </row>
    <row r="11" spans="2:17" x14ac:dyDescent="0.25">
      <c r="B11" s="45">
        <v>7</v>
      </c>
      <c r="C11" s="45">
        <v>8.15</v>
      </c>
      <c r="D11" s="45">
        <v>2</v>
      </c>
      <c r="E11" s="45">
        <v>0.27</v>
      </c>
      <c r="F11" s="46"/>
      <c r="H11" s="45">
        <v>7</v>
      </c>
      <c r="I11" s="45">
        <v>7.16</v>
      </c>
      <c r="J11" s="45">
        <v>1.88</v>
      </c>
      <c r="K11" s="45">
        <v>0.71</v>
      </c>
      <c r="L11" s="46"/>
      <c r="N11" s="45">
        <v>7</v>
      </c>
      <c r="O11" s="45">
        <v>7.22</v>
      </c>
      <c r="P11" s="45">
        <v>1.59</v>
      </c>
      <c r="Q11" s="45">
        <v>0.128</v>
      </c>
    </row>
    <row r="12" spans="2:17" x14ac:dyDescent="0.25">
      <c r="B12" s="45">
        <v>8</v>
      </c>
      <c r="C12" s="45">
        <v>8.6</v>
      </c>
      <c r="D12" s="45">
        <v>2.21</v>
      </c>
      <c r="E12" s="45">
        <v>0.35</v>
      </c>
      <c r="F12" s="46"/>
      <c r="H12" s="45">
        <v>8</v>
      </c>
      <c r="I12" s="45">
        <v>7.53</v>
      </c>
      <c r="J12" s="45">
        <v>2.06</v>
      </c>
      <c r="K12" s="45">
        <v>0.86</v>
      </c>
      <c r="L12" s="46"/>
      <c r="N12" s="45">
        <v>8</v>
      </c>
      <c r="O12" s="45">
        <v>7.47</v>
      </c>
      <c r="P12" s="45">
        <v>1.7</v>
      </c>
      <c r="Q12" s="45">
        <v>0.16</v>
      </c>
    </row>
    <row r="13" spans="2:17" x14ac:dyDescent="0.25">
      <c r="B13" s="45">
        <v>9</v>
      </c>
      <c r="C13" s="45">
        <v>9.09</v>
      </c>
      <c r="D13" s="45">
        <v>2.44</v>
      </c>
      <c r="E13" s="45">
        <v>0.44</v>
      </c>
      <c r="F13" s="46"/>
      <c r="H13" s="45">
        <v>9</v>
      </c>
      <c r="I13" s="45">
        <v>7.92</v>
      </c>
      <c r="J13" s="45">
        <v>2.25</v>
      </c>
      <c r="K13" s="45">
        <v>1.03</v>
      </c>
      <c r="L13" s="46"/>
      <c r="N13" s="45">
        <v>9</v>
      </c>
      <c r="O13" s="45">
        <v>7.74</v>
      </c>
      <c r="P13" s="45">
        <v>1.82</v>
      </c>
      <c r="Q13" s="45">
        <v>0.2</v>
      </c>
    </row>
    <row r="14" spans="2:17" x14ac:dyDescent="0.25">
      <c r="B14" s="45">
        <v>10</v>
      </c>
      <c r="C14" s="45">
        <v>9.61</v>
      </c>
      <c r="D14" s="45">
        <v>2.69</v>
      </c>
      <c r="E14" s="45">
        <v>0.56000000000000005</v>
      </c>
      <c r="F14" s="46"/>
      <c r="H14" s="45">
        <v>10</v>
      </c>
      <c r="I14" s="45">
        <v>8.35</v>
      </c>
      <c r="J14" s="45">
        <v>2.4700000000000002</v>
      </c>
      <c r="K14" s="45">
        <v>1.22</v>
      </c>
      <c r="L14" s="46"/>
      <c r="N14" s="45">
        <v>10</v>
      </c>
      <c r="O14" s="45">
        <v>8.02</v>
      </c>
      <c r="P14" s="45">
        <v>1.94</v>
      </c>
      <c r="Q14" s="45">
        <v>0.24</v>
      </c>
    </row>
    <row r="15" spans="2:17" x14ac:dyDescent="0.25">
      <c r="B15" s="45">
        <v>11</v>
      </c>
      <c r="C15" s="45">
        <v>10.16</v>
      </c>
      <c r="D15" s="45">
        <v>2.98</v>
      </c>
      <c r="E15" s="45">
        <v>0.69</v>
      </c>
      <c r="F15" s="46"/>
      <c r="H15" s="45">
        <v>11</v>
      </c>
      <c r="I15" s="45">
        <v>8.8000000000000007</v>
      </c>
      <c r="J15" s="45">
        <v>2.71</v>
      </c>
      <c r="K15" s="45">
        <v>1.44</v>
      </c>
      <c r="L15" s="46"/>
      <c r="N15" s="45">
        <v>11</v>
      </c>
      <c r="O15" s="45">
        <v>8.32</v>
      </c>
      <c r="P15" s="45">
        <v>2.08</v>
      </c>
      <c r="Q15" s="45">
        <v>0.3</v>
      </c>
    </row>
    <row r="16" spans="2:17" x14ac:dyDescent="0.25">
      <c r="B16" s="45">
        <v>12</v>
      </c>
      <c r="C16" s="45">
        <v>10.76</v>
      </c>
      <c r="D16" s="45">
        <v>3.29</v>
      </c>
      <c r="E16" s="45">
        <v>0.85</v>
      </c>
      <c r="F16" s="46"/>
      <c r="H16" s="45">
        <v>12</v>
      </c>
      <c r="I16" s="45">
        <v>9.2799999999999994</v>
      </c>
      <c r="J16" s="45">
        <v>2.97</v>
      </c>
      <c r="K16" s="45">
        <v>1.69</v>
      </c>
      <c r="L16" s="46"/>
      <c r="N16" s="45">
        <v>12</v>
      </c>
      <c r="O16" s="45">
        <v>8.6300000000000008</v>
      </c>
      <c r="P16" s="45">
        <v>2.2200000000000002</v>
      </c>
      <c r="Q16" s="45">
        <v>0.35</v>
      </c>
    </row>
    <row r="17" spans="2:17" x14ac:dyDescent="0.25">
      <c r="B17" s="45">
        <v>13</v>
      </c>
      <c r="C17" s="45">
        <v>11.41</v>
      </c>
      <c r="D17" s="45">
        <v>3.63</v>
      </c>
      <c r="E17" s="45">
        <v>1.04</v>
      </c>
      <c r="F17" s="46"/>
      <c r="H17" s="45">
        <v>13</v>
      </c>
      <c r="I17" s="45">
        <v>9.81</v>
      </c>
      <c r="J17" s="45">
        <v>3.26</v>
      </c>
      <c r="K17" s="45">
        <v>1.97</v>
      </c>
      <c r="L17" s="46"/>
      <c r="N17" s="45">
        <v>13</v>
      </c>
      <c r="O17" s="45">
        <v>8.9600000000000009</v>
      </c>
      <c r="P17" s="45">
        <v>2.38</v>
      </c>
      <c r="Q17" s="45">
        <v>0.42</v>
      </c>
    </row>
    <row r="18" spans="2:17" x14ac:dyDescent="0.25">
      <c r="B18" s="45">
        <v>14</v>
      </c>
      <c r="C18" s="45">
        <v>12.11</v>
      </c>
      <c r="D18" s="45">
        <v>4.0199999999999996</v>
      </c>
      <c r="E18" s="45">
        <v>1.26</v>
      </c>
      <c r="F18" s="46"/>
      <c r="H18" s="45">
        <v>14</v>
      </c>
      <c r="I18" s="45">
        <v>10.37</v>
      </c>
      <c r="J18" s="45">
        <v>3.59</v>
      </c>
      <c r="K18" s="45">
        <v>2.29</v>
      </c>
      <c r="L18" s="46"/>
      <c r="N18" s="45">
        <v>14</v>
      </c>
      <c r="O18" s="45">
        <v>9.31</v>
      </c>
      <c r="P18" s="45">
        <v>2.5499999999999998</v>
      </c>
      <c r="Q18" s="45">
        <v>0.48</v>
      </c>
    </row>
    <row r="19" spans="2:17" x14ac:dyDescent="0.25">
      <c r="B19" s="45">
        <v>15</v>
      </c>
      <c r="C19" s="45">
        <v>12.86</v>
      </c>
      <c r="D19" s="45">
        <v>4.45</v>
      </c>
      <c r="E19" s="45">
        <v>1.52</v>
      </c>
      <c r="F19" s="46"/>
      <c r="H19" s="45">
        <v>15</v>
      </c>
      <c r="I19" s="45">
        <v>10.98</v>
      </c>
      <c r="J19" s="45">
        <v>3.94</v>
      </c>
      <c r="K19" s="45">
        <v>2.65</v>
      </c>
      <c r="L19" s="46"/>
      <c r="N19" s="45">
        <v>15</v>
      </c>
      <c r="O19" s="45">
        <v>9.67</v>
      </c>
      <c r="P19" s="45">
        <v>2.73</v>
      </c>
      <c r="Q19" s="45">
        <v>0.56999999999999995</v>
      </c>
    </row>
    <row r="20" spans="2:17" x14ac:dyDescent="0.25">
      <c r="B20" s="45">
        <v>16</v>
      </c>
      <c r="C20" s="45">
        <v>13.68</v>
      </c>
      <c r="D20" s="45">
        <v>4.92</v>
      </c>
      <c r="E20" s="45">
        <v>1.82</v>
      </c>
      <c r="F20" s="46"/>
      <c r="H20" s="45">
        <v>16</v>
      </c>
      <c r="I20" s="45">
        <v>11.63</v>
      </c>
      <c r="J20" s="45">
        <v>4.34</v>
      </c>
      <c r="K20" s="45">
        <v>3.06</v>
      </c>
      <c r="L20" s="46"/>
      <c r="N20" s="45">
        <v>16</v>
      </c>
      <c r="O20" s="45">
        <v>10.06</v>
      </c>
      <c r="P20" s="45">
        <v>2.92</v>
      </c>
      <c r="Q20" s="45">
        <v>0.67</v>
      </c>
    </row>
    <row r="21" spans="2:17" x14ac:dyDescent="0.25">
      <c r="B21" s="45">
        <v>17</v>
      </c>
      <c r="C21" s="45">
        <v>14.6</v>
      </c>
      <c r="D21" s="45">
        <v>5.45</v>
      </c>
      <c r="E21" s="45">
        <v>2.1800000000000002</v>
      </c>
      <c r="F21" s="46"/>
      <c r="H21" s="45">
        <v>17</v>
      </c>
      <c r="I21" s="45">
        <v>12.34</v>
      </c>
      <c r="J21" s="45">
        <v>4.7699999999999996</v>
      </c>
      <c r="K21" s="45">
        <v>3.53</v>
      </c>
      <c r="L21" s="46"/>
      <c r="N21" s="45">
        <v>17</v>
      </c>
      <c r="O21" s="45">
        <v>10.47</v>
      </c>
      <c r="P21" s="45">
        <v>3.13</v>
      </c>
      <c r="Q21" s="45">
        <v>0.76</v>
      </c>
    </row>
    <row r="22" spans="2:17" x14ac:dyDescent="0.25">
      <c r="B22" s="45">
        <v>18</v>
      </c>
      <c r="C22" s="45">
        <v>15.12</v>
      </c>
      <c r="D22" s="45">
        <v>6.04</v>
      </c>
      <c r="E22" s="45">
        <v>2.59</v>
      </c>
      <c r="F22" s="46"/>
      <c r="H22" s="45">
        <v>18</v>
      </c>
      <c r="I22" s="45">
        <v>13.1</v>
      </c>
      <c r="J22" s="45">
        <v>5.26</v>
      </c>
      <c r="K22" s="45">
        <v>4.07</v>
      </c>
      <c r="L22" s="46"/>
      <c r="N22" s="45">
        <v>18</v>
      </c>
      <c r="O22" s="45">
        <v>10.9</v>
      </c>
      <c r="P22" s="45">
        <v>3.36</v>
      </c>
      <c r="Q22" s="45">
        <v>0.88</v>
      </c>
    </row>
    <row r="23" spans="2:17" x14ac:dyDescent="0.25">
      <c r="B23" s="45">
        <v>19</v>
      </c>
      <c r="C23" s="45">
        <v>16.559999999999999</v>
      </c>
      <c r="D23" s="45">
        <v>6.7</v>
      </c>
      <c r="E23" s="45">
        <v>3.07</v>
      </c>
      <c r="F23" s="46"/>
      <c r="H23" s="45">
        <v>19</v>
      </c>
      <c r="I23" s="45">
        <v>13.93</v>
      </c>
      <c r="J23" s="45">
        <v>5.8</v>
      </c>
      <c r="K23" s="45">
        <v>4.68</v>
      </c>
      <c r="L23" s="46"/>
      <c r="N23" s="45">
        <v>19</v>
      </c>
      <c r="O23" s="45">
        <v>11.36</v>
      </c>
      <c r="P23" s="45">
        <v>3.61</v>
      </c>
      <c r="Q23" s="45">
        <v>1.03</v>
      </c>
    </row>
    <row r="24" spans="2:17" x14ac:dyDescent="0.25">
      <c r="B24" s="45">
        <v>20</v>
      </c>
      <c r="C24" s="45">
        <v>17.690000000000001</v>
      </c>
      <c r="D24" s="45">
        <v>7.44</v>
      </c>
      <c r="E24" s="45">
        <v>3.64</v>
      </c>
      <c r="F24" s="46"/>
      <c r="H24" s="45">
        <v>20</v>
      </c>
      <c r="I24" s="45">
        <v>14.83</v>
      </c>
      <c r="J24" s="45">
        <v>6.4</v>
      </c>
      <c r="K24" s="45">
        <v>5.39</v>
      </c>
      <c r="L24" s="46"/>
      <c r="N24" s="45">
        <v>20</v>
      </c>
      <c r="O24" s="45">
        <v>11.85</v>
      </c>
      <c r="P24" s="45">
        <v>3.88</v>
      </c>
      <c r="Q24" s="45">
        <v>1.1200000000000001</v>
      </c>
    </row>
    <row r="25" spans="2:17" x14ac:dyDescent="0.25">
      <c r="B25" s="45">
        <v>21</v>
      </c>
      <c r="C25" s="45">
        <v>18.920000000000002</v>
      </c>
      <c r="D25" s="45">
        <v>8.26</v>
      </c>
      <c r="E25" s="45">
        <v>4.3099999999999996</v>
      </c>
      <c r="F25" s="46"/>
      <c r="H25" s="45">
        <v>21</v>
      </c>
      <c r="I25" s="45">
        <v>15.82</v>
      </c>
      <c r="J25" s="45">
        <v>7.07</v>
      </c>
      <c r="K25" s="45">
        <v>6.2</v>
      </c>
      <c r="L25" s="46"/>
      <c r="N25" s="45">
        <v>21</v>
      </c>
      <c r="O25" s="45">
        <v>12.37</v>
      </c>
      <c r="P25" s="45">
        <v>4.17</v>
      </c>
      <c r="Q25" s="45">
        <v>1.35</v>
      </c>
    </row>
    <row r="26" spans="2:17" x14ac:dyDescent="0.25">
      <c r="B26" s="45">
        <v>22</v>
      </c>
      <c r="C26" s="45">
        <v>20.27</v>
      </c>
      <c r="D26" s="45">
        <v>9.19</v>
      </c>
      <c r="E26" s="45">
        <v>5.09</v>
      </c>
      <c r="F26" s="46"/>
      <c r="H26" s="45">
        <v>22</v>
      </c>
      <c r="I26" s="45">
        <v>16.88</v>
      </c>
      <c r="J26" s="45">
        <v>7.82</v>
      </c>
      <c r="K26" s="45">
        <v>7.13</v>
      </c>
      <c r="L26" s="46"/>
      <c r="N26" s="45">
        <v>22</v>
      </c>
      <c r="O26" s="45">
        <v>12.92</v>
      </c>
      <c r="P26" s="45">
        <v>4.4800000000000004</v>
      </c>
      <c r="Q26" s="45">
        <v>1.55</v>
      </c>
    </row>
    <row r="27" spans="2:17" x14ac:dyDescent="0.25">
      <c r="B27" s="45">
        <v>23</v>
      </c>
      <c r="C27" s="45">
        <v>21.75</v>
      </c>
      <c r="D27" s="45">
        <v>10.23</v>
      </c>
      <c r="E27" s="45">
        <v>6</v>
      </c>
      <c r="F27" s="46"/>
      <c r="H27" s="45">
        <v>23</v>
      </c>
      <c r="I27" s="45">
        <v>18.05</v>
      </c>
      <c r="J27" s="45">
        <v>8.66</v>
      </c>
      <c r="K27" s="45">
        <v>8.1999999999999993</v>
      </c>
      <c r="L27" s="46"/>
      <c r="N27" s="45">
        <v>23</v>
      </c>
      <c r="O27" s="45">
        <v>13.51</v>
      </c>
      <c r="P27" s="45">
        <v>4.82</v>
      </c>
      <c r="Q27" s="45">
        <v>1.74</v>
      </c>
    </row>
    <row r="28" spans="2:17" x14ac:dyDescent="0.25">
      <c r="B28" s="45">
        <v>24</v>
      </c>
      <c r="C28" s="45">
        <v>23.36</v>
      </c>
      <c r="D28" s="45">
        <v>11.4</v>
      </c>
      <c r="E28" s="45">
        <v>7.08</v>
      </c>
      <c r="F28" s="46"/>
      <c r="H28" s="45">
        <v>24</v>
      </c>
      <c r="I28" s="45">
        <v>19.32</v>
      </c>
      <c r="J28" s="45">
        <v>9.6</v>
      </c>
      <c r="K28" s="45">
        <v>9.44</v>
      </c>
      <c r="L28" s="46"/>
      <c r="N28" s="45">
        <v>24</v>
      </c>
      <c r="O28" s="45">
        <v>14.14</v>
      </c>
      <c r="P28" s="45">
        <v>5.2</v>
      </c>
      <c r="Q28" s="45">
        <v>1.97</v>
      </c>
    </row>
    <row r="29" spans="2:17" x14ac:dyDescent="0.25">
      <c r="B29" s="45">
        <v>25</v>
      </c>
      <c r="C29" s="45">
        <v>25.13</v>
      </c>
      <c r="D29" s="45">
        <v>12.72</v>
      </c>
      <c r="E29" s="45">
        <v>8.34</v>
      </c>
      <c r="F29" s="46"/>
      <c r="H29" s="45">
        <v>25</v>
      </c>
      <c r="I29" s="45">
        <v>20.72</v>
      </c>
      <c r="J29" s="45">
        <v>10.66</v>
      </c>
      <c r="K29" s="45">
        <v>10.88</v>
      </c>
      <c r="L29" s="46"/>
      <c r="N29" s="45">
        <v>25</v>
      </c>
      <c r="O29" s="45">
        <v>14.8</v>
      </c>
      <c r="P29" s="45">
        <v>5.6</v>
      </c>
      <c r="Q29" s="45">
        <v>2.25</v>
      </c>
    </row>
    <row r="30" spans="2:17" x14ac:dyDescent="0.25">
      <c r="B30" s="45">
        <v>26</v>
      </c>
      <c r="C30" s="45">
        <v>27.09</v>
      </c>
      <c r="D30" s="45">
        <v>14.21</v>
      </c>
      <c r="E30" s="45">
        <v>9.84</v>
      </c>
      <c r="F30" s="46"/>
      <c r="H30" s="45">
        <v>26</v>
      </c>
      <c r="I30" s="45">
        <v>22.25</v>
      </c>
      <c r="J30" s="45">
        <v>11.85</v>
      </c>
      <c r="K30" s="45">
        <v>12.54</v>
      </c>
      <c r="L30" s="46"/>
      <c r="N30" s="45">
        <v>26</v>
      </c>
      <c r="O30" s="45">
        <v>15.53</v>
      </c>
      <c r="P30" s="45">
        <v>6.05</v>
      </c>
      <c r="Q30" s="45">
        <v>6.05</v>
      </c>
    </row>
    <row r="31" spans="2:17" x14ac:dyDescent="0.25">
      <c r="B31" s="45">
        <v>27</v>
      </c>
      <c r="C31" s="45">
        <v>29.24</v>
      </c>
      <c r="D31" s="45">
        <v>15.9</v>
      </c>
      <c r="E31" s="45">
        <v>11.6</v>
      </c>
      <c r="F31" s="46"/>
      <c r="H31" s="45">
        <v>27</v>
      </c>
      <c r="I31" s="45">
        <v>23.94</v>
      </c>
      <c r="J31" s="45">
        <v>13.2</v>
      </c>
      <c r="K31" s="45">
        <v>14.47</v>
      </c>
      <c r="L31" s="46"/>
      <c r="N31" s="45">
        <v>27</v>
      </c>
      <c r="O31" s="45">
        <v>16.3</v>
      </c>
      <c r="P31" s="45">
        <v>6.54</v>
      </c>
      <c r="Q31" s="45">
        <v>6.54</v>
      </c>
    </row>
    <row r="32" spans="2:17" x14ac:dyDescent="0.25">
      <c r="B32" s="45">
        <v>28</v>
      </c>
      <c r="C32" s="45">
        <v>31.61</v>
      </c>
      <c r="D32" s="45">
        <v>17.809999999999999</v>
      </c>
      <c r="E32" s="45">
        <v>13.7</v>
      </c>
      <c r="F32" s="46"/>
      <c r="H32" s="45">
        <v>28</v>
      </c>
      <c r="I32" s="45">
        <v>25.8</v>
      </c>
      <c r="J32" s="45">
        <v>14.72</v>
      </c>
      <c r="K32" s="45">
        <v>16.72</v>
      </c>
      <c r="L32" s="46"/>
      <c r="N32" s="45">
        <v>28</v>
      </c>
      <c r="O32" s="45">
        <v>17.13</v>
      </c>
      <c r="P32" s="45">
        <v>7.07</v>
      </c>
      <c r="Q32" s="45">
        <v>7.07</v>
      </c>
    </row>
    <row r="33" spans="2:17" x14ac:dyDescent="0.25">
      <c r="B33" s="45">
        <v>29</v>
      </c>
      <c r="C33" s="45">
        <v>34.24</v>
      </c>
      <c r="D33" s="45">
        <v>19.98</v>
      </c>
      <c r="E33" s="45">
        <v>16.18</v>
      </c>
      <c r="F33" s="46"/>
      <c r="H33" s="45">
        <v>29</v>
      </c>
      <c r="I33" s="45">
        <v>27.86</v>
      </c>
      <c r="J33" s="45">
        <v>16.440000000000001</v>
      </c>
      <c r="K33" s="45">
        <v>19.34</v>
      </c>
      <c r="L33" s="46"/>
      <c r="N33" s="45">
        <v>29</v>
      </c>
      <c r="O33" s="45">
        <v>18.03</v>
      </c>
      <c r="P33" s="45">
        <v>7.66</v>
      </c>
      <c r="Q33" s="45">
        <v>7.66</v>
      </c>
    </row>
    <row r="34" spans="2:17" x14ac:dyDescent="0.25">
      <c r="B34" s="45">
        <v>30</v>
      </c>
      <c r="C34" s="45">
        <v>37.159999999999997</v>
      </c>
      <c r="D34" s="45">
        <v>22.46</v>
      </c>
      <c r="E34" s="45">
        <v>19.13</v>
      </c>
      <c r="F34" s="46"/>
      <c r="H34" s="45">
        <v>30</v>
      </c>
      <c r="I34" s="45">
        <v>30.14</v>
      </c>
      <c r="J34" s="45">
        <v>14.8</v>
      </c>
      <c r="K34" s="45">
        <v>22.4</v>
      </c>
      <c r="L34" s="46"/>
      <c r="N34" s="45">
        <v>30</v>
      </c>
      <c r="O34" s="45">
        <v>18.989999999999998</v>
      </c>
      <c r="P34" s="45">
        <v>8.31</v>
      </c>
      <c r="Q34" s="45">
        <v>8.31</v>
      </c>
    </row>
    <row r="35" spans="2:17" x14ac:dyDescent="0.25">
      <c r="B35" s="45">
        <v>31</v>
      </c>
      <c r="C35" s="45">
        <v>40.409999999999997</v>
      </c>
      <c r="D35" s="45">
        <v>25.28</v>
      </c>
      <c r="E35" s="45">
        <v>22.65</v>
      </c>
      <c r="F35" s="46"/>
      <c r="H35" s="45">
        <v>31</v>
      </c>
      <c r="I35" s="45">
        <v>32.67</v>
      </c>
      <c r="J35" s="45">
        <v>20.63</v>
      </c>
      <c r="K35" s="45">
        <v>25.99</v>
      </c>
      <c r="L35" s="46"/>
      <c r="N35" s="45">
        <v>31</v>
      </c>
      <c r="O35" s="45">
        <v>20.03</v>
      </c>
      <c r="P35" s="45">
        <v>9.0299999999999994</v>
      </c>
      <c r="Q35" s="45">
        <v>9.0299999999999994</v>
      </c>
    </row>
    <row r="36" spans="2:17" x14ac:dyDescent="0.25">
      <c r="B36" s="45">
        <v>32</v>
      </c>
      <c r="C36" s="45">
        <v>44.04</v>
      </c>
      <c r="D36" s="45">
        <v>28.52</v>
      </c>
      <c r="E36" s="45">
        <v>26.87</v>
      </c>
      <c r="F36" s="46"/>
      <c r="H36" s="45">
        <v>32</v>
      </c>
      <c r="I36" s="45">
        <v>35.49</v>
      </c>
      <c r="J36" s="45">
        <v>23.18</v>
      </c>
      <c r="K36" s="45">
        <v>30.22</v>
      </c>
      <c r="L36" s="46"/>
      <c r="N36" s="45">
        <v>32</v>
      </c>
      <c r="O36" s="45">
        <v>21.16</v>
      </c>
      <c r="P36" s="45">
        <v>9.82</v>
      </c>
      <c r="Q36" s="45">
        <v>9.82</v>
      </c>
    </row>
    <row r="37" spans="2:17" x14ac:dyDescent="0.25">
      <c r="B37" s="45">
        <v>33</v>
      </c>
      <c r="C37" s="45">
        <v>48.09</v>
      </c>
      <c r="D37" s="45">
        <v>32.229999999999997</v>
      </c>
      <c r="E37" s="45">
        <v>31.94</v>
      </c>
      <c r="F37" s="46"/>
      <c r="H37" s="45">
        <v>33</v>
      </c>
      <c r="I37" s="45">
        <v>38.64</v>
      </c>
      <c r="J37" s="45">
        <v>26.09</v>
      </c>
      <c r="K37" s="45">
        <v>35.19</v>
      </c>
      <c r="L37" s="46"/>
      <c r="N37" s="45">
        <v>33</v>
      </c>
      <c r="O37" s="45">
        <v>22.39</v>
      </c>
      <c r="P37" s="45">
        <v>10.69</v>
      </c>
      <c r="Q37" s="45">
        <v>10.69</v>
      </c>
    </row>
    <row r="38" spans="2:17" x14ac:dyDescent="0.25">
      <c r="B38" s="45">
        <v>34</v>
      </c>
      <c r="C38" s="45">
        <v>52.64</v>
      </c>
      <c r="D38" s="45">
        <v>36.5</v>
      </c>
      <c r="E38" s="45">
        <v>38.04</v>
      </c>
      <c r="F38" s="46"/>
      <c r="H38" s="45">
        <v>34</v>
      </c>
      <c r="I38" s="45">
        <v>42.16</v>
      </c>
      <c r="J38" s="45">
        <v>29.44</v>
      </c>
      <c r="K38" s="45">
        <v>41.06</v>
      </c>
      <c r="L38" s="46"/>
      <c r="N38" s="45">
        <v>34</v>
      </c>
      <c r="O38" s="45">
        <v>23.72</v>
      </c>
      <c r="P38" s="45">
        <v>11.67</v>
      </c>
      <c r="Q38" s="45">
        <v>11.67</v>
      </c>
    </row>
    <row r="39" spans="2:17" x14ac:dyDescent="0.25">
      <c r="B39" s="45">
        <v>35</v>
      </c>
      <c r="C39" s="45">
        <v>57.75</v>
      </c>
      <c r="D39" s="45">
        <v>41.44</v>
      </c>
      <c r="E39" s="45">
        <v>45.41</v>
      </c>
      <c r="F39" s="46"/>
      <c r="H39" s="45">
        <v>35</v>
      </c>
      <c r="I39" s="45">
        <v>46.12</v>
      </c>
      <c r="J39" s="45">
        <v>33.299999999999997</v>
      </c>
      <c r="K39" s="45">
        <v>48.03</v>
      </c>
      <c r="L39" s="46"/>
      <c r="N39" s="45">
        <v>35</v>
      </c>
      <c r="O39" s="45">
        <v>25.18</v>
      </c>
      <c r="P39" s="45">
        <v>12.75</v>
      </c>
      <c r="Q39" s="45">
        <v>12.75</v>
      </c>
    </row>
    <row r="40" spans="2:17" x14ac:dyDescent="0.25">
      <c r="B40" s="45">
        <v>36</v>
      </c>
      <c r="C40" s="45">
        <v>63.53</v>
      </c>
      <c r="D40" s="45">
        <v>47.16</v>
      </c>
      <c r="E40" s="45">
        <v>54.36</v>
      </c>
      <c r="F40" s="46"/>
      <c r="H40" s="45">
        <v>36</v>
      </c>
      <c r="I40" s="45">
        <v>50.59</v>
      </c>
      <c r="J40" s="45">
        <v>37.75</v>
      </c>
      <c r="K40" s="45">
        <v>56.31</v>
      </c>
      <c r="L40" s="46"/>
      <c r="N40" s="45">
        <v>36</v>
      </c>
      <c r="O40" s="45">
        <v>26.77</v>
      </c>
      <c r="P40" s="45">
        <v>13.97</v>
      </c>
      <c r="Q40" s="45">
        <v>13.97</v>
      </c>
    </row>
    <row r="41" spans="2:17" x14ac:dyDescent="0.25">
      <c r="B41" s="45">
        <v>37</v>
      </c>
      <c r="C41" s="45">
        <v>70.010000000000005</v>
      </c>
      <c r="D41" s="45">
        <v>53.8</v>
      </c>
      <c r="E41" s="45">
        <v>65.27</v>
      </c>
      <c r="F41" s="46"/>
      <c r="H41" s="45">
        <v>37</v>
      </c>
      <c r="I41" s="45">
        <v>55.63</v>
      </c>
      <c r="J41" s="45">
        <v>42.92</v>
      </c>
      <c r="K41" s="45">
        <v>66.19</v>
      </c>
      <c r="L41" s="46"/>
      <c r="N41" s="45">
        <v>37</v>
      </c>
      <c r="O41" s="45">
        <v>28.51</v>
      </c>
      <c r="P41" s="45">
        <v>15.32</v>
      </c>
      <c r="Q41" s="45">
        <v>15.32</v>
      </c>
    </row>
    <row r="42" spans="2:17" x14ac:dyDescent="0.25">
      <c r="B42" s="45">
        <v>38</v>
      </c>
      <c r="C42" s="45">
        <v>77.5</v>
      </c>
      <c r="D42" s="45">
        <v>61.55</v>
      </c>
      <c r="E42" s="45">
        <v>78.61</v>
      </c>
      <c r="F42" s="46"/>
      <c r="H42" s="45">
        <v>38</v>
      </c>
      <c r="I42" s="45">
        <v>61.35</v>
      </c>
      <c r="J42" s="45">
        <v>48.93</v>
      </c>
      <c r="K42" s="45">
        <v>78.03</v>
      </c>
      <c r="L42" s="46"/>
      <c r="N42" s="45">
        <v>38</v>
      </c>
      <c r="O42" s="45">
        <v>30.43</v>
      </c>
      <c r="P42" s="45">
        <v>16.850000000000001</v>
      </c>
      <c r="Q42" s="45">
        <v>16.850000000000001</v>
      </c>
    </row>
    <row r="43" spans="2:17" x14ac:dyDescent="0.25">
      <c r="B43" s="45">
        <v>39</v>
      </c>
      <c r="C43" s="45">
        <v>85.97</v>
      </c>
      <c r="D43" s="45">
        <v>70.61</v>
      </c>
      <c r="E43" s="45">
        <v>95.03</v>
      </c>
      <c r="F43" s="46"/>
      <c r="H43" s="45">
        <v>39</v>
      </c>
      <c r="I43" s="45">
        <v>67.87</v>
      </c>
      <c r="J43" s="45">
        <v>55.96</v>
      </c>
      <c r="K43" s="45">
        <v>92.25</v>
      </c>
      <c r="L43" s="46"/>
      <c r="N43" s="45">
        <v>39</v>
      </c>
      <c r="O43" s="45">
        <v>32.53</v>
      </c>
      <c r="P43" s="45">
        <v>18.559999999999999</v>
      </c>
      <c r="Q43" s="45">
        <v>18.559999999999999</v>
      </c>
    </row>
    <row r="44" spans="2:17" x14ac:dyDescent="0.25">
      <c r="B44" s="45">
        <v>40</v>
      </c>
      <c r="C44" s="45">
        <v>95.66</v>
      </c>
      <c r="D44" s="45">
        <v>81.27</v>
      </c>
      <c r="E44" s="45">
        <v>115.31</v>
      </c>
      <c r="F44" s="46"/>
      <c r="H44" s="45">
        <v>40</v>
      </c>
      <c r="I44" s="45">
        <v>75.31</v>
      </c>
      <c r="J44" s="45">
        <v>64.2</v>
      </c>
      <c r="K44" s="45">
        <v>109.41</v>
      </c>
      <c r="L44" s="46"/>
      <c r="N44" s="45">
        <v>40</v>
      </c>
      <c r="O44" s="45">
        <v>34.869999999999997</v>
      </c>
      <c r="P44" s="45">
        <v>20.5</v>
      </c>
      <c r="Q44" s="45">
        <v>20.5</v>
      </c>
    </row>
    <row r="45" spans="2:17" x14ac:dyDescent="0.25">
      <c r="B45" s="45">
        <v>41</v>
      </c>
      <c r="C45" s="45">
        <v>106.81</v>
      </c>
      <c r="D45" s="45">
        <v>93.85</v>
      </c>
      <c r="E45" s="45">
        <v>140.51</v>
      </c>
      <c r="F45" s="46"/>
      <c r="H45" s="45">
        <v>41</v>
      </c>
      <c r="I45" s="45">
        <v>83.86</v>
      </c>
      <c r="J45" s="45">
        <v>73.900000000000006</v>
      </c>
      <c r="K45" s="45">
        <v>130.22</v>
      </c>
      <c r="L45" s="46"/>
      <c r="N45" s="45">
        <v>41</v>
      </c>
      <c r="O45" s="45">
        <v>37.450000000000003</v>
      </c>
      <c r="P45" s="45">
        <v>22.7</v>
      </c>
      <c r="Q45" s="45">
        <v>22.7</v>
      </c>
    </row>
    <row r="46" spans="2:17" x14ac:dyDescent="0.25">
      <c r="B46" s="45">
        <v>42</v>
      </c>
      <c r="C46" s="45">
        <v>119.67</v>
      </c>
      <c r="D46" s="45">
        <v>108.75</v>
      </c>
      <c r="E46" s="45">
        <v>171.99</v>
      </c>
      <c r="F46" s="46"/>
      <c r="H46" s="45">
        <v>42</v>
      </c>
      <c r="I46" s="45">
        <v>93.71</v>
      </c>
      <c r="J46" s="45">
        <v>85.38</v>
      </c>
      <c r="K46" s="45">
        <v>155.55000000000001</v>
      </c>
      <c r="L46" s="46"/>
      <c r="N46" s="45">
        <v>42</v>
      </c>
      <c r="O46" s="45">
        <v>40.33</v>
      </c>
      <c r="P46" s="45">
        <v>25.21</v>
      </c>
      <c r="Q46" s="45">
        <v>25.21</v>
      </c>
    </row>
    <row r="47" spans="2:17" x14ac:dyDescent="0.25">
      <c r="B47" s="45">
        <v>43</v>
      </c>
      <c r="C47" s="45">
        <v>134.58000000000001</v>
      </c>
      <c r="D47" s="45">
        <v>126.5</v>
      </c>
      <c r="E47" s="45">
        <v>211.56</v>
      </c>
      <c r="F47" s="46"/>
      <c r="H47" s="45">
        <v>43</v>
      </c>
      <c r="I47" s="45">
        <v>105.11</v>
      </c>
      <c r="J47" s="45">
        <v>99.02</v>
      </c>
      <c r="K47" s="45">
        <v>186.54</v>
      </c>
      <c r="L47" s="46"/>
      <c r="N47" s="45">
        <v>43</v>
      </c>
      <c r="O47" s="45">
        <v>43.54</v>
      </c>
      <c r="P47" s="45">
        <v>28.06</v>
      </c>
      <c r="Q47" s="45">
        <v>28.06</v>
      </c>
    </row>
    <row r="48" spans="2:17" x14ac:dyDescent="0.25">
      <c r="B48" s="45">
        <v>44</v>
      </c>
      <c r="C48" s="45">
        <v>151.94999999999999</v>
      </c>
      <c r="D48" s="45">
        <v>147.74</v>
      </c>
      <c r="E48" s="45">
        <v>261.60000000000002</v>
      </c>
      <c r="F48" s="46"/>
      <c r="H48" s="45">
        <v>44</v>
      </c>
      <c r="I48" s="45">
        <v>118.37</v>
      </c>
      <c r="J48" s="45">
        <v>115.31</v>
      </c>
      <c r="K48" s="45">
        <v>224.64</v>
      </c>
      <c r="L48" s="46"/>
      <c r="N48" s="45">
        <v>44</v>
      </c>
      <c r="O48" s="45">
        <v>47.13</v>
      </c>
      <c r="P48" s="45">
        <v>31.34</v>
      </c>
      <c r="Q48" s="45">
        <v>31.334</v>
      </c>
    </row>
    <row r="49" spans="2:17" x14ac:dyDescent="0.25">
      <c r="B49" s="45">
        <v>45</v>
      </c>
      <c r="C49" s="45">
        <v>172.28</v>
      </c>
      <c r="D49" s="45">
        <v>173.28</v>
      </c>
      <c r="E49" s="45">
        <v>325.33999999999997</v>
      </c>
      <c r="F49" s="46"/>
      <c r="H49" s="45">
        <v>45</v>
      </c>
      <c r="I49" s="45">
        <v>133.88</v>
      </c>
      <c r="J49" s="45">
        <v>134.88</v>
      </c>
      <c r="K49" s="45">
        <v>271.76</v>
      </c>
      <c r="L49" s="46"/>
      <c r="N49" s="45">
        <v>45</v>
      </c>
      <c r="O49" s="45">
        <v>51.17</v>
      </c>
      <c r="P49" s="45">
        <v>35.11</v>
      </c>
      <c r="Q49" s="45">
        <v>35.11</v>
      </c>
    </row>
    <row r="50" spans="2:17" x14ac:dyDescent="0.25">
      <c r="B50" s="45">
        <v>46</v>
      </c>
      <c r="C50" s="45">
        <v>196.22</v>
      </c>
      <c r="D50" s="45">
        <v>204.19</v>
      </c>
      <c r="E50" s="45">
        <v>407.11</v>
      </c>
      <c r="F50" s="46"/>
      <c r="H50" s="45">
        <v>46</v>
      </c>
      <c r="I50" s="45">
        <v>152.1</v>
      </c>
      <c r="J50" s="45">
        <v>158.51</v>
      </c>
      <c r="K50" s="45">
        <v>330.35</v>
      </c>
      <c r="L50" s="46"/>
      <c r="N50" s="45">
        <v>46</v>
      </c>
      <c r="O50" s="45">
        <v>55.73</v>
      </c>
      <c r="P50" s="45">
        <v>39.479999999999997</v>
      </c>
      <c r="Q50" s="45">
        <v>39.479999999999997</v>
      </c>
    </row>
    <row r="51" spans="2:17" x14ac:dyDescent="0.25">
      <c r="B51" s="45">
        <v>47</v>
      </c>
      <c r="C51" s="45">
        <v>224.55</v>
      </c>
      <c r="D51" s="45">
        <v>241.8</v>
      </c>
      <c r="E51" s="45">
        <v>512.84</v>
      </c>
      <c r="F51" s="46"/>
      <c r="H51" s="45">
        <v>47</v>
      </c>
      <c r="I51" s="45">
        <v>173.64</v>
      </c>
      <c r="J51" s="45">
        <v>187.21</v>
      </c>
      <c r="K51" s="45">
        <v>403.67</v>
      </c>
      <c r="L51" s="46"/>
      <c r="N51" s="45">
        <v>47</v>
      </c>
      <c r="O51" s="45">
        <v>60.91</v>
      </c>
      <c r="P51" s="45">
        <v>44.45</v>
      </c>
      <c r="Q51" s="45">
        <v>44.45</v>
      </c>
    </row>
    <row r="52" spans="2:17" x14ac:dyDescent="0.25">
      <c r="B52" s="45">
        <v>48</v>
      </c>
      <c r="C52" s="45">
        <v>258.27999999999997</v>
      </c>
      <c r="D52" s="45">
        <v>287.85000000000002</v>
      </c>
      <c r="E52" s="45">
        <v>650.66999999999996</v>
      </c>
      <c r="F52" s="46"/>
      <c r="H52" s="45">
        <v>48</v>
      </c>
      <c r="I52" s="45">
        <v>199.26</v>
      </c>
      <c r="J52" s="45">
        <v>222.31</v>
      </c>
      <c r="K52" s="45">
        <v>496.01</v>
      </c>
      <c r="L52" s="46"/>
      <c r="N52" s="45">
        <v>48</v>
      </c>
      <c r="O52" s="45">
        <v>66.8</v>
      </c>
      <c r="P52" s="45">
        <v>50.46</v>
      </c>
      <c r="Q52" s="45">
        <v>50.46</v>
      </c>
    </row>
    <row r="53" spans="2:17" x14ac:dyDescent="0.25">
      <c r="B53" s="45">
        <v>49</v>
      </c>
      <c r="C53" s="45">
        <v>298.70999999999998</v>
      </c>
      <c r="D53" s="45">
        <v>344.63</v>
      </c>
      <c r="E53" s="45">
        <v>831.99</v>
      </c>
      <c r="F53" s="46"/>
      <c r="H53" s="45">
        <v>49</v>
      </c>
      <c r="I53" s="45">
        <v>229.93</v>
      </c>
      <c r="J53" s="45">
        <v>265.51</v>
      </c>
      <c r="K53" s="45">
        <v>613.16</v>
      </c>
      <c r="L53" s="46"/>
      <c r="N53" s="45">
        <v>49</v>
      </c>
      <c r="O53" s="45">
        <v>73.55</v>
      </c>
      <c r="P53" s="45">
        <v>57.41</v>
      </c>
      <c r="Q53" s="45">
        <v>57.41</v>
      </c>
    </row>
    <row r="54" spans="2:17" x14ac:dyDescent="0.25">
      <c r="B54" s="45">
        <v>50</v>
      </c>
      <c r="C54" s="45">
        <v>347.5</v>
      </c>
      <c r="D54" s="45">
        <v>415.14</v>
      </c>
      <c r="E54" s="45">
        <v>1072.8</v>
      </c>
      <c r="F54" s="46"/>
      <c r="H54" s="45">
        <v>50</v>
      </c>
      <c r="I54" s="45">
        <v>266.89</v>
      </c>
      <c r="J54" s="45">
        <v>319.07</v>
      </c>
      <c r="K54" s="45">
        <v>762.89</v>
      </c>
      <c r="L54" s="46"/>
      <c r="N54" s="45">
        <v>50</v>
      </c>
      <c r="O54" s="45">
        <v>81.31</v>
      </c>
      <c r="P54" s="45">
        <v>65.599999999999994</v>
      </c>
      <c r="Q54" s="45">
        <v>65.599999999999994</v>
      </c>
    </row>
  </sheetData>
  <mergeCells count="3">
    <mergeCell ref="C2:E2"/>
    <mergeCell ref="I2:K2"/>
    <mergeCell ref="O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329E-E83D-4903-BA23-11F11B44BF5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Terzaghi</vt:lpstr>
      <vt:lpstr>Ecuación General</vt:lpstr>
      <vt:lpstr>Vesic</vt:lpstr>
      <vt:lpstr>Tercer Parcial</vt:lpstr>
      <vt:lpstr>Base de datos</vt:lpstr>
      <vt:lpstr>Tablas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2018-11-19T08:03:38Z</dcterms:modified>
</cp:coreProperties>
</file>