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hit\Documents\GitHub\FantasyFootball\2017\"/>
    </mc:Choice>
  </mc:AlternateContent>
  <bookViews>
    <workbookView xWindow="0" yWindow="0" windowWidth="20490" windowHeight="7530"/>
  </bookViews>
  <sheets>
    <sheet name="Points2017" sheetId="1" r:id="rId1"/>
    <sheet name="List" sheetId="2" r:id="rId2"/>
    <sheet name="probwin" sheetId="3" r:id="rId3"/>
  </sheets>
  <calcPr calcId="162913"/>
</workbook>
</file>

<file path=xl/calcChain.xml><?xml version="1.0" encoding="utf-8"?>
<calcChain xmlns="http://schemas.openxmlformats.org/spreadsheetml/2006/main">
  <c r="O27" i="1" l="1"/>
  <c r="O28" i="1"/>
  <c r="O29" i="1"/>
  <c r="O30" i="1"/>
  <c r="O31" i="1"/>
  <c r="O32" i="1"/>
  <c r="O33" i="1"/>
  <c r="O34" i="1"/>
  <c r="O35" i="1"/>
  <c r="O26" i="1"/>
  <c r="C23" i="1"/>
  <c r="C22" i="1"/>
  <c r="C21" i="1"/>
  <c r="C20" i="1"/>
  <c r="C19" i="1"/>
  <c r="C18" i="1"/>
  <c r="C17" i="1"/>
  <c r="C16" i="1"/>
  <c r="C15" i="1"/>
  <c r="C14" i="1"/>
  <c r="A14" i="1" l="1"/>
  <c r="D23" i="1"/>
  <c r="D22" i="1"/>
  <c r="D21" i="1"/>
  <c r="D20" i="1"/>
  <c r="D19" i="1"/>
  <c r="D18" i="1"/>
  <c r="D17" i="1"/>
  <c r="D16" i="1"/>
  <c r="D15" i="1"/>
  <c r="D14" i="1"/>
  <c r="O14" i="1" l="1"/>
  <c r="M14" i="1"/>
  <c r="L14" i="1"/>
  <c r="K14" i="1"/>
  <c r="D38" i="3" l="1"/>
  <c r="E38" i="3"/>
  <c r="F38" i="3"/>
  <c r="G38" i="3"/>
  <c r="H38" i="3"/>
  <c r="I38" i="3"/>
  <c r="J38" i="3"/>
  <c r="K38" i="3"/>
  <c r="L38" i="3"/>
  <c r="C38" i="3"/>
  <c r="D15" i="3"/>
  <c r="D27" i="3" s="1"/>
  <c r="F15" i="3"/>
  <c r="F27" i="3" s="1"/>
  <c r="H15" i="3"/>
  <c r="H27" i="3" s="1"/>
  <c r="J15" i="3"/>
  <c r="J27" i="3" s="1"/>
  <c r="K15" i="3"/>
  <c r="K27" i="3" s="1"/>
  <c r="L15" i="3"/>
  <c r="L27" i="3" s="1"/>
  <c r="D16" i="3"/>
  <c r="D28" i="3" s="1"/>
  <c r="E16" i="3"/>
  <c r="E28" i="3" s="1"/>
  <c r="F16" i="3"/>
  <c r="F28" i="3" s="1"/>
  <c r="G16" i="3"/>
  <c r="G28" i="3" s="1"/>
  <c r="I16" i="3"/>
  <c r="I28" i="3" s="1"/>
  <c r="J16" i="3"/>
  <c r="J28" i="3" s="1"/>
  <c r="D17" i="3"/>
  <c r="D29" i="3" s="1"/>
  <c r="E17" i="3"/>
  <c r="E29" i="3" s="1"/>
  <c r="G17" i="3"/>
  <c r="G29" i="3" s="1"/>
  <c r="H17" i="3"/>
  <c r="H29" i="3" s="1"/>
  <c r="I17" i="3"/>
  <c r="I29" i="3" s="1"/>
  <c r="K17" i="3"/>
  <c r="K29" i="3" s="1"/>
  <c r="L17" i="3"/>
  <c r="L29" i="3" s="1"/>
  <c r="D18" i="3"/>
  <c r="D30" i="3" s="1"/>
  <c r="F18" i="3"/>
  <c r="F30" i="3" s="1"/>
  <c r="G18" i="3"/>
  <c r="G30" i="3" s="1"/>
  <c r="H18" i="3"/>
  <c r="H30" i="3" s="1"/>
  <c r="J18" i="3"/>
  <c r="J30" i="3" s="1"/>
  <c r="K18" i="3"/>
  <c r="K30" i="3" s="1"/>
  <c r="D19" i="3"/>
  <c r="D31" i="3" s="1"/>
  <c r="E19" i="3"/>
  <c r="E31" i="3" s="1"/>
  <c r="F19" i="3"/>
  <c r="F31" i="3" s="1"/>
  <c r="G19" i="3"/>
  <c r="G31" i="3" s="1"/>
  <c r="I19" i="3"/>
  <c r="I31" i="3" s="1"/>
  <c r="K19" i="3"/>
  <c r="K31" i="3" s="1"/>
  <c r="L19" i="3"/>
  <c r="L31" i="3" s="1"/>
  <c r="E20" i="3"/>
  <c r="E32" i="3" s="1"/>
  <c r="F20" i="3"/>
  <c r="F32" i="3" s="1"/>
  <c r="H20" i="3"/>
  <c r="H32" i="3" s="1"/>
  <c r="I20" i="3"/>
  <c r="I32" i="3" s="1"/>
  <c r="K20" i="3"/>
  <c r="K32" i="3" s="1"/>
  <c r="L20" i="3"/>
  <c r="L32" i="3" s="1"/>
  <c r="D21" i="3"/>
  <c r="D33" i="3" s="1"/>
  <c r="E21" i="3"/>
  <c r="E33" i="3" s="1"/>
  <c r="G21" i="3"/>
  <c r="G33" i="3" s="1"/>
  <c r="H21" i="3"/>
  <c r="H33" i="3" s="1"/>
  <c r="I21" i="3"/>
  <c r="I33" i="3" s="1"/>
  <c r="J21" i="3"/>
  <c r="J33" i="3" s="1"/>
  <c r="L21" i="3"/>
  <c r="L33" i="3" s="1"/>
  <c r="D22" i="3"/>
  <c r="D34" i="3" s="1"/>
  <c r="F22" i="3"/>
  <c r="F34" i="3" s="1"/>
  <c r="I22" i="3"/>
  <c r="I34" i="3" s="1"/>
  <c r="J22" i="3"/>
  <c r="J34" i="3" s="1"/>
  <c r="K22" i="3"/>
  <c r="K34" i="3" s="1"/>
  <c r="L22" i="3"/>
  <c r="L34" i="3" s="1"/>
  <c r="E23" i="3"/>
  <c r="E35" i="3" s="1"/>
  <c r="F23" i="3"/>
  <c r="F35" i="3" s="1"/>
  <c r="G23" i="3"/>
  <c r="G35" i="3" s="1"/>
  <c r="H23" i="3"/>
  <c r="H35" i="3" s="1"/>
  <c r="J23" i="3"/>
  <c r="J35" i="3" s="1"/>
  <c r="K23" i="3"/>
  <c r="K35" i="3" s="1"/>
  <c r="E24" i="3"/>
  <c r="E36" i="3" s="1"/>
  <c r="G24" i="3"/>
  <c r="G36" i="3" s="1"/>
  <c r="H24" i="3"/>
  <c r="H36" i="3" s="1"/>
  <c r="I24" i="3"/>
  <c r="I36" i="3" s="1"/>
  <c r="J24" i="3"/>
  <c r="J36" i="3" s="1"/>
  <c r="L24" i="3"/>
  <c r="L36" i="3" s="1"/>
  <c r="C16" i="3"/>
  <c r="C28" i="3" s="1"/>
  <c r="C18" i="3"/>
  <c r="C30" i="3" s="1"/>
  <c r="C20" i="3"/>
  <c r="C32" i="3" s="1"/>
  <c r="C22" i="3"/>
  <c r="C34" i="3" s="1"/>
  <c r="C23" i="3"/>
  <c r="C35" i="3" s="1"/>
  <c r="C24" i="3"/>
  <c r="C36" i="3" s="1"/>
  <c r="C15" i="3"/>
  <c r="C27" i="3" s="1"/>
  <c r="P27" i="3" l="1"/>
  <c r="R36" i="3"/>
  <c r="Q34" i="3"/>
  <c r="S32" i="3"/>
  <c r="T30" i="3"/>
  <c r="P36" i="3"/>
  <c r="P30" i="3"/>
  <c r="V36" i="3"/>
  <c r="X35" i="3"/>
  <c r="S35" i="3"/>
  <c r="W34" i="3"/>
  <c r="Y33" i="3"/>
  <c r="T33" i="3"/>
  <c r="X32" i="3"/>
  <c r="R32" i="3"/>
  <c r="T31" i="3"/>
  <c r="X30" i="3"/>
  <c r="S30" i="3"/>
  <c r="V29" i="3"/>
  <c r="Q29" i="3"/>
  <c r="S28" i="3"/>
  <c r="X27" i="3"/>
  <c r="Q27" i="3"/>
  <c r="P32" i="3"/>
  <c r="T35" i="3"/>
  <c r="Y32" i="3"/>
  <c r="Q31" i="3"/>
  <c r="R29" i="3"/>
  <c r="T28" i="3"/>
  <c r="Y27" i="3"/>
  <c r="S27" i="3"/>
  <c r="P28" i="3"/>
  <c r="W35" i="3"/>
  <c r="R35" i="3"/>
  <c r="V34" i="3"/>
  <c r="W33" i="3"/>
  <c r="R33" i="3"/>
  <c r="V32" i="3"/>
  <c r="Y31" i="3"/>
  <c r="S31" i="3"/>
  <c r="W30" i="3"/>
  <c r="Q30" i="3"/>
  <c r="U29" i="3"/>
  <c r="W28" i="3"/>
  <c r="R28" i="3"/>
  <c r="W27" i="3"/>
  <c r="W36" i="3"/>
  <c r="X34" i="3"/>
  <c r="U33" i="3"/>
  <c r="V31" i="3"/>
  <c r="X29" i="3"/>
  <c r="P35" i="3"/>
  <c r="U36" i="3"/>
  <c r="P34" i="3"/>
  <c r="Y36" i="3"/>
  <c r="T36" i="3"/>
  <c r="U35" i="3"/>
  <c r="Y34" i="3"/>
  <c r="S34" i="3"/>
  <c r="V33" i="3"/>
  <c r="Q33" i="3"/>
  <c r="U32" i="3"/>
  <c r="X31" i="3"/>
  <c r="R31" i="3"/>
  <c r="U30" i="3"/>
  <c r="Y29" i="3"/>
  <c r="T29" i="3"/>
  <c r="V28" i="3"/>
  <c r="Q28" i="3"/>
  <c r="U27" i="3"/>
  <c r="T3" i="1"/>
  <c r="U3" i="1"/>
  <c r="V3" i="1"/>
  <c r="W3" i="1"/>
  <c r="X3" i="1"/>
  <c r="Y3" i="1"/>
  <c r="Z3" i="1"/>
  <c r="AA3" i="1"/>
  <c r="AB3" i="1"/>
  <c r="AC3" i="1"/>
  <c r="AD3" i="1"/>
  <c r="AE3" i="1"/>
  <c r="T4" i="1"/>
  <c r="U4" i="1"/>
  <c r="V4" i="1"/>
  <c r="W4" i="1"/>
  <c r="X4" i="1"/>
  <c r="Y4" i="1"/>
  <c r="Z4" i="1"/>
  <c r="AA4" i="1"/>
  <c r="AB4" i="1"/>
  <c r="AC4" i="1"/>
  <c r="AD4" i="1"/>
  <c r="AE4" i="1"/>
  <c r="T5" i="1"/>
  <c r="U5" i="1"/>
  <c r="V5" i="1"/>
  <c r="W5" i="1"/>
  <c r="X5" i="1"/>
  <c r="Y5" i="1"/>
  <c r="Z5" i="1"/>
  <c r="AA5" i="1"/>
  <c r="AB5" i="1"/>
  <c r="AC5" i="1"/>
  <c r="AD5" i="1"/>
  <c r="AE5" i="1"/>
  <c r="T6" i="1"/>
  <c r="U6" i="1"/>
  <c r="V6" i="1"/>
  <c r="W6" i="1"/>
  <c r="X6" i="1"/>
  <c r="Y6" i="1"/>
  <c r="Z6" i="1"/>
  <c r="AA6" i="1"/>
  <c r="AB6" i="1"/>
  <c r="AC6" i="1"/>
  <c r="AD6" i="1"/>
  <c r="AE6" i="1"/>
  <c r="T7" i="1"/>
  <c r="U7" i="1"/>
  <c r="V7" i="1"/>
  <c r="W7" i="1"/>
  <c r="X7" i="1"/>
  <c r="Y7" i="1"/>
  <c r="Z7" i="1"/>
  <c r="AA7" i="1"/>
  <c r="AB7" i="1"/>
  <c r="AC7" i="1"/>
  <c r="AD7" i="1"/>
  <c r="AE7" i="1"/>
  <c r="T8" i="1"/>
  <c r="U8" i="1"/>
  <c r="V8" i="1"/>
  <c r="W8" i="1"/>
  <c r="X8" i="1"/>
  <c r="Y8" i="1"/>
  <c r="Z8" i="1"/>
  <c r="AA8" i="1"/>
  <c r="AB8" i="1"/>
  <c r="AC8" i="1"/>
  <c r="AD8" i="1"/>
  <c r="AE8" i="1"/>
  <c r="T9" i="1"/>
  <c r="U9" i="1"/>
  <c r="V9" i="1"/>
  <c r="W9" i="1"/>
  <c r="X9" i="1"/>
  <c r="Y9" i="1"/>
  <c r="Z9" i="1"/>
  <c r="AA9" i="1"/>
  <c r="AB9" i="1"/>
  <c r="AC9" i="1"/>
  <c r="AD9" i="1"/>
  <c r="AE9" i="1"/>
  <c r="T10" i="1"/>
  <c r="U10" i="1"/>
  <c r="V10" i="1"/>
  <c r="W10" i="1"/>
  <c r="X10" i="1"/>
  <c r="Y10" i="1"/>
  <c r="Z10" i="1"/>
  <c r="AA10" i="1"/>
  <c r="AB10" i="1"/>
  <c r="AC10" i="1"/>
  <c r="AD10" i="1"/>
  <c r="AE10" i="1"/>
  <c r="T11" i="1"/>
  <c r="U11" i="1"/>
  <c r="V11" i="1"/>
  <c r="W11" i="1"/>
  <c r="X11" i="1"/>
  <c r="Y11" i="1"/>
  <c r="Z11" i="1"/>
  <c r="AA11" i="1"/>
  <c r="AB11" i="1"/>
  <c r="AC11" i="1"/>
  <c r="AD11" i="1"/>
  <c r="AE11" i="1"/>
  <c r="T12" i="1"/>
  <c r="U12" i="1"/>
  <c r="V12" i="1"/>
  <c r="W12" i="1"/>
  <c r="X12" i="1"/>
  <c r="Y12" i="1"/>
  <c r="Z12" i="1"/>
  <c r="AA12" i="1"/>
  <c r="AB12" i="1"/>
  <c r="AC12" i="1"/>
  <c r="AD12" i="1"/>
  <c r="AE12" i="1"/>
  <c r="S4" i="1"/>
  <c r="S5" i="1"/>
  <c r="S6" i="1"/>
  <c r="S7" i="1"/>
  <c r="S8" i="1"/>
  <c r="S9" i="1"/>
  <c r="S10" i="1"/>
  <c r="S11" i="1"/>
  <c r="S12" i="1"/>
  <c r="S3" i="1"/>
  <c r="E15" i="1" l="1"/>
  <c r="F15" i="1"/>
  <c r="G15" i="1"/>
  <c r="H15" i="1"/>
  <c r="I15" i="1"/>
  <c r="J15" i="1"/>
  <c r="K15" i="1"/>
  <c r="L15" i="1"/>
  <c r="M15" i="1"/>
  <c r="N15" i="1"/>
  <c r="O15" i="1"/>
  <c r="E16" i="1"/>
  <c r="F16" i="1"/>
  <c r="G16" i="1"/>
  <c r="H16" i="1"/>
  <c r="I16" i="1"/>
  <c r="J16" i="1"/>
  <c r="K16" i="1"/>
  <c r="L16" i="1"/>
  <c r="M16" i="1"/>
  <c r="N16" i="1"/>
  <c r="O16" i="1"/>
  <c r="E17" i="1"/>
  <c r="F17" i="1"/>
  <c r="G17" i="1"/>
  <c r="H17" i="1"/>
  <c r="I17" i="1"/>
  <c r="J17" i="1"/>
  <c r="K17" i="1"/>
  <c r="L17" i="1"/>
  <c r="M17" i="1"/>
  <c r="N17" i="1"/>
  <c r="O17" i="1"/>
  <c r="E18" i="1"/>
  <c r="F18" i="1"/>
  <c r="G18" i="1"/>
  <c r="H18" i="1"/>
  <c r="I18" i="1"/>
  <c r="J18" i="1"/>
  <c r="K18" i="1"/>
  <c r="L18" i="1"/>
  <c r="M18" i="1"/>
  <c r="N18" i="1"/>
  <c r="O18" i="1"/>
  <c r="E19" i="1"/>
  <c r="F19" i="1"/>
  <c r="G19" i="1"/>
  <c r="H19" i="1"/>
  <c r="I19" i="1"/>
  <c r="J19" i="1"/>
  <c r="K19" i="1"/>
  <c r="L19" i="1"/>
  <c r="M19" i="1"/>
  <c r="N19" i="1"/>
  <c r="O19" i="1"/>
  <c r="E20" i="1"/>
  <c r="F20" i="1"/>
  <c r="G20" i="1"/>
  <c r="H20" i="1"/>
  <c r="I20" i="1"/>
  <c r="J20" i="1"/>
  <c r="K20" i="1"/>
  <c r="L20" i="1"/>
  <c r="M20" i="1"/>
  <c r="N20" i="1"/>
  <c r="O20" i="1"/>
  <c r="E21" i="1"/>
  <c r="F21" i="1"/>
  <c r="G21" i="1"/>
  <c r="H21" i="1"/>
  <c r="I21" i="1"/>
  <c r="J21" i="1"/>
  <c r="K21" i="1"/>
  <c r="L21" i="1"/>
  <c r="M21" i="1"/>
  <c r="N21" i="1"/>
  <c r="O21" i="1"/>
  <c r="E22" i="1"/>
  <c r="F22" i="1"/>
  <c r="G22" i="1"/>
  <c r="H22" i="1"/>
  <c r="I22" i="1"/>
  <c r="J22" i="1"/>
  <c r="K22" i="1"/>
  <c r="L22" i="1"/>
  <c r="M22" i="1"/>
  <c r="N22" i="1"/>
  <c r="O22" i="1"/>
  <c r="E23" i="1"/>
  <c r="F23" i="1"/>
  <c r="G23" i="1"/>
  <c r="H23" i="1"/>
  <c r="I23" i="1"/>
  <c r="J23" i="1"/>
  <c r="K23" i="1"/>
  <c r="L23" i="1"/>
  <c r="M23" i="1"/>
  <c r="N23" i="1"/>
  <c r="O23" i="1"/>
  <c r="N14" i="1"/>
  <c r="J14" i="1"/>
  <c r="I14" i="1"/>
  <c r="H14" i="1"/>
  <c r="G14" i="1"/>
  <c r="F14" i="1"/>
  <c r="E14" i="1"/>
  <c r="P21" i="1" l="1"/>
  <c r="P14" i="1"/>
  <c r="P23" i="1"/>
  <c r="P19" i="1"/>
  <c r="P15" i="1"/>
  <c r="P17" i="1"/>
  <c r="P20" i="1"/>
  <c r="P16" i="1"/>
  <c r="P22" i="1"/>
  <c r="P18" i="1"/>
  <c r="P13" i="1"/>
  <c r="R1" i="2"/>
  <c r="A1" i="2" s="1"/>
  <c r="I23" i="3" l="1"/>
  <c r="I18" i="3"/>
  <c r="I15" i="3"/>
  <c r="I27" i="3" s="1"/>
  <c r="G22" i="3"/>
  <c r="G15" i="3"/>
  <c r="G20" i="3"/>
  <c r="G32" i="3" s="1"/>
  <c r="J19" i="3"/>
  <c r="C17" i="3"/>
  <c r="C21" i="3"/>
  <c r="C33" i="3" s="1"/>
  <c r="C19" i="3"/>
  <c r="H22" i="3"/>
  <c r="H19" i="3"/>
  <c r="H31" i="3" s="1"/>
  <c r="H16" i="3"/>
  <c r="J20" i="3"/>
  <c r="L18" i="3"/>
  <c r="L30" i="3" s="1"/>
  <c r="L23" i="3"/>
  <c r="L16" i="3"/>
  <c r="D23" i="3"/>
  <c r="D35" i="3" s="1"/>
  <c r="D24" i="3"/>
  <c r="D20" i="3"/>
  <c r="E18" i="3"/>
  <c r="E22" i="3"/>
  <c r="E34" i="3" s="1"/>
  <c r="E15" i="3"/>
  <c r="J17" i="3"/>
  <c r="J29" i="3" s="1"/>
  <c r="F24" i="3"/>
  <c r="F36" i="3" s="1"/>
  <c r="F17" i="3"/>
  <c r="F21" i="3"/>
  <c r="K16" i="3"/>
  <c r="K28" i="3" s="1"/>
  <c r="K24" i="3"/>
  <c r="K21" i="3"/>
  <c r="AF12" i="1"/>
  <c r="AF11" i="1"/>
  <c r="AF10" i="1"/>
  <c r="AF9" i="1"/>
  <c r="AF8" i="1"/>
  <c r="AF7" i="1"/>
  <c r="AF6" i="1"/>
  <c r="AF5" i="1"/>
  <c r="AF4" i="1"/>
  <c r="AF3" i="1"/>
  <c r="A23" i="1"/>
  <c r="A22" i="1"/>
  <c r="A20" i="1"/>
  <c r="A18" i="1"/>
  <c r="A16" i="1"/>
  <c r="A21" i="1"/>
  <c r="A19" i="1"/>
  <c r="A17" i="1"/>
  <c r="A15" i="1"/>
  <c r="C27" i="1" l="1"/>
  <c r="C34" i="1"/>
  <c r="C31" i="1"/>
  <c r="C28" i="1"/>
  <c r="C30" i="1"/>
  <c r="C32" i="1"/>
  <c r="C33" i="1"/>
  <c r="C26" i="1"/>
  <c r="C29" i="1"/>
  <c r="C35" i="1"/>
  <c r="M27" i="1"/>
  <c r="N28" i="1"/>
  <c r="L30" i="1"/>
  <c r="M31" i="1"/>
  <c r="N32" i="1"/>
  <c r="L34" i="1"/>
  <c r="M35" i="1"/>
  <c r="L26" i="1"/>
  <c r="M29" i="1"/>
  <c r="L32" i="1"/>
  <c r="N34" i="1"/>
  <c r="L27" i="1"/>
  <c r="N29" i="1"/>
  <c r="M32" i="1"/>
  <c r="L35" i="1"/>
  <c r="N26" i="1"/>
  <c r="N27" i="1"/>
  <c r="L29" i="1"/>
  <c r="M30" i="1"/>
  <c r="N31" i="1"/>
  <c r="L33" i="1"/>
  <c r="M34" i="1"/>
  <c r="N35" i="1"/>
  <c r="L28" i="1"/>
  <c r="N30" i="1"/>
  <c r="M33" i="1"/>
  <c r="M26" i="1"/>
  <c r="M28" i="1"/>
  <c r="L31" i="1"/>
  <c r="N33" i="1"/>
  <c r="O14" i="3"/>
  <c r="D32" i="3" s="1"/>
  <c r="Q32" i="3" s="1"/>
  <c r="O15" i="3"/>
  <c r="AG6" i="1"/>
  <c r="AG10" i="1"/>
  <c r="AG3" i="1"/>
  <c r="AG5" i="1"/>
  <c r="AG9" i="1"/>
  <c r="AG7" i="1"/>
  <c r="AG11" i="1"/>
  <c r="AG4" i="1"/>
  <c r="AG8" i="1"/>
  <c r="AG12" i="1"/>
  <c r="AF14" i="1"/>
  <c r="C4" i="2"/>
  <c r="C8" i="2"/>
  <c r="C12" i="2"/>
  <c r="C5" i="2"/>
  <c r="C9" i="2"/>
  <c r="C3" i="2"/>
  <c r="C6" i="2"/>
  <c r="C10" i="2"/>
  <c r="B3" i="2"/>
  <c r="C7" i="2"/>
  <c r="C11" i="2"/>
  <c r="B4" i="2"/>
  <c r="B8" i="2"/>
  <c r="B12" i="2"/>
  <c r="B9" i="2"/>
  <c r="B5" i="2"/>
  <c r="B6" i="2"/>
  <c r="B10" i="2"/>
  <c r="B7" i="2"/>
  <c r="B11" i="2"/>
  <c r="G28" i="1"/>
  <c r="J28" i="1"/>
  <c r="I28" i="1"/>
  <c r="F28" i="1"/>
  <c r="H28" i="1"/>
  <c r="K35" i="1"/>
  <c r="H29" i="1"/>
  <c r="G26" i="1"/>
  <c r="H34" i="1"/>
  <c r="I29" i="1"/>
  <c r="K29" i="1"/>
  <c r="K27" i="1"/>
  <c r="F29" i="1"/>
  <c r="G31" i="1"/>
  <c r="G29" i="1"/>
  <c r="G34" i="1"/>
  <c r="F33" i="1"/>
  <c r="I35" i="1"/>
  <c r="F35" i="1"/>
  <c r="H35" i="1"/>
  <c r="I34" i="1"/>
  <c r="K26" i="1"/>
  <c r="I33" i="1"/>
  <c r="H26" i="1"/>
  <c r="J33" i="1"/>
  <c r="K34" i="1"/>
  <c r="J30" i="1"/>
  <c r="H32" i="1"/>
  <c r="H33" i="1"/>
  <c r="G33" i="1"/>
  <c r="J34" i="1"/>
  <c r="J32" i="1"/>
  <c r="G27" i="1"/>
  <c r="J29" i="1"/>
  <c r="J26" i="1"/>
  <c r="K31" i="1"/>
  <c r="G32" i="1"/>
  <c r="J27" i="1"/>
  <c r="F31" i="1"/>
  <c r="G30" i="1"/>
  <c r="H27" i="1"/>
  <c r="F26" i="1"/>
  <c r="I30" i="1"/>
  <c r="F30" i="1"/>
  <c r="J35" i="1"/>
  <c r="I26" i="1"/>
  <c r="F27" i="1"/>
  <c r="F34" i="1"/>
  <c r="J31" i="1"/>
  <c r="F32" i="1"/>
  <c r="I31" i="1"/>
  <c r="I32" i="1"/>
  <c r="H31" i="1"/>
  <c r="K32" i="1"/>
  <c r="K28" i="1"/>
  <c r="H30" i="1"/>
  <c r="I27" i="1"/>
  <c r="K33" i="1"/>
  <c r="G35" i="1"/>
  <c r="D26" i="1"/>
  <c r="K30" i="1"/>
  <c r="D30" i="1"/>
  <c r="D27" i="1"/>
  <c r="E31" i="1"/>
  <c r="E33" i="1"/>
  <c r="E30" i="1"/>
  <c r="I35" i="3" l="1"/>
  <c r="V35" i="3" s="1"/>
  <c r="E30" i="3"/>
  <c r="R30" i="3" s="1"/>
  <c r="J32" i="3"/>
  <c r="W32" i="3" s="1"/>
  <c r="H34" i="3"/>
  <c r="U34" i="3" s="1"/>
  <c r="G34" i="3"/>
  <c r="T34" i="3" s="1"/>
  <c r="G27" i="3"/>
  <c r="T27" i="3" s="1"/>
  <c r="K36" i="3"/>
  <c r="X36" i="3" s="1"/>
  <c r="F29" i="3"/>
  <c r="S29" i="3" s="1"/>
  <c r="D36" i="3"/>
  <c r="Q36" i="3" s="1"/>
  <c r="C29" i="3"/>
  <c r="H28" i="3"/>
  <c r="U28" i="3" s="1"/>
  <c r="I30" i="3"/>
  <c r="V30" i="3" s="1"/>
  <c r="K33" i="3"/>
  <c r="X33" i="3" s="1"/>
  <c r="E27" i="3"/>
  <c r="R27" i="3" s="1"/>
  <c r="L35" i="3"/>
  <c r="Y35" i="3" s="1"/>
  <c r="L28" i="3"/>
  <c r="Y28" i="3" s="1"/>
  <c r="C31" i="3"/>
  <c r="P31" i="3" s="1"/>
  <c r="J31" i="3"/>
  <c r="W31" i="3" s="1"/>
  <c r="F33" i="3"/>
  <c r="S33" i="3" s="1"/>
  <c r="S36" i="3"/>
  <c r="P33" i="3"/>
  <c r="R34" i="3"/>
  <c r="U31" i="3"/>
  <c r="T32" i="3"/>
  <c r="Y30" i="3"/>
  <c r="W29" i="3"/>
  <c r="Q35" i="3"/>
  <c r="AG14" i="1"/>
  <c r="E27" i="1"/>
  <c r="D31" i="1"/>
  <c r="D33" i="1"/>
  <c r="D28" i="1"/>
  <c r="E26" i="1"/>
  <c r="E35" i="1"/>
  <c r="D35" i="1"/>
  <c r="E28" i="1"/>
  <c r="D32" i="1"/>
  <c r="E32" i="1"/>
  <c r="E34" i="1"/>
  <c r="E29" i="1"/>
  <c r="D34" i="1"/>
  <c r="D29" i="1"/>
  <c r="K39" i="3" l="1"/>
  <c r="X28" i="3"/>
  <c r="X38" i="3" s="1"/>
  <c r="AA34" i="3"/>
  <c r="AA31" i="3"/>
  <c r="AA36" i="3"/>
  <c r="J39" i="3"/>
  <c r="S38" i="3"/>
  <c r="H39" i="3"/>
  <c r="E39" i="3"/>
  <c r="AA33" i="3"/>
  <c r="L39" i="3"/>
  <c r="T38" i="3"/>
  <c r="D39" i="3"/>
  <c r="W38" i="3"/>
  <c r="Y38" i="3"/>
  <c r="G39" i="3"/>
  <c r="AA30" i="3"/>
  <c r="R38" i="3"/>
  <c r="P29" i="3"/>
  <c r="C39" i="3"/>
  <c r="F39" i="3"/>
  <c r="AA32" i="3"/>
  <c r="Q38" i="3"/>
  <c r="V27" i="3"/>
  <c r="V38" i="3" s="1"/>
  <c r="I39" i="3"/>
  <c r="AA35" i="3"/>
  <c r="U38" i="3"/>
  <c r="I8" i="2"/>
  <c r="I4" i="2"/>
  <c r="I11" i="2"/>
  <c r="I7" i="2"/>
  <c r="I5" i="2"/>
  <c r="I9" i="2"/>
  <c r="Q9" i="2"/>
  <c r="F9" i="2" s="1"/>
  <c r="Q6" i="2"/>
  <c r="F6" i="2" s="1"/>
  <c r="I6" i="2"/>
  <c r="Q12" i="2"/>
  <c r="F12" i="2" s="1"/>
  <c r="I12" i="2"/>
  <c r="I3" i="2"/>
  <c r="I10" i="2"/>
  <c r="Q4" i="2"/>
  <c r="F4" i="2" s="1"/>
  <c r="D11" i="2"/>
  <c r="E9" i="2"/>
  <c r="D5" i="2"/>
  <c r="D12" i="2"/>
  <c r="D10" i="2"/>
  <c r="Q8" i="2"/>
  <c r="F8" i="2" s="1"/>
  <c r="Q5" i="2"/>
  <c r="F5" i="2" s="1"/>
  <c r="Q10" i="2"/>
  <c r="F10" i="2" s="1"/>
  <c r="Q3" i="2"/>
  <c r="F3" i="2" s="1"/>
  <c r="E7" i="2"/>
  <c r="E8" i="2"/>
  <c r="E6" i="2"/>
  <c r="E4" i="2"/>
  <c r="D3" i="2"/>
  <c r="Q7" i="2"/>
  <c r="F7" i="2" s="1"/>
  <c r="Q11" i="2"/>
  <c r="F11" i="2" s="1"/>
  <c r="T39" i="3" l="1"/>
  <c r="AB31" i="3"/>
  <c r="AC31" i="3" s="1"/>
  <c r="U39" i="3"/>
  <c r="AB32" i="3"/>
  <c r="AC32" i="3" s="1"/>
  <c r="Y39" i="3"/>
  <c r="AB36" i="3"/>
  <c r="AC36" i="3" s="1"/>
  <c r="AB34" i="3"/>
  <c r="AC34" i="3" s="1"/>
  <c r="W39" i="3"/>
  <c r="V39" i="3"/>
  <c r="AB33" i="3"/>
  <c r="AC33" i="3" s="1"/>
  <c r="AB30" i="3"/>
  <c r="AC30" i="3" s="1"/>
  <c r="S39" i="3"/>
  <c r="Q39" i="3"/>
  <c r="R39" i="3"/>
  <c r="X39" i="3"/>
  <c r="AB35" i="3"/>
  <c r="AC35" i="3" s="1"/>
  <c r="AA28" i="3"/>
  <c r="AB28" i="3" s="1"/>
  <c r="AC28" i="3" s="1"/>
  <c r="G40" i="3"/>
  <c r="J40" i="3"/>
  <c r="AA27" i="3"/>
  <c r="AB27" i="3" s="1"/>
  <c r="AC27" i="3" s="1"/>
  <c r="H40" i="3"/>
  <c r="F40" i="3"/>
  <c r="C40" i="3"/>
  <c r="D40" i="3"/>
  <c r="K40" i="3"/>
  <c r="AA29" i="3"/>
  <c r="AB29" i="3" s="1"/>
  <c r="AC29" i="3" s="1"/>
  <c r="P38" i="3"/>
  <c r="P39" i="3" s="1"/>
  <c r="I40" i="3"/>
  <c r="L40" i="3"/>
  <c r="E40" i="3"/>
  <c r="D4" i="2"/>
  <c r="E12" i="2"/>
  <c r="D9" i="2"/>
  <c r="D6" i="2"/>
  <c r="E10" i="2"/>
  <c r="E3" i="2"/>
  <c r="D7" i="2"/>
  <c r="E11" i="2"/>
  <c r="D8" i="2"/>
  <c r="E5" i="2"/>
  <c r="H11" i="2" l="1"/>
  <c r="H4" i="2"/>
  <c r="H6" i="2"/>
  <c r="H7" i="2"/>
  <c r="H5" i="2"/>
  <c r="H8" i="2"/>
  <c r="H9" i="2"/>
  <c r="H10" i="2"/>
  <c r="H12" i="2"/>
  <c r="P40" i="3"/>
  <c r="AC38" i="3"/>
  <c r="H3" i="2"/>
</calcChain>
</file>

<file path=xl/sharedStrings.xml><?xml version="1.0" encoding="utf-8"?>
<sst xmlns="http://schemas.openxmlformats.org/spreadsheetml/2006/main" count="146" uniqueCount="37">
  <si>
    <t>Team</t>
  </si>
  <si>
    <t>Week1</t>
  </si>
  <si>
    <t>Week2</t>
  </si>
  <si>
    <t>Week3</t>
  </si>
  <si>
    <t>Week4</t>
  </si>
  <si>
    <t>week5</t>
  </si>
  <si>
    <t>week6</t>
  </si>
  <si>
    <t>POWER SCORES</t>
  </si>
  <si>
    <t>REAL SCORES</t>
  </si>
  <si>
    <t>POWER SCORES SORTED</t>
  </si>
  <si>
    <t>Avacado Seeds</t>
  </si>
  <si>
    <t>Fortune Favors The Bold</t>
  </si>
  <si>
    <t>All I Do is Winston</t>
  </si>
  <si>
    <t>Los Angeles Butt Men</t>
  </si>
  <si>
    <t>unBEATable at HOME</t>
  </si>
  <si>
    <t>Elite Tostitos</t>
  </si>
  <si>
    <t>My Cousin Vinatieri</t>
  </si>
  <si>
    <t>Rohit's Avocado Farm</t>
  </si>
  <si>
    <t>21 Thicc Titans</t>
  </si>
  <si>
    <t>G - Lit</t>
  </si>
  <si>
    <t>Wins</t>
  </si>
  <si>
    <t>Prob of winning</t>
  </si>
  <si>
    <t>Expected wins</t>
  </si>
  <si>
    <t>Rank</t>
  </si>
  <si>
    <t>Teams</t>
  </si>
  <si>
    <t>Last Wk</t>
  </si>
  <si>
    <t>CHG</t>
  </si>
  <si>
    <t>RCRD</t>
  </si>
  <si>
    <t>Luck</t>
  </si>
  <si>
    <t>Week</t>
  </si>
  <si>
    <t>This Wk</t>
  </si>
  <si>
    <t>Week:</t>
  </si>
  <si>
    <t>&lt;-last wk ranks</t>
  </si>
  <si>
    <t>Current wins</t>
  </si>
  <si>
    <t>Expected win</t>
  </si>
  <si>
    <t>Playoff Probability</t>
  </si>
  <si>
    <t>Playoffs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</si>
</sst>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0" fillId="3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33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34" borderId="0" xfId="0" applyFill="1"/>
    <xf numFmtId="49" fontId="0" fillId="33" borderId="0" xfId="0" applyNumberFormat="1" applyFill="1" applyBorder="1" applyAlignment="1">
      <alignment horizontal="left"/>
    </xf>
    <xf numFmtId="0" fontId="0" fillId="35" borderId="0" xfId="0" applyFill="1"/>
    <xf numFmtId="0" fontId="0" fillId="36" borderId="0" xfId="0" applyFill="1"/>
    <xf numFmtId="0" fontId="0" fillId="35" borderId="0" xfId="0" applyFill="1" applyBorder="1" applyAlignment="1">
      <alignment horizontal="center"/>
    </xf>
    <xf numFmtId="0" fontId="0" fillId="35" borderId="10" xfId="0" applyFill="1" applyBorder="1" applyAlignment="1">
      <alignment horizontal="center" vertical="center"/>
    </xf>
    <xf numFmtId="0" fontId="0" fillId="35" borderId="0" xfId="0" quotePrefix="1" applyFill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7" fillId="35" borderId="0" xfId="0" applyFont="1" applyFill="1" applyBorder="1"/>
    <xf numFmtId="0" fontId="0" fillId="37" borderId="0" xfId="0" applyFill="1" applyBorder="1" applyAlignment="1">
      <alignment horizontal="center"/>
    </xf>
    <xf numFmtId="0" fontId="0" fillId="37" borderId="10" xfId="0" applyFill="1" applyBorder="1" applyAlignment="1">
      <alignment horizontal="center" vertical="center"/>
    </xf>
    <xf numFmtId="0" fontId="0" fillId="37" borderId="0" xfId="0" quotePrefix="1" applyFill="1" applyBorder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17" fillId="37" borderId="0" xfId="0" applyFont="1" applyFill="1" applyBorder="1"/>
    <xf numFmtId="0" fontId="0" fillId="36" borderId="0" xfId="0" applyFill="1" applyBorder="1" applyAlignment="1">
      <alignment horizontal="center"/>
    </xf>
    <xf numFmtId="0" fontId="0" fillId="36" borderId="10" xfId="0" applyFill="1" applyBorder="1" applyAlignment="1">
      <alignment horizontal="center" vertical="center"/>
    </xf>
    <xf numFmtId="0" fontId="0" fillId="36" borderId="0" xfId="0" quotePrefix="1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7" fillId="36" borderId="0" xfId="0" applyFont="1" applyFill="1" applyBorder="1"/>
    <xf numFmtId="0" fontId="0" fillId="38" borderId="0" xfId="0" applyFill="1" applyBorder="1" applyAlignment="1">
      <alignment horizontal="center"/>
    </xf>
    <xf numFmtId="0" fontId="0" fillId="38" borderId="10" xfId="0" applyFill="1" applyBorder="1" applyAlignment="1">
      <alignment horizontal="center" vertical="center"/>
    </xf>
    <xf numFmtId="0" fontId="0" fillId="38" borderId="0" xfId="0" quotePrefix="1" applyFill="1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17" fillId="38" borderId="0" xfId="0" applyFont="1" applyFill="1" applyBorder="1"/>
    <xf numFmtId="0" fontId="20" fillId="33" borderId="0" xfId="0" applyNumberFormat="1" applyFont="1" applyFill="1" applyBorder="1" applyAlignment="1">
      <alignment horizontal="center" wrapText="1"/>
    </xf>
    <xf numFmtId="9" fontId="0" fillId="35" borderId="0" xfId="0" applyNumberFormat="1" applyFill="1" applyAlignment="1">
      <alignment horizontal="center" vertical="center"/>
    </xf>
    <xf numFmtId="9" fontId="0" fillId="36" borderId="0" xfId="0" applyNumberFormat="1" applyFill="1" applyAlignment="1">
      <alignment horizontal="center" vertical="center"/>
    </xf>
    <xf numFmtId="0" fontId="0" fillId="3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8" fillId="33" borderId="0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Strength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Points2017!$C$26</c:f>
              <c:strCache>
                <c:ptCount val="1"/>
                <c:pt idx="0">
                  <c:v>Rohit's Avocado Farm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Points2017!$D$25:$N$25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Points2017!$D$26:$N$26</c:f>
              <c:numCache>
                <c:formatCode>General</c:formatCode>
                <c:ptCount val="11"/>
                <c:pt idx="0">
                  <c:v>85.689288581176001</c:v>
                </c:pt>
                <c:pt idx="1">
                  <c:v>89.379442880619806</c:v>
                </c:pt>
                <c:pt idx="2">
                  <c:v>89.505986318840556</c:v>
                </c:pt>
                <c:pt idx="3">
                  <c:v>96.737159046456654</c:v>
                </c:pt>
                <c:pt idx="4">
                  <c:v>99.957876172449673</c:v>
                </c:pt>
                <c:pt idx="5">
                  <c:v>93.289701055700135</c:v>
                </c:pt>
                <c:pt idx="6">
                  <c:v>98.955533768604951</c:v>
                </c:pt>
                <c:pt idx="7">
                  <c:v>95.199406199144462</c:v>
                </c:pt>
                <c:pt idx="8">
                  <c:v>89.277888791854508</c:v>
                </c:pt>
                <c:pt idx="9">
                  <c:v>96.903150003964129</c:v>
                </c:pt>
                <c:pt idx="10">
                  <c:v>60.809186485926396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B-4189-A8FF-F37D9312986B}"/>
            </c:ext>
          </c:extLst>
        </c:ser>
        <c:ser>
          <c:idx val="1"/>
          <c:order val="1"/>
          <c:tx>
            <c:strRef>
              <c:f>Points2017!$C$27</c:f>
              <c:strCache>
                <c:ptCount val="1"/>
                <c:pt idx="0">
                  <c:v>Avacado Seeds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Points2017!$D$25:$N$25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Points2017!$D$27:$N$27</c:f>
              <c:numCache>
                <c:formatCode>General</c:formatCode>
                <c:ptCount val="11"/>
                <c:pt idx="0">
                  <c:v>101.25144846627126</c:v>
                </c:pt>
                <c:pt idx="1">
                  <c:v>107.63787784209615</c:v>
                </c:pt>
                <c:pt idx="2">
                  <c:v>95.092655987025068</c:v>
                </c:pt>
                <c:pt idx="3">
                  <c:v>103.11139337381189</c:v>
                </c:pt>
                <c:pt idx="4">
                  <c:v>108.43515641243737</c:v>
                </c:pt>
                <c:pt idx="5">
                  <c:v>106.6649148576173</c:v>
                </c:pt>
                <c:pt idx="6">
                  <c:v>95.724251778203367</c:v>
                </c:pt>
                <c:pt idx="7">
                  <c:v>102.80913620846437</c:v>
                </c:pt>
                <c:pt idx="8">
                  <c:v>102.74660379721669</c:v>
                </c:pt>
                <c:pt idx="9">
                  <c:v>92.234025941380892</c:v>
                </c:pt>
                <c:pt idx="10">
                  <c:v>60.92975903154327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B-4189-A8FF-F37D9312986B}"/>
            </c:ext>
          </c:extLst>
        </c:ser>
        <c:ser>
          <c:idx val="2"/>
          <c:order val="2"/>
          <c:tx>
            <c:strRef>
              <c:f>Points2017!$C$28</c:f>
              <c:strCache>
                <c:ptCount val="1"/>
                <c:pt idx="0">
                  <c:v>21 Thicc Titans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Points2017!$D$25:$N$25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Points2017!$D$28:$N$28</c:f>
              <c:numCache>
                <c:formatCode>General</c:formatCode>
                <c:ptCount val="11"/>
                <c:pt idx="0">
                  <c:v>45.480838655882195</c:v>
                </c:pt>
                <c:pt idx="1">
                  <c:v>52.547608194650564</c:v>
                </c:pt>
                <c:pt idx="2">
                  <c:v>55.026873789809073</c:v>
                </c:pt>
                <c:pt idx="3">
                  <c:v>63.042125349853606</c:v>
                </c:pt>
                <c:pt idx="4">
                  <c:v>71.090958052158285</c:v>
                </c:pt>
                <c:pt idx="5">
                  <c:v>66.831429178795958</c:v>
                </c:pt>
                <c:pt idx="6">
                  <c:v>77.994715210885957</c:v>
                </c:pt>
                <c:pt idx="7">
                  <c:v>78.463234308305019</c:v>
                </c:pt>
                <c:pt idx="8">
                  <c:v>77.417914143122516</c:v>
                </c:pt>
                <c:pt idx="9">
                  <c:v>87.277752303761474</c:v>
                </c:pt>
                <c:pt idx="10">
                  <c:v>48.014616368345116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B-4189-A8FF-F37D9312986B}"/>
            </c:ext>
          </c:extLst>
        </c:ser>
        <c:ser>
          <c:idx val="3"/>
          <c:order val="3"/>
          <c:tx>
            <c:strRef>
              <c:f>Points2017!$C$29</c:f>
              <c:strCache>
                <c:ptCount val="1"/>
                <c:pt idx="0">
                  <c:v>Elite Tostitos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Points2017!$D$25:$N$25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Points2017!$D$29:$N$29</c:f>
              <c:numCache>
                <c:formatCode>General</c:formatCode>
                <c:ptCount val="11"/>
                <c:pt idx="0">
                  <c:v>67.268724955213614</c:v>
                </c:pt>
                <c:pt idx="1">
                  <c:v>72.09636564280062</c:v>
                </c:pt>
                <c:pt idx="2">
                  <c:v>81.905210624824022</c:v>
                </c:pt>
                <c:pt idx="3">
                  <c:v>83.066460177711349</c:v>
                </c:pt>
                <c:pt idx="4">
                  <c:v>73.939745523335162</c:v>
                </c:pt>
                <c:pt idx="5">
                  <c:v>85.72856219455501</c:v>
                </c:pt>
                <c:pt idx="6">
                  <c:v>80.510971148524177</c:v>
                </c:pt>
                <c:pt idx="7">
                  <c:v>75.406888491056932</c:v>
                </c:pt>
                <c:pt idx="8">
                  <c:v>82.127602055420496</c:v>
                </c:pt>
                <c:pt idx="9">
                  <c:v>83.286824713923764</c:v>
                </c:pt>
                <c:pt idx="10">
                  <c:v>51.614016894955455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1B-4189-A8FF-F37D9312986B}"/>
            </c:ext>
          </c:extLst>
        </c:ser>
        <c:ser>
          <c:idx val="4"/>
          <c:order val="4"/>
          <c:tx>
            <c:strRef>
              <c:f>Points2017!$C$30</c:f>
              <c:strCache>
                <c:ptCount val="1"/>
                <c:pt idx="0">
                  <c:v>Los Angeles Butt Men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Points2017!$D$25:$N$25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Points2017!$D$30:$N$30</c:f>
              <c:numCache>
                <c:formatCode>General</c:formatCode>
                <c:ptCount val="11"/>
                <c:pt idx="0">
                  <c:v>99.341015645451961</c:v>
                </c:pt>
                <c:pt idx="1">
                  <c:v>86.561931443849318</c:v>
                </c:pt>
                <c:pt idx="2">
                  <c:v>93.884102960667917</c:v>
                </c:pt>
                <c:pt idx="3">
                  <c:v>94.80140044530512</c:v>
                </c:pt>
                <c:pt idx="4">
                  <c:v>75.071780416606259</c:v>
                </c:pt>
                <c:pt idx="5">
                  <c:v>80.908378121518837</c:v>
                </c:pt>
                <c:pt idx="6">
                  <c:v>83.27006219726087</c:v>
                </c:pt>
                <c:pt idx="7">
                  <c:v>77.574908879153526</c:v>
                </c:pt>
                <c:pt idx="8">
                  <c:v>81.369718373061914</c:v>
                </c:pt>
                <c:pt idx="9">
                  <c:v>82.738647110983152</c:v>
                </c:pt>
                <c:pt idx="10">
                  <c:v>51.435155296131995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1B-4189-A8FF-F37D9312986B}"/>
            </c:ext>
          </c:extLst>
        </c:ser>
        <c:ser>
          <c:idx val="5"/>
          <c:order val="5"/>
          <c:tx>
            <c:strRef>
              <c:f>Points2017!$C$31</c:f>
              <c:strCache>
                <c:ptCount val="1"/>
                <c:pt idx="0">
                  <c:v>unBEATable at HOME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Points2017!$D$25:$N$25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Points2017!$D$31:$N$31</c:f>
              <c:numCache>
                <c:formatCode>General</c:formatCode>
                <c:ptCount val="11"/>
                <c:pt idx="0">
                  <c:v>84.251451445455629</c:v>
                </c:pt>
                <c:pt idx="1">
                  <c:v>89.237509783867566</c:v>
                </c:pt>
                <c:pt idx="2">
                  <c:v>85.140775974329671</c:v>
                </c:pt>
                <c:pt idx="3">
                  <c:v>71.844532062210334</c:v>
                </c:pt>
                <c:pt idx="4">
                  <c:v>81.532029643026434</c:v>
                </c:pt>
                <c:pt idx="5">
                  <c:v>74.696507291768299</c:v>
                </c:pt>
                <c:pt idx="6">
                  <c:v>42.065996616910283</c:v>
                </c:pt>
                <c:pt idx="7">
                  <c:v>51.452939475731775</c:v>
                </c:pt>
                <c:pt idx="8">
                  <c:v>71.609735933644998</c:v>
                </c:pt>
                <c:pt idx="9">
                  <c:v>80.667554742777895</c:v>
                </c:pt>
                <c:pt idx="10">
                  <c:v>39.030628227699374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1B-4189-A8FF-F37D9312986B}"/>
            </c:ext>
          </c:extLst>
        </c:ser>
        <c:ser>
          <c:idx val="6"/>
          <c:order val="6"/>
          <c:tx>
            <c:strRef>
              <c:f>Points2017!$C$32</c:f>
              <c:strCache>
                <c:ptCount val="1"/>
                <c:pt idx="0">
                  <c:v>My Cousin Vinatieri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Points2017!$D$25:$N$25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Points2017!$D$32:$N$32</c:f>
              <c:numCache>
                <c:formatCode>General</c:formatCode>
                <c:ptCount val="11"/>
                <c:pt idx="0">
                  <c:v>96.822323866328105</c:v>
                </c:pt>
                <c:pt idx="1">
                  <c:v>70.529112918712741</c:v>
                </c:pt>
                <c:pt idx="2">
                  <c:v>82.270442217735166</c:v>
                </c:pt>
                <c:pt idx="3">
                  <c:v>92.171491524358132</c:v>
                </c:pt>
                <c:pt idx="4">
                  <c:v>73.886342912824347</c:v>
                </c:pt>
                <c:pt idx="5">
                  <c:v>81.655874236137393</c:v>
                </c:pt>
                <c:pt idx="6">
                  <c:v>84.564950021570453</c:v>
                </c:pt>
                <c:pt idx="7">
                  <c:v>70.361868742438503</c:v>
                </c:pt>
                <c:pt idx="8">
                  <c:v>75.724651889825651</c:v>
                </c:pt>
                <c:pt idx="9">
                  <c:v>75.845837810213993</c:v>
                </c:pt>
                <c:pt idx="10">
                  <c:v>46.309819020880809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1B-4189-A8FF-F37D9312986B}"/>
            </c:ext>
          </c:extLst>
        </c:ser>
        <c:ser>
          <c:idx val="7"/>
          <c:order val="7"/>
          <c:tx>
            <c:strRef>
              <c:f>Points2017!$C$33</c:f>
              <c:strCache>
                <c:ptCount val="1"/>
                <c:pt idx="0">
                  <c:v>Fortune Favors The Bold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Points2017!$D$25:$N$25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Points2017!$D$33:$N$33</c:f>
              <c:numCache>
                <c:formatCode>General</c:formatCode>
                <c:ptCount val="11"/>
                <c:pt idx="0">
                  <c:v>98.29688961992133</c:v>
                </c:pt>
                <c:pt idx="1">
                  <c:v>95.545835821780315</c:v>
                </c:pt>
                <c:pt idx="2">
                  <c:v>93.423875844542437</c:v>
                </c:pt>
                <c:pt idx="3">
                  <c:v>77.702629548358729</c:v>
                </c:pt>
                <c:pt idx="4">
                  <c:v>74.866235534338728</c:v>
                </c:pt>
                <c:pt idx="5">
                  <c:v>68.518236565983372</c:v>
                </c:pt>
                <c:pt idx="6">
                  <c:v>54.955082022234862</c:v>
                </c:pt>
                <c:pt idx="7">
                  <c:v>56.440759883598247</c:v>
                </c:pt>
                <c:pt idx="8">
                  <c:v>70.678422125512341</c:v>
                </c:pt>
                <c:pt idx="9">
                  <c:v>75.237225289455637</c:v>
                </c:pt>
                <c:pt idx="10">
                  <c:v>42.672124649258713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1B-4189-A8FF-F37D9312986B}"/>
            </c:ext>
          </c:extLst>
        </c:ser>
        <c:ser>
          <c:idx val="8"/>
          <c:order val="8"/>
          <c:tx>
            <c:strRef>
              <c:f>Points2017!$C$34</c:f>
              <c:strCache>
                <c:ptCount val="1"/>
                <c:pt idx="0">
                  <c:v>All I Do is Winston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Points2017!$D$25:$N$25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Points2017!$D$34:$N$34</c:f>
              <c:numCache>
                <c:formatCode>General</c:formatCode>
                <c:ptCount val="11"/>
                <c:pt idx="0">
                  <c:v>96.786258642855643</c:v>
                </c:pt>
                <c:pt idx="1">
                  <c:v>99.066843185260311</c:v>
                </c:pt>
                <c:pt idx="2">
                  <c:v>85.189861194465777</c:v>
                </c:pt>
                <c:pt idx="3">
                  <c:v>82.344432296699821</c:v>
                </c:pt>
                <c:pt idx="4">
                  <c:v>90.776234694752887</c:v>
                </c:pt>
                <c:pt idx="5">
                  <c:v>76.86824882668698</c:v>
                </c:pt>
                <c:pt idx="6">
                  <c:v>54.342159878294048</c:v>
                </c:pt>
                <c:pt idx="7">
                  <c:v>64.068345387725117</c:v>
                </c:pt>
                <c:pt idx="8">
                  <c:v>58.611533128102153</c:v>
                </c:pt>
                <c:pt idx="9">
                  <c:v>73.750729407070452</c:v>
                </c:pt>
                <c:pt idx="10">
                  <c:v>40.812326054802824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1B-4189-A8FF-F37D9312986B}"/>
            </c:ext>
          </c:extLst>
        </c:ser>
        <c:ser>
          <c:idx val="9"/>
          <c:order val="9"/>
          <c:tx>
            <c:strRef>
              <c:f>Points2017!$C$35</c:f>
              <c:strCache>
                <c:ptCount val="1"/>
                <c:pt idx="0">
                  <c:v>G - Lit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Points2017!$D$25:$N$25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Points2017!$D$35:$N$35</c:f>
              <c:numCache>
                <c:formatCode>General</c:formatCode>
                <c:ptCount val="11"/>
                <c:pt idx="0">
                  <c:v>85.747471322292867</c:v>
                </c:pt>
                <c:pt idx="1">
                  <c:v>81.317863301167108</c:v>
                </c:pt>
                <c:pt idx="2">
                  <c:v>87.860208432586091</c:v>
                </c:pt>
                <c:pt idx="3">
                  <c:v>59.099808866595851</c:v>
                </c:pt>
                <c:pt idx="4">
                  <c:v>73.961351076001307</c:v>
                </c:pt>
                <c:pt idx="5">
                  <c:v>74.201290888806369</c:v>
                </c:pt>
                <c:pt idx="6">
                  <c:v>66.424608959221985</c:v>
                </c:pt>
                <c:pt idx="7">
                  <c:v>64.217664255853236</c:v>
                </c:pt>
                <c:pt idx="8">
                  <c:v>73.027337033880983</c:v>
                </c:pt>
                <c:pt idx="9">
                  <c:v>61.439737374658449</c:v>
                </c:pt>
                <c:pt idx="10">
                  <c:v>37.048708548280587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9-4891-9DCB-684A968A5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99232"/>
        <c:axId val="370501856"/>
      </c:scatterChart>
      <c:valAx>
        <c:axId val="370499232"/>
        <c:scaling>
          <c:orientation val="minMax"/>
          <c:max val="12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01856"/>
        <c:crosses val="autoZero"/>
        <c:crossBetween val="midCat"/>
        <c:majorUnit val="1"/>
      </c:valAx>
      <c:valAx>
        <c:axId val="370501856"/>
        <c:scaling>
          <c:orientation val="minMax"/>
          <c:max val="11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595312</xdr:colOff>
      <xdr:row>27</xdr:row>
      <xdr:rowOff>114300</xdr:rowOff>
    </xdr:from>
    <xdr:to>
      <xdr:col>25</xdr:col>
      <xdr:colOff>142875</xdr:colOff>
      <xdr:row>46</xdr:row>
      <xdr:rowOff>120967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</xdr:row>
      <xdr:rowOff>276224</xdr:rowOff>
    </xdr:from>
    <xdr:to>
      <xdr:col>10</xdr:col>
      <xdr:colOff>400050</xdr:colOff>
      <xdr:row>3</xdr:row>
      <xdr:rowOff>95249</xdr:rowOff>
    </xdr:to>
    <xdr:grpSp>
      <xdr:nvGrpSpPr>
        <xdr:cNvPr id="97" name="Group 96"/>
        <xdr:cNvGrpSpPr/>
      </xdr:nvGrpSpPr>
      <xdr:grpSpPr>
        <a:xfrm>
          <a:off x="4724400" y="628649"/>
          <a:ext cx="1019175" cy="523875"/>
          <a:chOff x="4114800" y="628649"/>
          <a:chExt cx="1019175" cy="523875"/>
        </a:xfrm>
      </xdr:grpSpPr>
      <xdr:grpSp>
        <xdr:nvGrpSpPr>
          <xdr:cNvPr id="95" name="Group 94"/>
          <xdr:cNvGrpSpPr/>
        </xdr:nvGrpSpPr>
        <xdr:grpSpPr>
          <a:xfrm>
            <a:off x="4114800" y="628649"/>
            <a:ext cx="1019175" cy="523875"/>
            <a:chOff x="4257675" y="571499"/>
            <a:chExt cx="1028700" cy="523875"/>
          </a:xfrm>
        </xdr:grpSpPr>
        <xdr:sp macro="" textlink="">
          <xdr:nvSpPr>
            <xdr:cNvPr id="92" name="TextBox 91"/>
            <xdr:cNvSpPr txBox="1"/>
          </xdr:nvSpPr>
          <xdr:spPr>
            <a:xfrm>
              <a:off x="4257675" y="571499"/>
              <a:ext cx="1028700" cy="5238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   Star=lucky</a:t>
              </a:r>
            </a:p>
            <a:p>
              <a:r>
                <a:rPr lang="en-US" sz="1100"/>
                <a:t>   Red=unlucky</a:t>
              </a:r>
            </a:p>
          </xdr:txBody>
        </xdr:sp>
        <xdr:pic>
          <xdr:nvPicPr>
            <xdr:cNvPr id="93" name="Picture 92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257675" y="771525"/>
              <a:ext cx="190476" cy="200000"/>
            </a:xfrm>
            <a:prstGeom prst="rect">
              <a:avLst/>
            </a:prstGeom>
          </xdr:spPr>
        </xdr:pic>
      </xdr:grpSp>
      <xdr:pic>
        <xdr:nvPicPr>
          <xdr:cNvPr id="96" name="Picture 9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114800" y="657225"/>
            <a:ext cx="190476" cy="171429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5"/>
  <sheetViews>
    <sheetView tabSelected="1" topLeftCell="A15" workbookViewId="0">
      <selection activeCell="O26" sqref="O26:O35"/>
    </sheetView>
  </sheetViews>
  <sheetFormatPr defaultRowHeight="15" x14ac:dyDescent="0.25"/>
  <cols>
    <col min="3" max="11" width="9.140625" customWidth="1"/>
    <col min="19" max="31" width="9.140625" customWidth="1"/>
    <col min="32" max="32" width="13.85546875" bestFit="1" customWidth="1"/>
  </cols>
  <sheetData>
    <row r="1" spans="1:33" x14ac:dyDescent="0.25">
      <c r="A1" t="s">
        <v>8</v>
      </c>
      <c r="D1" t="s">
        <v>31</v>
      </c>
      <c r="E1" s="15">
        <v>12</v>
      </c>
      <c r="O1" t="s">
        <v>36</v>
      </c>
      <c r="R1" t="s">
        <v>21</v>
      </c>
    </row>
    <row r="2" spans="1:3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 t="s">
        <v>20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X2" t="s">
        <v>6</v>
      </c>
      <c r="Y2">
        <v>7</v>
      </c>
      <c r="Z2">
        <v>8</v>
      </c>
      <c r="AA2">
        <v>9</v>
      </c>
      <c r="AB2">
        <v>10</v>
      </c>
      <c r="AC2">
        <v>11</v>
      </c>
      <c r="AD2">
        <v>12</v>
      </c>
      <c r="AE2">
        <v>13</v>
      </c>
      <c r="AF2" t="s">
        <v>22</v>
      </c>
    </row>
    <row r="3" spans="1:33" x14ac:dyDescent="0.25">
      <c r="B3" t="s">
        <v>10</v>
      </c>
      <c r="C3" s="15">
        <v>110.3</v>
      </c>
      <c r="D3" s="15">
        <v>120.5</v>
      </c>
      <c r="E3" s="15">
        <v>103</v>
      </c>
      <c r="F3" s="15">
        <v>120.5</v>
      </c>
      <c r="G3" s="15">
        <v>94</v>
      </c>
      <c r="H3" s="15">
        <v>122</v>
      </c>
      <c r="I3" s="15">
        <v>130.9</v>
      </c>
      <c r="J3" s="15">
        <v>115.7</v>
      </c>
      <c r="K3" s="15">
        <v>91.2</v>
      </c>
      <c r="L3" s="15">
        <v>122.7</v>
      </c>
      <c r="M3" s="15">
        <v>113.7</v>
      </c>
      <c r="N3" s="15">
        <v>86.8</v>
      </c>
      <c r="O3" s="15"/>
      <c r="P3" s="15">
        <v>10</v>
      </c>
      <c r="R3" t="s">
        <v>10</v>
      </c>
      <c r="S3">
        <f t="shared" ref="S3:S12" si="0">IFERROR((RANK(C3,C$3:C$12,1)-1)/9,0)</f>
        <v>1</v>
      </c>
      <c r="T3">
        <f t="shared" ref="T3:T12" si="1">IFERROR((RANK(D3,D$3:D$12,1)-1)/9,0)</f>
        <v>1</v>
      </c>
      <c r="U3">
        <f t="shared" ref="U3:U12" si="2">IFERROR((RANK(E3,E$3:E$12,1)-1)/9,0)</f>
        <v>0.44444444444444442</v>
      </c>
      <c r="V3">
        <f t="shared" ref="V3:V12" si="3">IFERROR((RANK(F3,F$3:F$12,1)-1)/9,0)</f>
        <v>1</v>
      </c>
      <c r="W3">
        <f t="shared" ref="W3:W12" si="4">IFERROR((RANK(G3,G$3:G$12,1)-1)/9,0)</f>
        <v>0.33333333333333331</v>
      </c>
      <c r="X3">
        <f t="shared" ref="X3:X12" si="5">IFERROR((RANK(H3,H$3:H$12,1)-1)/9,0)</f>
        <v>0.77777777777777779</v>
      </c>
      <c r="Y3">
        <f t="shared" ref="Y3:AE12" si="6">IFERROR((RANK(I3,I$3:I$12,1)-1)/9,0)</f>
        <v>1</v>
      </c>
      <c r="Z3">
        <f t="shared" si="6"/>
        <v>0.88888888888888884</v>
      </c>
      <c r="AA3">
        <f t="shared" si="6"/>
        <v>0.55555555555555558</v>
      </c>
      <c r="AB3">
        <f t="shared" si="6"/>
        <v>1</v>
      </c>
      <c r="AC3">
        <f t="shared" si="6"/>
        <v>0.77777777777777779</v>
      </c>
      <c r="AD3">
        <f t="shared" si="6"/>
        <v>0.1111111111111111</v>
      </c>
      <c r="AE3">
        <f t="shared" si="6"/>
        <v>0</v>
      </c>
      <c r="AF3">
        <f>SUM(S3:AE3)</f>
        <v>8.8888888888888893</v>
      </c>
      <c r="AG3">
        <f>(P3-AF3)/_xlfn.STDEV.S(AF$3:AF$12)</f>
        <v>0.86859882078911232</v>
      </c>
    </row>
    <row r="4" spans="1:33" x14ac:dyDescent="0.25">
      <c r="B4" t="s">
        <v>11</v>
      </c>
      <c r="C4" s="15">
        <v>84.8</v>
      </c>
      <c r="D4" s="15">
        <v>114.8</v>
      </c>
      <c r="E4" s="15">
        <v>137.19999999999999</v>
      </c>
      <c r="F4" s="15">
        <v>110.6</v>
      </c>
      <c r="G4" s="15">
        <v>105.2</v>
      </c>
      <c r="H4" s="15">
        <v>78.599999999999994</v>
      </c>
      <c r="I4" s="15">
        <v>85.8</v>
      </c>
      <c r="J4" s="15">
        <v>76.7</v>
      </c>
      <c r="K4" s="15">
        <v>57.2</v>
      </c>
      <c r="L4" s="15">
        <v>75.099999999999994</v>
      </c>
      <c r="M4" s="15">
        <v>118.3</v>
      </c>
      <c r="N4" s="15">
        <v>111.5</v>
      </c>
      <c r="O4" s="15"/>
      <c r="P4" s="15">
        <v>5</v>
      </c>
      <c r="R4" t="s">
        <v>11</v>
      </c>
      <c r="S4">
        <f t="shared" si="0"/>
        <v>0.22222222222222221</v>
      </c>
      <c r="T4">
        <f t="shared" si="1"/>
        <v>0.88888888888888884</v>
      </c>
      <c r="U4">
        <f t="shared" si="2"/>
        <v>0.88888888888888884</v>
      </c>
      <c r="V4">
        <f t="shared" si="3"/>
        <v>0.66666666666666663</v>
      </c>
      <c r="W4">
        <f t="shared" si="4"/>
        <v>0.55555555555555558</v>
      </c>
      <c r="X4">
        <f t="shared" si="5"/>
        <v>0.22222222222222221</v>
      </c>
      <c r="Y4">
        <f t="shared" si="6"/>
        <v>0.33333333333333331</v>
      </c>
      <c r="Z4">
        <f t="shared" si="6"/>
        <v>0.1111111111111111</v>
      </c>
      <c r="AA4">
        <f t="shared" si="6"/>
        <v>0.22222222222222221</v>
      </c>
      <c r="AB4">
        <f t="shared" si="6"/>
        <v>0.1111111111111111</v>
      </c>
      <c r="AC4">
        <f t="shared" si="6"/>
        <v>0.88888888888888884</v>
      </c>
      <c r="AD4">
        <f t="shared" si="6"/>
        <v>0.55555555555555558</v>
      </c>
      <c r="AE4">
        <f t="shared" si="6"/>
        <v>0</v>
      </c>
      <c r="AF4">
        <f t="shared" ref="AF4:AF12" si="7">SUM(S4:AE4)</f>
        <v>5.6666666666666661</v>
      </c>
      <c r="AG4">
        <f t="shared" ref="AG4:AG11" si="8">(P4-AF4)/_xlfn.STDEV.S(AF$3:AF$12)</f>
        <v>-0.52115929247346704</v>
      </c>
    </row>
    <row r="5" spans="1:33" x14ac:dyDescent="0.25">
      <c r="B5" t="s">
        <v>12</v>
      </c>
      <c r="C5" s="15">
        <v>96.6</v>
      </c>
      <c r="D5" s="15">
        <v>96.7</v>
      </c>
      <c r="E5" s="15">
        <v>124.9</v>
      </c>
      <c r="F5" s="15">
        <v>114.1</v>
      </c>
      <c r="G5" s="15">
        <v>86.2</v>
      </c>
      <c r="H5" s="15">
        <v>89.8</v>
      </c>
      <c r="I5" s="15">
        <v>114.8</v>
      </c>
      <c r="J5" s="15">
        <v>75.599999999999994</v>
      </c>
      <c r="K5" s="15">
        <v>47.3</v>
      </c>
      <c r="L5" s="15">
        <v>92.4</v>
      </c>
      <c r="M5" s="15">
        <v>70.599999999999994</v>
      </c>
      <c r="N5" s="15">
        <v>127.1</v>
      </c>
      <c r="O5" s="15"/>
      <c r="P5" s="15">
        <v>5</v>
      </c>
      <c r="R5" t="s">
        <v>12</v>
      </c>
      <c r="S5">
        <f t="shared" si="0"/>
        <v>0.66666666666666663</v>
      </c>
      <c r="T5">
        <f t="shared" si="1"/>
        <v>0.55555555555555558</v>
      </c>
      <c r="U5">
        <f t="shared" si="2"/>
        <v>0.66666666666666663</v>
      </c>
      <c r="V5">
        <f t="shared" si="3"/>
        <v>0.88888888888888884</v>
      </c>
      <c r="W5">
        <f t="shared" si="4"/>
        <v>0.1111111111111111</v>
      </c>
      <c r="X5">
        <f t="shared" si="5"/>
        <v>0.33333333333333331</v>
      </c>
      <c r="Y5">
        <f t="shared" si="6"/>
        <v>0.66666666666666663</v>
      </c>
      <c r="Z5">
        <f t="shared" si="6"/>
        <v>0</v>
      </c>
      <c r="AA5">
        <f t="shared" si="6"/>
        <v>0.1111111111111111</v>
      </c>
      <c r="AB5">
        <f t="shared" si="6"/>
        <v>0.66666666666666663</v>
      </c>
      <c r="AC5">
        <f t="shared" si="6"/>
        <v>0</v>
      </c>
      <c r="AD5">
        <f t="shared" si="6"/>
        <v>0.77777777777777779</v>
      </c>
      <c r="AE5">
        <f t="shared" si="6"/>
        <v>0</v>
      </c>
      <c r="AF5">
        <f t="shared" si="7"/>
        <v>5.4444444444444446</v>
      </c>
      <c r="AG5">
        <f t="shared" si="8"/>
        <v>-0.34743952831564517</v>
      </c>
    </row>
    <row r="6" spans="1:33" x14ac:dyDescent="0.25">
      <c r="B6" t="s">
        <v>13</v>
      </c>
      <c r="C6" s="15">
        <v>100.2</v>
      </c>
      <c r="D6" s="15">
        <v>95.2</v>
      </c>
      <c r="E6" s="15">
        <v>145.69999999999999</v>
      </c>
      <c r="F6" s="15">
        <v>96.5</v>
      </c>
      <c r="G6" s="15">
        <v>117.2</v>
      </c>
      <c r="H6" s="15">
        <v>111</v>
      </c>
      <c r="I6" s="15">
        <v>72.3</v>
      </c>
      <c r="J6" s="15">
        <v>101.9</v>
      </c>
      <c r="K6" s="15">
        <v>101.6</v>
      </c>
      <c r="L6" s="15">
        <v>84.5</v>
      </c>
      <c r="M6" s="15">
        <v>101.4</v>
      </c>
      <c r="N6" s="15">
        <v>100.7</v>
      </c>
      <c r="O6" s="15"/>
      <c r="P6" s="15">
        <v>5</v>
      </c>
      <c r="R6" t="s">
        <v>13</v>
      </c>
      <c r="S6">
        <f t="shared" si="0"/>
        <v>0.77777777777777779</v>
      </c>
      <c r="T6">
        <f t="shared" si="1"/>
        <v>0.33333333333333331</v>
      </c>
      <c r="U6">
        <f t="shared" si="2"/>
        <v>1</v>
      </c>
      <c r="V6">
        <f t="shared" si="3"/>
        <v>0.44444444444444442</v>
      </c>
      <c r="W6">
        <f t="shared" si="4"/>
        <v>1</v>
      </c>
      <c r="X6">
        <f t="shared" si="5"/>
        <v>0.66666666666666663</v>
      </c>
      <c r="Y6">
        <f t="shared" si="6"/>
        <v>0</v>
      </c>
      <c r="Z6">
        <f t="shared" si="6"/>
        <v>0.66666666666666663</v>
      </c>
      <c r="AA6">
        <f t="shared" si="6"/>
        <v>0.66666666666666663</v>
      </c>
      <c r="AB6">
        <f t="shared" si="6"/>
        <v>0.55555555555555558</v>
      </c>
      <c r="AC6">
        <f t="shared" si="6"/>
        <v>0.33333333333333331</v>
      </c>
      <c r="AD6">
        <f t="shared" si="6"/>
        <v>0.33333333333333331</v>
      </c>
      <c r="AE6">
        <f t="shared" si="6"/>
        <v>0</v>
      </c>
      <c r="AF6">
        <f t="shared" si="7"/>
        <v>6.7777777777777777</v>
      </c>
      <c r="AG6">
        <f t="shared" si="8"/>
        <v>-1.38975811326258</v>
      </c>
    </row>
    <row r="7" spans="1:33" x14ac:dyDescent="0.25">
      <c r="B7" t="s">
        <v>14</v>
      </c>
      <c r="C7" s="15">
        <v>96.2</v>
      </c>
      <c r="D7" s="15">
        <v>97.9</v>
      </c>
      <c r="E7" s="15">
        <v>86</v>
      </c>
      <c r="F7" s="15">
        <v>99.4</v>
      </c>
      <c r="G7" s="15">
        <v>87.4</v>
      </c>
      <c r="H7" s="15">
        <v>71</v>
      </c>
      <c r="I7" s="15">
        <v>108.4</v>
      </c>
      <c r="J7" s="15">
        <v>79.099999999999994</v>
      </c>
      <c r="K7" s="15">
        <v>31.3</v>
      </c>
      <c r="L7" s="15">
        <v>80.400000000000006</v>
      </c>
      <c r="M7" s="15">
        <v>159</v>
      </c>
      <c r="N7" s="15">
        <v>155.5</v>
      </c>
      <c r="O7" s="15"/>
      <c r="P7" s="15">
        <v>6</v>
      </c>
      <c r="R7" t="s">
        <v>14</v>
      </c>
      <c r="S7">
        <f t="shared" si="0"/>
        <v>0.55555555555555558</v>
      </c>
      <c r="T7">
        <f t="shared" si="1"/>
        <v>0.66666666666666663</v>
      </c>
      <c r="U7">
        <f t="shared" si="2"/>
        <v>0.22222222222222221</v>
      </c>
      <c r="V7">
        <f t="shared" si="3"/>
        <v>0.55555555555555558</v>
      </c>
      <c r="W7">
        <f t="shared" si="4"/>
        <v>0.22222222222222221</v>
      </c>
      <c r="X7">
        <f t="shared" si="5"/>
        <v>0.1111111111111111</v>
      </c>
      <c r="Y7">
        <f t="shared" si="6"/>
        <v>0.44444444444444442</v>
      </c>
      <c r="Z7">
        <f t="shared" si="6"/>
        <v>0.22222222222222221</v>
      </c>
      <c r="AA7">
        <f t="shared" si="6"/>
        <v>0</v>
      </c>
      <c r="AB7">
        <f t="shared" si="6"/>
        <v>0.33333333333333331</v>
      </c>
      <c r="AC7">
        <f t="shared" si="6"/>
        <v>1</v>
      </c>
      <c r="AD7">
        <f t="shared" si="6"/>
        <v>1</v>
      </c>
      <c r="AE7">
        <f t="shared" si="6"/>
        <v>0</v>
      </c>
      <c r="AF7">
        <f t="shared" si="7"/>
        <v>5.3333333333333339</v>
      </c>
      <c r="AG7">
        <f t="shared" si="8"/>
        <v>0.52115929247346704</v>
      </c>
    </row>
    <row r="8" spans="1:33" x14ac:dyDescent="0.25">
      <c r="B8" t="s">
        <v>15</v>
      </c>
      <c r="C8" s="15">
        <v>108.8</v>
      </c>
      <c r="D8" s="15">
        <v>93.4</v>
      </c>
      <c r="E8" s="15">
        <v>74.400000000000006</v>
      </c>
      <c r="F8" s="15">
        <v>87.1</v>
      </c>
      <c r="G8" s="15">
        <v>108.9</v>
      </c>
      <c r="H8" s="15">
        <v>98.5</v>
      </c>
      <c r="I8" s="15">
        <v>77.2</v>
      </c>
      <c r="J8" s="15">
        <v>126.7</v>
      </c>
      <c r="K8" s="15">
        <v>91.1</v>
      </c>
      <c r="L8" s="15">
        <v>81.8</v>
      </c>
      <c r="M8" s="15">
        <v>108.6</v>
      </c>
      <c r="N8" s="15">
        <v>102.5</v>
      </c>
      <c r="O8" s="15"/>
      <c r="P8" s="15">
        <v>7</v>
      </c>
      <c r="R8" t="s">
        <v>15</v>
      </c>
      <c r="S8">
        <f t="shared" si="0"/>
        <v>0.88888888888888884</v>
      </c>
      <c r="T8">
        <f t="shared" si="1"/>
        <v>0.22222222222222221</v>
      </c>
      <c r="U8">
        <f t="shared" si="2"/>
        <v>0.1111111111111111</v>
      </c>
      <c r="V8">
        <f t="shared" si="3"/>
        <v>0.22222222222222221</v>
      </c>
      <c r="W8">
        <f t="shared" si="4"/>
        <v>0.66666666666666663</v>
      </c>
      <c r="X8">
        <f t="shared" si="5"/>
        <v>0.55555555555555558</v>
      </c>
      <c r="Y8">
        <f t="shared" si="6"/>
        <v>0.22222222222222221</v>
      </c>
      <c r="Z8">
        <f t="shared" si="6"/>
        <v>1</v>
      </c>
      <c r="AA8">
        <f t="shared" si="6"/>
        <v>0.44444444444444442</v>
      </c>
      <c r="AB8">
        <f t="shared" si="6"/>
        <v>0.44444444444444442</v>
      </c>
      <c r="AC8">
        <f t="shared" si="6"/>
        <v>0.66666666666666663</v>
      </c>
      <c r="AD8">
        <f t="shared" si="6"/>
        <v>0.44444444444444442</v>
      </c>
      <c r="AE8">
        <f t="shared" si="6"/>
        <v>0</v>
      </c>
      <c r="AF8">
        <f t="shared" si="7"/>
        <v>5.8888888888888902</v>
      </c>
      <c r="AG8">
        <f t="shared" si="8"/>
        <v>0.86859882078911155</v>
      </c>
    </row>
    <row r="9" spans="1:33" x14ac:dyDescent="0.25">
      <c r="B9" t="s">
        <v>16</v>
      </c>
      <c r="C9" s="15">
        <v>90.4</v>
      </c>
      <c r="D9" s="15">
        <v>103.6</v>
      </c>
      <c r="E9" s="15">
        <v>127.7</v>
      </c>
      <c r="F9" s="15">
        <v>73.599999999999994</v>
      </c>
      <c r="G9" s="15">
        <v>110.2</v>
      </c>
      <c r="H9" s="15">
        <v>127</v>
      </c>
      <c r="I9" s="15">
        <v>74.7</v>
      </c>
      <c r="J9" s="15">
        <v>108.1</v>
      </c>
      <c r="K9" s="15">
        <v>106.1</v>
      </c>
      <c r="L9" s="15">
        <v>68.8</v>
      </c>
      <c r="M9" s="15">
        <v>98.6</v>
      </c>
      <c r="N9" s="15">
        <v>93.2</v>
      </c>
      <c r="O9" s="15"/>
      <c r="P9" s="15">
        <v>5</v>
      </c>
      <c r="R9" t="s">
        <v>16</v>
      </c>
      <c r="S9">
        <f t="shared" si="0"/>
        <v>0.44444444444444442</v>
      </c>
      <c r="T9">
        <f t="shared" si="1"/>
        <v>0.77777777777777779</v>
      </c>
      <c r="U9">
        <f t="shared" si="2"/>
        <v>0.77777777777777779</v>
      </c>
      <c r="V9">
        <f t="shared" si="3"/>
        <v>0</v>
      </c>
      <c r="W9">
        <f t="shared" si="4"/>
        <v>0.88888888888888884</v>
      </c>
      <c r="X9">
        <f t="shared" si="5"/>
        <v>0.88888888888888884</v>
      </c>
      <c r="Y9">
        <f t="shared" si="6"/>
        <v>0.1111111111111111</v>
      </c>
      <c r="Z9">
        <f t="shared" si="6"/>
        <v>0.77777777777777779</v>
      </c>
      <c r="AA9">
        <f t="shared" si="6"/>
        <v>0.77777777777777779</v>
      </c>
      <c r="AB9">
        <f t="shared" si="6"/>
        <v>0</v>
      </c>
      <c r="AC9">
        <f t="shared" si="6"/>
        <v>0.22222222222222221</v>
      </c>
      <c r="AD9">
        <f t="shared" si="6"/>
        <v>0.22222222222222221</v>
      </c>
      <c r="AE9">
        <f t="shared" si="6"/>
        <v>0</v>
      </c>
      <c r="AF9">
        <f t="shared" si="7"/>
        <v>5.8888888888888893</v>
      </c>
      <c r="AG9">
        <f t="shared" si="8"/>
        <v>-0.69487905663129035</v>
      </c>
    </row>
    <row r="10" spans="1:33" x14ac:dyDescent="0.25">
      <c r="B10" t="s">
        <v>17</v>
      </c>
      <c r="C10" s="15">
        <v>83.9</v>
      </c>
      <c r="D10" s="15">
        <v>90.6</v>
      </c>
      <c r="E10" s="15">
        <v>97.3</v>
      </c>
      <c r="F10" s="15">
        <v>114</v>
      </c>
      <c r="G10" s="15">
        <v>102.1</v>
      </c>
      <c r="H10" s="15">
        <v>133.19999999999999</v>
      </c>
      <c r="I10" s="15">
        <v>129</v>
      </c>
      <c r="J10" s="15">
        <v>101.3</v>
      </c>
      <c r="K10" s="15">
        <v>123.5</v>
      </c>
      <c r="L10" s="15">
        <v>103.9</v>
      </c>
      <c r="M10" s="15">
        <v>92.2</v>
      </c>
      <c r="N10" s="15">
        <v>124.7</v>
      </c>
      <c r="O10" s="15"/>
      <c r="P10" s="15">
        <v>5</v>
      </c>
      <c r="R10" t="s">
        <v>17</v>
      </c>
      <c r="S10">
        <f t="shared" si="0"/>
        <v>0.1111111111111111</v>
      </c>
      <c r="T10">
        <f t="shared" si="1"/>
        <v>0.1111111111111111</v>
      </c>
      <c r="U10">
        <f t="shared" si="2"/>
        <v>0.33333333333333331</v>
      </c>
      <c r="V10">
        <f t="shared" si="3"/>
        <v>0.77777777777777779</v>
      </c>
      <c r="W10">
        <f t="shared" si="4"/>
        <v>0.44444444444444442</v>
      </c>
      <c r="X10">
        <f t="shared" si="5"/>
        <v>1</v>
      </c>
      <c r="Y10">
        <f t="shared" si="6"/>
        <v>0.88888888888888884</v>
      </c>
      <c r="Z10">
        <f t="shared" si="6"/>
        <v>0.55555555555555558</v>
      </c>
      <c r="AA10">
        <f t="shared" si="6"/>
        <v>0.88888888888888884</v>
      </c>
      <c r="AB10">
        <f t="shared" si="6"/>
        <v>0.77777777777777779</v>
      </c>
      <c r="AC10">
        <f t="shared" si="6"/>
        <v>0.1111111111111111</v>
      </c>
      <c r="AD10">
        <f t="shared" si="6"/>
        <v>0.66666666666666663</v>
      </c>
      <c r="AE10">
        <f t="shared" si="6"/>
        <v>0</v>
      </c>
      <c r="AF10">
        <f t="shared" si="7"/>
        <v>6.6666666666666661</v>
      </c>
      <c r="AG10">
        <f t="shared" si="8"/>
        <v>-1.3028982311836683</v>
      </c>
    </row>
    <row r="11" spans="1:33" x14ac:dyDescent="0.25">
      <c r="B11" t="s">
        <v>18</v>
      </c>
      <c r="C11" s="15">
        <v>56.3</v>
      </c>
      <c r="D11" s="15">
        <v>96</v>
      </c>
      <c r="E11" s="15">
        <v>67.5</v>
      </c>
      <c r="F11" s="15">
        <v>76.400000000000006</v>
      </c>
      <c r="G11" s="15">
        <v>74.099999999999994</v>
      </c>
      <c r="H11" s="15">
        <v>95.3</v>
      </c>
      <c r="I11" s="15">
        <v>127</v>
      </c>
      <c r="J11" s="15">
        <v>89.6</v>
      </c>
      <c r="K11" s="15">
        <v>133.5</v>
      </c>
      <c r="L11" s="15">
        <v>112.2</v>
      </c>
      <c r="M11" s="15">
        <v>103.9</v>
      </c>
      <c r="N11" s="15">
        <v>142.80000000000001</v>
      </c>
      <c r="O11" s="15"/>
      <c r="P11" s="15">
        <v>7</v>
      </c>
      <c r="R11" t="s">
        <v>18</v>
      </c>
      <c r="S11">
        <f t="shared" si="0"/>
        <v>0</v>
      </c>
      <c r="T11">
        <f t="shared" si="1"/>
        <v>0.44444444444444442</v>
      </c>
      <c r="U11">
        <f t="shared" si="2"/>
        <v>0</v>
      </c>
      <c r="V11">
        <f t="shared" si="3"/>
        <v>0.1111111111111111</v>
      </c>
      <c r="W11">
        <f t="shared" si="4"/>
        <v>0</v>
      </c>
      <c r="X11">
        <f t="shared" si="5"/>
        <v>0.44444444444444442</v>
      </c>
      <c r="Y11">
        <f t="shared" si="6"/>
        <v>0.77777777777777779</v>
      </c>
      <c r="Z11">
        <f t="shared" si="6"/>
        <v>0.33333333333333331</v>
      </c>
      <c r="AA11">
        <f t="shared" si="6"/>
        <v>1</v>
      </c>
      <c r="AB11">
        <f t="shared" si="6"/>
        <v>0.88888888888888884</v>
      </c>
      <c r="AC11">
        <f t="shared" si="6"/>
        <v>0.44444444444444442</v>
      </c>
      <c r="AD11">
        <f t="shared" si="6"/>
        <v>0.88888888888888884</v>
      </c>
      <c r="AE11">
        <f t="shared" si="6"/>
        <v>0</v>
      </c>
      <c r="AF11">
        <f t="shared" si="7"/>
        <v>5.3333333333333339</v>
      </c>
      <c r="AG11">
        <f t="shared" si="8"/>
        <v>1.3028982311836683</v>
      </c>
    </row>
    <row r="12" spans="1:33" x14ac:dyDescent="0.25">
      <c r="B12" t="s">
        <v>19</v>
      </c>
      <c r="C12" s="15">
        <v>87.5</v>
      </c>
      <c r="D12" s="15">
        <v>86.7</v>
      </c>
      <c r="E12" s="15">
        <v>106.4</v>
      </c>
      <c r="F12" s="15">
        <v>87.1</v>
      </c>
      <c r="G12" s="15">
        <v>109.9</v>
      </c>
      <c r="H12" s="15">
        <v>55.3</v>
      </c>
      <c r="I12" s="15">
        <v>113.5</v>
      </c>
      <c r="J12" s="15">
        <v>94.6</v>
      </c>
      <c r="K12" s="15">
        <v>73.3</v>
      </c>
      <c r="L12" s="15">
        <v>75.7</v>
      </c>
      <c r="M12" s="15">
        <v>106.1</v>
      </c>
      <c r="N12" s="15">
        <v>64.099999999999994</v>
      </c>
      <c r="O12" s="15"/>
      <c r="P12" s="15">
        <v>5</v>
      </c>
      <c r="R12" t="s">
        <v>19</v>
      </c>
      <c r="S12">
        <f t="shared" si="0"/>
        <v>0.33333333333333331</v>
      </c>
      <c r="T12">
        <f t="shared" si="1"/>
        <v>0</v>
      </c>
      <c r="U12">
        <f t="shared" si="2"/>
        <v>0.55555555555555558</v>
      </c>
      <c r="V12">
        <f t="shared" si="3"/>
        <v>0.22222222222222221</v>
      </c>
      <c r="W12">
        <f t="shared" si="4"/>
        <v>0.77777777777777779</v>
      </c>
      <c r="X12">
        <f t="shared" si="5"/>
        <v>0</v>
      </c>
      <c r="Y12">
        <f t="shared" si="6"/>
        <v>0.55555555555555558</v>
      </c>
      <c r="Z12">
        <f t="shared" si="6"/>
        <v>0.44444444444444442</v>
      </c>
      <c r="AA12">
        <f t="shared" si="6"/>
        <v>0.33333333333333331</v>
      </c>
      <c r="AB12">
        <f t="shared" si="6"/>
        <v>0.22222222222222221</v>
      </c>
      <c r="AC12">
        <f t="shared" si="6"/>
        <v>0.55555555555555558</v>
      </c>
      <c r="AD12">
        <f t="shared" si="6"/>
        <v>0</v>
      </c>
      <c r="AE12">
        <f t="shared" si="6"/>
        <v>0</v>
      </c>
      <c r="AF12">
        <f t="shared" si="7"/>
        <v>4.0000000000000009</v>
      </c>
      <c r="AG12">
        <f>(P12-AF12)/_xlfn.STDEV.S(AF$3:AF$12)</f>
        <v>0.78173893871020061</v>
      </c>
    </row>
    <row r="13" spans="1:33" x14ac:dyDescent="0.25">
      <c r="A13" t="s">
        <v>7</v>
      </c>
      <c r="C13" t="s">
        <v>30</v>
      </c>
      <c r="D13" t="s">
        <v>25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f>SUM(P3:P12)</f>
        <v>60</v>
      </c>
    </row>
    <row r="14" spans="1:33" x14ac:dyDescent="0.25">
      <c r="A14">
        <f>RANK(C14,$C$14:$C$23,FALSE)</f>
        <v>2</v>
      </c>
      <c r="B14" t="s">
        <v>10</v>
      </c>
      <c r="C14">
        <f>INDEX(E$14:N$23,1,E$1-2)</f>
        <v>92.234025941380892</v>
      </c>
      <c r="D14">
        <f>INDEX(E$14:O$23,1,E$1-3)</f>
        <v>102.74660379721669</v>
      </c>
      <c r="E14">
        <f>(E3+D3/2+C3/3)/(1+1/2+1/3)-STDEV($C3:E3)/AVERAGE($C3:E3)*AVERAGE($C$3:E$12)</f>
        <v>101.25144846627126</v>
      </c>
      <c r="F14">
        <f>(F3+E3/2+D3/3+C3/4)/(1+1/2+1/3+1/4)-STDEV($C3:F3)/AVERAGE($C3:F3)*AVERAGE($C$3:F$12)</f>
        <v>107.63787784209615</v>
      </c>
      <c r="G14">
        <f>(G3+F3/2+E3/3+D3/4+C3/5)/(1+1/2+1/3+1/4+1/5)-STDEV($C3:G3)/AVERAGE($C3:G3)*AVERAGE($C$3:G$12)</f>
        <v>95.092655987025068</v>
      </c>
      <c r="H14">
        <f>(H3+G3/2+F3/3+E3/4+D3/5+C3/6)/(1+1/2+1/3+1/4+1/5+1/6)-STDEV($C3:H3)/AVERAGE($C3:H3)*AVERAGE($C$3:H$12)</f>
        <v>103.11139337381189</v>
      </c>
      <c r="I14">
        <f>(I3+H3/2+G3/3+F3/4+E3/5+D3/6+C3/7)/(1+1/2+1/3+1/4+1/5+1/6+1/7)-STDEV($C3:I3)/AVERAGE($C3:I3)*AVERAGE($C$3:I$12)</f>
        <v>108.43515641243737</v>
      </c>
      <c r="J14">
        <f>(J3+I3/2+H3/3+G3/4+F3/5+E3/6+D3/7+C3/8)/(1+1/2+1/3+1/4+1/5+1/6+1/7+1/8)-STDEV($C3:J3)/AVERAGE($C3:J3)*AVERAGE($C$3:J$12)</f>
        <v>106.6649148576173</v>
      </c>
      <c r="K14">
        <f>(K3+J3/2+I3/3+H3/4+G3/5+F3/6+E3/7+D3/8+C3/9)/(1+1/2+1/3+1/4+1/5+1/6+1/7+1/8+1/9)-STDEV($C3:K3)/AVERAGE($C3:K3)*AVERAGE($C$3:K$12)</f>
        <v>95.724251778203367</v>
      </c>
      <c r="L14">
        <f>(L3+K3/2+J3/3+I3/4+H3/5+G3/6+F3/7+E3/8+D3/9+C3/10)/(1+1/2+1/3+1/4+1/5+1/6+1/7+1/8+1/9+1/10)-STDEV($C3:L3)/AVERAGE($C3:L3)*AVERAGE($C$3:L$12)</f>
        <v>102.80913620846437</v>
      </c>
      <c r="M14">
        <f>(M3+L3/2+K3/3+J3/4+I3/5+H3/6+G3/7+F3/8+E3/9+D3/10+C3/11)/(1+1/2+1/3+1/4+1/5+1/6+1/7+1/8+1/9+1/10+1/11)-STDEV($C3:M3)/AVERAGE($C3:M3)*AVERAGE($C$3:M$12)</f>
        <v>102.74660379721669</v>
      </c>
      <c r="N14">
        <f>(N3+M3/2+L3/3+K3/4+J3/5+I3/6+H3/7+G3/8+F3/9+E3/10+D3/11+C3/12)/(1+1/2+1/3+1/4+1/5+1/6+1/7+1/8+1/9+1/10+1/11+1/12)-STDEV($C3:N3)/AVERAGE($C3:N3)*AVERAGE($C$3:N$12)</f>
        <v>92.234025941380892</v>
      </c>
      <c r="O14">
        <f>(O3+N3/2+M3/3+L3/4+K3/5+J3/6+I3/7+H3/8+G3/9+F3/10+E3/11+D3/12+C3/13)/(1+1/2+1/3+1/4+1/5+1/6+1/7+1/8+1/9+1/10+1/11+1/12+1/13)-STDEV($C3:O3)/AVERAGE($C3:O3)*AVERAGE($C$3:O$12)</f>
        <v>60.92975903154327</v>
      </c>
      <c r="P14">
        <f t="shared" ref="P14:P23" si="9">RANK(D14,$D$14:$D$23,FALSE)</f>
        <v>1</v>
      </c>
      <c r="Q14" t="s">
        <v>32</v>
      </c>
      <c r="AF14">
        <f>SUM(AF3:AF12)</f>
        <v>59.8888888888889</v>
      </c>
      <c r="AG14">
        <f>SUM(AG3:AG12)</f>
        <v>8.6859882078908934E-2</v>
      </c>
    </row>
    <row r="15" spans="1:33" x14ac:dyDescent="0.25">
      <c r="A15">
        <f t="shared" ref="A15:A23" si="10">RANK(C15,$C$14:$C$23,FALSE)</f>
        <v>8</v>
      </c>
      <c r="B15" t="s">
        <v>11</v>
      </c>
      <c r="C15">
        <f>INDEX(E$14:N$23,2,E$1-2)</f>
        <v>75.237225289455637</v>
      </c>
      <c r="D15">
        <f>INDEX(E$14:O$23,2,E$1-3)</f>
        <v>70.678422125512341</v>
      </c>
      <c r="E15">
        <f>(E4+D4/2+C4/3)/(1+1/2+1/3)-STDEV($C4:E4)/AVERAGE($C4:E4)*AVERAGE($C$3:E$12)</f>
        <v>98.29688961992133</v>
      </c>
      <c r="F15">
        <f>(F4+E4/2+D4/3+C4/4)/(1+1/2+1/3+1/4)-STDEV($C4:F4)/AVERAGE($C4:F4)*AVERAGE($C$3:F$12)</f>
        <v>95.545835821780315</v>
      </c>
      <c r="G15">
        <f>(G4+F4/2+E4/3+D4/4+C4/5)/(1+1/2+1/3+1/4+1/5)-STDEV($C4:G4)/AVERAGE($C4:G4)*AVERAGE($C$3:G$12)</f>
        <v>93.423875844542437</v>
      </c>
      <c r="H15">
        <f>(H4+G4/2+F4/3+E4/4+D4/5+C4/6)/(1+1/2+1/3+1/4+1/5+1/6)-STDEV($C4:H4)/AVERAGE($C4:H4)*AVERAGE($C$3:H$12)</f>
        <v>77.702629548358729</v>
      </c>
      <c r="I15">
        <f>(I4+H4/2+G4/3+F4/4+E4/5+D4/6+C4/7)/(1+1/2+1/3+1/4+1/5+1/6+1/7)-STDEV($C4:I4)/AVERAGE($C4:I4)*AVERAGE($C$3:I$12)</f>
        <v>74.866235534338728</v>
      </c>
      <c r="J15">
        <f>(J4+I4/2+H4/3+G4/4+F4/5+E4/6+D4/7+C4/8)/(1+1/2+1/3+1/4+1/5+1/6+1/7+1/8)-STDEV($C4:J4)/AVERAGE($C4:J4)*AVERAGE($C$3:J$12)</f>
        <v>68.518236565983372</v>
      </c>
      <c r="K15">
        <f>(K4+J4/2+I4/3+H4/4+G4/5+F4/6+E4/7+D4/8+C4/9)/(1+1/2+1/3+1/4+1/5+1/6+1/7+1/8+1/9)-STDEV($C4:K4)/AVERAGE($C4:K4)*AVERAGE($C$3:K$12)</f>
        <v>54.955082022234862</v>
      </c>
      <c r="L15">
        <f>(L4+K4/2+J4/3+I4/4+H4/5+G4/6+F4/7+E4/8+D4/9+C4/10)/(1+1/2+1/3+1/4+1/5+1/6+1/7+1/8+1/9+1/10)-STDEV($C4:L4)/AVERAGE($C4:L4)*AVERAGE($C$3:L$12)</f>
        <v>56.440759883598247</v>
      </c>
      <c r="M15">
        <f>(M4+L4/2+K4/3+J4/4+I4/5+H4/6+G4/7+F4/8+E4/9+D4/10+C4/11)/(1+1/2+1/3+1/4+1/5+1/6+1/7+1/8+1/9+1/10+1/11)-STDEV($C4:M4)/AVERAGE($C4:M4)*AVERAGE($C$3:M$12)</f>
        <v>70.678422125512341</v>
      </c>
      <c r="N15">
        <f>(N4+M4/2+L4/3+K4/4+J4/5+I4/6+H4/7+G4/8+F4/9+E4/10+D4/11+C4/12)/(1+1/2+1/3+1/4+1/5+1/6+1/7+1/8+1/9+1/10+1/11+1/12)-STDEV($C4:N4)/AVERAGE($C4:N4)*AVERAGE($C$3:N$12)</f>
        <v>75.237225289455637</v>
      </c>
      <c r="O15">
        <f>(O4+N4/2+M4/3+L4/4+K4/5+J4/6+I4/7+H4/8+G4/9+F4/10+E4/11+D4/12+C4/13)/(1+1/2+1/3+1/4+1/5+1/6+1/7+1/8+1/9+1/10+1/11+1/12+1/13)-STDEV($C4:O4)/AVERAGE($C4:O4)*AVERAGE($C$3:O$12)</f>
        <v>42.672124649258713</v>
      </c>
      <c r="P15">
        <f t="shared" si="9"/>
        <v>9</v>
      </c>
    </row>
    <row r="16" spans="1:33" x14ac:dyDescent="0.25">
      <c r="A16">
        <f t="shared" si="10"/>
        <v>9</v>
      </c>
      <c r="B16" t="s">
        <v>12</v>
      </c>
      <c r="C16">
        <f>INDEX(E$14:N$23,3,E$1-2)</f>
        <v>73.750729407070452</v>
      </c>
      <c r="D16">
        <f>INDEX(E$14:O$23,3,E$1-3)</f>
        <v>58.611533128102153</v>
      </c>
      <c r="E16">
        <f>(E5+D5/2+C5/3)/(1+1/2+1/3)-STDEV($C5:E5)/AVERAGE($C5:E5)*AVERAGE($C$3:E$12)</f>
        <v>96.786258642855643</v>
      </c>
      <c r="F16">
        <f>(F5+E5/2+D5/3+C5/4)/(1+1/2+1/3+1/4)-STDEV($C5:F5)/AVERAGE($C5:F5)*AVERAGE($C$3:F$12)</f>
        <v>99.066843185260311</v>
      </c>
      <c r="G16">
        <f>(G5+F5/2+E5/3+D5/4+C5/5)/(1+1/2+1/3+1/4+1/5)-STDEV($C5:G5)/AVERAGE($C5:G5)*AVERAGE($C$3:G$12)</f>
        <v>85.189861194465777</v>
      </c>
      <c r="H16">
        <f>(H5+G5/2+F5/3+E5/4+D5/5+C5/6)/(1+1/2+1/3+1/4+1/5+1/6)-STDEV($C5:H5)/AVERAGE($C5:H5)*AVERAGE($C$3:H$12)</f>
        <v>82.344432296699821</v>
      </c>
      <c r="I16">
        <f>(I5+H5/2+G5/3+F5/4+E5/5+D5/6+C5/7)/(1+1/2+1/3+1/4+1/5+1/6+1/7)-STDEV($C5:I5)/AVERAGE($C5:I5)*AVERAGE($C$3:I$12)</f>
        <v>90.776234694752887</v>
      </c>
      <c r="J16">
        <f>(J5+I5/2+H5/3+G5/4+F5/5+E5/6+D5/7+C5/8)/(1+1/2+1/3+1/4+1/5+1/6+1/7+1/8)-STDEV($C5:J5)/AVERAGE($C5:J5)*AVERAGE($C$3:J$12)</f>
        <v>76.86824882668698</v>
      </c>
      <c r="K16">
        <f>(K5+J5/2+I5/3+H5/4+G5/5+F5/6+E5/7+D5/8+C5/9)/(1+1/2+1/3+1/4+1/5+1/6+1/7+1/8+1/9)-STDEV($C5:K5)/AVERAGE($C5:K5)*AVERAGE($C$3:K$12)</f>
        <v>54.342159878294048</v>
      </c>
      <c r="L16">
        <f>(L5+K5/2+J5/3+I5/4+H5/5+G5/6+F5/7+E5/8+D5/9+C5/10)/(1+1/2+1/3+1/4+1/5+1/6+1/7+1/8+1/9+1/10)-STDEV($C5:L5)/AVERAGE($C5:L5)*AVERAGE($C$3:L$12)</f>
        <v>64.068345387725117</v>
      </c>
      <c r="M16">
        <f>(M5+L5/2+K5/3+J5/4+I5/5+H5/6+G5/7+F5/8+E5/9+D5/10+C5/11)/(1+1/2+1/3+1/4+1/5+1/6+1/7+1/8+1/9+1/10+1/11)-STDEV($C5:M5)/AVERAGE($C5:M5)*AVERAGE($C$3:M$12)</f>
        <v>58.611533128102153</v>
      </c>
      <c r="N16">
        <f>(N5+M5/2+L5/3+K5/4+J5/5+I5/6+H5/7+G5/8+F5/9+E5/10+D5/11+C5/12)/(1+1/2+1/3+1/4+1/5+1/6+1/7+1/8+1/9+1/10+1/11+1/12)-STDEV($C5:N5)/AVERAGE($C5:N5)*AVERAGE($C$3:N$12)</f>
        <v>73.750729407070452</v>
      </c>
      <c r="O16">
        <f>(O5+N5/2+M5/3+L5/4+K5/5+J5/6+I5/7+H5/8+G5/9+F5/10+E5/11+D5/12+C5/13)/(1+1/2+1/3+1/4+1/5+1/6+1/7+1/8+1/9+1/10+1/11+1/12+1/13)-STDEV($C5:O5)/AVERAGE($C5:O5)*AVERAGE($C$3:O$12)</f>
        <v>40.812326054802824</v>
      </c>
      <c r="P16">
        <f t="shared" si="9"/>
        <v>10</v>
      </c>
    </row>
    <row r="17" spans="1:16" x14ac:dyDescent="0.25">
      <c r="A17">
        <f t="shared" si="10"/>
        <v>5</v>
      </c>
      <c r="B17" t="s">
        <v>13</v>
      </c>
      <c r="C17">
        <f>INDEX(E$14:N$23,4,E$1-2)</f>
        <v>82.738647110983152</v>
      </c>
      <c r="D17">
        <f>INDEX(E$14:O$23,4,E$1-3)</f>
        <v>81.369718373061914</v>
      </c>
      <c r="E17">
        <f>(E6+D6/2+C6/3)/(1+1/2+1/3)-STDEV($C6:E6)/AVERAGE($C6:E6)*AVERAGE($C$3:E$12)</f>
        <v>99.341015645451961</v>
      </c>
      <c r="F17">
        <f>(F6+E6/2+D6/3+C6/4)/(1+1/2+1/3+1/4)-STDEV($C6:F6)/AVERAGE($C6:F6)*AVERAGE($C$3:F$12)</f>
        <v>86.561931443849318</v>
      </c>
      <c r="G17">
        <f>(G6+F6/2+E6/3+D6/4+C6/5)/(1+1/2+1/3+1/4+1/5)-STDEV($C6:G6)/AVERAGE($C6:G6)*AVERAGE($C$3:G$12)</f>
        <v>93.884102960667917</v>
      </c>
      <c r="H17">
        <f>(H6+G6/2+F6/3+E6/4+D6/5+C6/6)/(1+1/2+1/3+1/4+1/5+1/6)-STDEV($C6:H6)/AVERAGE($C6:H6)*AVERAGE($C$3:H$12)</f>
        <v>94.80140044530512</v>
      </c>
      <c r="I17">
        <f>(I6+H6/2+G6/3+F6/4+E6/5+D6/6+C6/7)/(1+1/2+1/3+1/4+1/5+1/6+1/7)-STDEV($C6:I6)/AVERAGE($C6:I6)*AVERAGE($C$3:I$12)</f>
        <v>75.071780416606259</v>
      </c>
      <c r="J17">
        <f>(J6+I6/2+H6/3+G6/4+F6/5+E6/6+D6/7+C6/8)/(1+1/2+1/3+1/4+1/5+1/6+1/7+1/8)-STDEV($C6:J6)/AVERAGE($C6:J6)*AVERAGE($C$3:J$12)</f>
        <v>80.908378121518837</v>
      </c>
      <c r="K17">
        <f>(K6+J6/2+I6/3+H6/4+G6/5+F6/6+E6/7+D6/8+C6/9)/(1+1/2+1/3+1/4+1/5+1/6+1/7+1/8+1/9)-STDEV($C6:K6)/AVERAGE($C6:K6)*AVERAGE($C$3:K$12)</f>
        <v>83.27006219726087</v>
      </c>
      <c r="L17">
        <f>(L6+K6/2+J6/3+I6/4+H6/5+G6/6+F6/7+E6/8+D6/9+C6/10)/(1+1/2+1/3+1/4+1/5+1/6+1/7+1/8+1/9+1/10)-STDEV($C6:L6)/AVERAGE($C6:L6)*AVERAGE($C$3:L$12)</f>
        <v>77.574908879153526</v>
      </c>
      <c r="M17">
        <f>(M6+L6/2+K6/3+J6/4+I6/5+H6/6+G6/7+F6/8+E6/9+D6/10+C6/11)/(1+1/2+1/3+1/4+1/5+1/6+1/7+1/8+1/9+1/10+1/11)-STDEV($C6:M6)/AVERAGE($C6:M6)*AVERAGE($C$3:M$12)</f>
        <v>81.369718373061914</v>
      </c>
      <c r="N17">
        <f>(N6+M6/2+L6/3+K6/4+J6/5+I6/6+H6/7+G6/8+F6/9+E6/10+D6/11+C6/12)/(1+1/2+1/3+1/4+1/5+1/6+1/7+1/8+1/9+1/10+1/11+1/12)-STDEV($C6:N6)/AVERAGE($C6:N6)*AVERAGE($C$3:N$12)</f>
        <v>82.738647110983152</v>
      </c>
      <c r="O17">
        <f>(O6+N6/2+M6/3+L6/4+K6/5+J6/6+I6/7+H6/8+G6/9+F6/10+E6/11+D6/12+C6/13)/(1+1/2+1/3+1/4+1/5+1/6+1/7+1/8+1/9+1/10+1/11+1/12+1/13)-STDEV($C6:O6)/AVERAGE($C6:O6)*AVERAGE($C$3:O$12)</f>
        <v>51.435155296131995</v>
      </c>
      <c r="P17">
        <f t="shared" si="9"/>
        <v>4</v>
      </c>
    </row>
    <row r="18" spans="1:16" x14ac:dyDescent="0.25">
      <c r="A18">
        <f t="shared" si="10"/>
        <v>6</v>
      </c>
      <c r="B18" t="s">
        <v>14</v>
      </c>
      <c r="C18">
        <f>INDEX(E$14:N$23,5,E$1-2)</f>
        <v>80.667554742777895</v>
      </c>
      <c r="D18">
        <f>INDEX(E$14:O$23,5,E$1-3)</f>
        <v>71.609735933644998</v>
      </c>
      <c r="E18">
        <f>(E7+D7/2+C7/3)/(1+1/2+1/3)-STDEV($C7:E7)/AVERAGE($C7:E7)*AVERAGE($C$3:E$12)</f>
        <v>84.251451445455629</v>
      </c>
      <c r="F18">
        <f>(F7+E7/2+D7/3+C7/4)/(1+1/2+1/3+1/4)-STDEV($C7:F7)/AVERAGE($C7:F7)*AVERAGE($C$3:F$12)</f>
        <v>89.237509783867566</v>
      </c>
      <c r="G18">
        <f>(G7+F7/2+E7/3+D7/4+C7/5)/(1+1/2+1/3+1/4+1/5)-STDEV($C7:G7)/AVERAGE($C7:G7)*AVERAGE($C$3:G$12)</f>
        <v>85.140775974329671</v>
      </c>
      <c r="H18">
        <f>(H7+G7/2+F7/3+E7/4+D7/5+C7/6)/(1+1/2+1/3+1/4+1/5+1/6)-STDEV($C7:H7)/AVERAGE($C7:H7)*AVERAGE($C$3:H$12)</f>
        <v>71.844532062210334</v>
      </c>
      <c r="I18">
        <f>(I7+H7/2+G7/3+F7/4+E7/5+D7/6+C7/7)/(1+1/2+1/3+1/4+1/5+1/6+1/7)-STDEV($C7:I7)/AVERAGE($C7:I7)*AVERAGE($C$3:I$12)</f>
        <v>81.532029643026434</v>
      </c>
      <c r="J18">
        <f>(J7+I7/2+H7/3+G7/4+F7/5+E7/6+D7/7+C7/8)/(1+1/2+1/3+1/4+1/5+1/6+1/7+1/8)-STDEV($C7:J7)/AVERAGE($C7:J7)*AVERAGE($C$3:J$12)</f>
        <v>74.696507291768299</v>
      </c>
      <c r="K18">
        <f>(K7+J7/2+I7/3+H7/4+G7/5+F7/6+E7/7+D7/8+C7/9)/(1+1/2+1/3+1/4+1/5+1/6+1/7+1/8+1/9)-STDEV($C7:K7)/AVERAGE($C7:K7)*AVERAGE($C$3:K$12)</f>
        <v>42.065996616910283</v>
      </c>
      <c r="L18">
        <f>(L7+K7/2+J7/3+I7/4+H7/5+G7/6+F7/7+E7/8+D7/9+C7/10)/(1+1/2+1/3+1/4+1/5+1/6+1/7+1/8+1/9+1/10)-STDEV($C7:L7)/AVERAGE($C7:L7)*AVERAGE($C$3:L$12)</f>
        <v>51.452939475731775</v>
      </c>
      <c r="M18">
        <f>(M7+L7/2+K7/3+J7/4+I7/5+H7/6+G7/7+F7/8+E7/9+D7/10+C7/11)/(1+1/2+1/3+1/4+1/5+1/6+1/7+1/8+1/9+1/10+1/11)-STDEV($C7:M7)/AVERAGE($C7:M7)*AVERAGE($C$3:M$12)</f>
        <v>71.609735933644998</v>
      </c>
      <c r="N18">
        <f>(N7+M7/2+L7/3+K7/4+J7/5+I7/6+H7/7+G7/8+F7/9+E7/10+D7/11+C7/12)/(1+1/2+1/3+1/4+1/5+1/6+1/7+1/8+1/9+1/10+1/11+1/12)-STDEV($C7:N7)/AVERAGE($C7:N7)*AVERAGE($C$3:N$12)</f>
        <v>80.667554742777895</v>
      </c>
      <c r="O18">
        <f>(O7+N7/2+M7/3+L7/4+K7/5+J7/6+I7/7+H7/8+G7/9+F7/10+E7/11+D7/12+C7/13)/(1+1/2+1/3+1/4+1/5+1/6+1/7+1/8+1/9+1/10+1/11+1/12+1/13)-STDEV($C7:O7)/AVERAGE($C7:O7)*AVERAGE($C$3:O$12)</f>
        <v>39.030628227699374</v>
      </c>
      <c r="P18">
        <f t="shared" si="9"/>
        <v>8</v>
      </c>
    </row>
    <row r="19" spans="1:16" x14ac:dyDescent="0.25">
      <c r="A19">
        <f t="shared" si="10"/>
        <v>4</v>
      </c>
      <c r="B19" t="s">
        <v>15</v>
      </c>
      <c r="C19">
        <f>INDEX(E$14:N$23,6,E$1-2)</f>
        <v>83.286824713923764</v>
      </c>
      <c r="D19">
        <f>INDEX(E$14:O$23,6,E$1-3)</f>
        <v>82.127602055420496</v>
      </c>
      <c r="E19">
        <f>(E8+D8/2+C8/3)/(1+1/2+1/3)-STDEV($C8:E8)/AVERAGE($C8:E8)*AVERAGE($C$3:E$12)</f>
        <v>67.268724955213614</v>
      </c>
      <c r="F19">
        <f>(F8+E8/2+D8/3+C8/4)/(1+1/2+1/3+1/4)-STDEV($C8:F8)/AVERAGE($C8:F8)*AVERAGE($C$3:F$12)</f>
        <v>72.09636564280062</v>
      </c>
      <c r="G19">
        <f>(G8+F8/2+E8/3+D8/4+C8/5)/(1+1/2+1/3+1/4+1/5)-STDEV($C8:G8)/AVERAGE($C8:G8)*AVERAGE($C$3:G$12)</f>
        <v>81.905210624824022</v>
      </c>
      <c r="H19">
        <f>(H8+G8/2+F8/3+E8/4+D8/5+C8/6)/(1+1/2+1/3+1/4+1/5+1/6)-STDEV($C8:H8)/AVERAGE($C8:H8)*AVERAGE($C$3:H$12)</f>
        <v>83.066460177711349</v>
      </c>
      <c r="I19">
        <f>(I8+H8/2+G8/3+F8/4+E8/5+D8/6+C8/7)/(1+1/2+1/3+1/4+1/5+1/6+1/7)-STDEV($C8:I8)/AVERAGE($C8:I8)*AVERAGE($C$3:I$12)</f>
        <v>73.939745523335162</v>
      </c>
      <c r="J19">
        <f>(J8+I8/2+H8/3+G8/4+F8/5+E8/6+D8/7+C8/8)/(1+1/2+1/3+1/4+1/5+1/6+1/7+1/8)-STDEV($C8:J8)/AVERAGE($C8:J8)*AVERAGE($C$3:J$12)</f>
        <v>85.72856219455501</v>
      </c>
      <c r="K19">
        <f>(K8+J8/2+I8/3+H8/4+G8/5+F8/6+E8/7+D8/8+C8/9)/(1+1/2+1/3+1/4+1/5+1/6+1/7+1/8+1/9)-STDEV($C8:K8)/AVERAGE($C8:K8)*AVERAGE($C$3:K$12)</f>
        <v>80.510971148524177</v>
      </c>
      <c r="L19">
        <f>(L8+K8/2+J8/3+I8/4+H8/5+G8/6+F8/7+E8/8+D8/9+C8/10)/(1+1/2+1/3+1/4+1/5+1/6+1/7+1/8+1/9+1/10)-STDEV($C8:L8)/AVERAGE($C8:L8)*AVERAGE($C$3:L$12)</f>
        <v>75.406888491056932</v>
      </c>
      <c r="M19">
        <f>(M8+L8/2+K8/3+J8/4+I8/5+H8/6+G8/7+F8/8+E8/9+D8/10+C8/11)/(1+1/2+1/3+1/4+1/5+1/6+1/7+1/8+1/9+1/10+1/11)-STDEV($C8:M8)/AVERAGE($C8:M8)*AVERAGE($C$3:M$12)</f>
        <v>82.127602055420496</v>
      </c>
      <c r="N19">
        <f>(N8+M8/2+L8/3+K8/4+J8/5+I8/6+H8/7+G8/8+F8/9+E8/10+D8/11+C8/12)/(1+1/2+1/3+1/4+1/5+1/6+1/7+1/8+1/9+1/10+1/11+1/12)-STDEV($C8:N8)/AVERAGE($C8:N8)*AVERAGE($C$3:N$12)</f>
        <v>83.286824713923764</v>
      </c>
      <c r="O19">
        <f>(O8+N8/2+M8/3+L8/4+K8/5+J8/6+I8/7+H8/8+G8/9+F8/10+E8/11+D8/12+C8/13)/(1+1/2+1/3+1/4+1/5+1/6+1/7+1/8+1/9+1/10+1/11+1/12+1/13)-STDEV($C8:O8)/AVERAGE($C8:O8)*AVERAGE($C$3:O$12)</f>
        <v>51.614016894955455</v>
      </c>
      <c r="P19">
        <f t="shared" si="9"/>
        <v>3</v>
      </c>
    </row>
    <row r="20" spans="1:16" x14ac:dyDescent="0.25">
      <c r="A20">
        <f t="shared" si="10"/>
        <v>7</v>
      </c>
      <c r="B20" t="s">
        <v>16</v>
      </c>
      <c r="C20">
        <f>INDEX(E$14:N$23,7,E$1-2)</f>
        <v>75.845837810213993</v>
      </c>
      <c r="D20">
        <f>INDEX(E$14:O$23,7,E$1-3)</f>
        <v>75.724651889825651</v>
      </c>
      <c r="E20">
        <f>(E9+D9/2+C9/3)/(1+1/2+1/3)-STDEV($C9:E9)/AVERAGE($C9:E9)*AVERAGE($C$3:E$12)</f>
        <v>96.822323866328105</v>
      </c>
      <c r="F20">
        <f>(F9+E9/2+D9/3+C9/4)/(1+1/2+1/3+1/4)-STDEV($C9:F9)/AVERAGE($C9:F9)*AVERAGE($C$3:F$12)</f>
        <v>70.529112918712741</v>
      </c>
      <c r="G20">
        <f>(G9+F9/2+E9/3+D9/4+C9/5)/(1+1/2+1/3+1/4+1/5)-STDEV($C9:G9)/AVERAGE($C9:G9)*AVERAGE($C$3:G$12)</f>
        <v>82.270442217735166</v>
      </c>
      <c r="H20">
        <f>(H9+G9/2+F9/3+E9/4+D9/5+C9/6)/(1+1/2+1/3+1/4+1/5+1/6)-STDEV($C9:H9)/AVERAGE($C9:H9)*AVERAGE($C$3:H$12)</f>
        <v>92.171491524358132</v>
      </c>
      <c r="I20">
        <f>(I9+H9/2+G9/3+F9/4+E9/5+D9/6+C9/7)/(1+1/2+1/3+1/4+1/5+1/6+1/7)-STDEV($C9:I9)/AVERAGE($C9:I9)*AVERAGE($C$3:I$12)</f>
        <v>73.886342912824347</v>
      </c>
      <c r="J20">
        <f>(J9+I9/2+H9/3+G9/4+F9/5+E9/6+D9/7+C9/8)/(1+1/2+1/3+1/4+1/5+1/6+1/7+1/8)-STDEV($C9:J9)/AVERAGE($C9:J9)*AVERAGE($C$3:J$12)</f>
        <v>81.655874236137393</v>
      </c>
      <c r="K20">
        <f>(K9+J9/2+I9/3+H9/4+G9/5+F9/6+E9/7+D9/8+C9/9)/(1+1/2+1/3+1/4+1/5+1/6+1/7+1/8+1/9)-STDEV($C9:K9)/AVERAGE($C9:K9)*AVERAGE($C$3:K$12)</f>
        <v>84.564950021570453</v>
      </c>
      <c r="L20">
        <f>(L9+K9/2+J9/3+I9/4+H9/5+G9/6+F9/7+E9/8+D9/9+C9/10)/(1+1/2+1/3+1/4+1/5+1/6+1/7+1/8+1/9+1/10)-STDEV($C9:L9)/AVERAGE($C9:L9)*AVERAGE($C$3:L$12)</f>
        <v>70.361868742438503</v>
      </c>
      <c r="M20">
        <f>(M9+L9/2+K9/3+J9/4+I9/5+H9/6+G9/7+F9/8+E9/9+D9/10+C9/11)/(1+1/2+1/3+1/4+1/5+1/6+1/7+1/8+1/9+1/10+1/11)-STDEV($C9:M9)/AVERAGE($C9:M9)*AVERAGE($C$3:M$12)</f>
        <v>75.724651889825651</v>
      </c>
      <c r="N20">
        <f>(N9+M9/2+L9/3+K9/4+J9/5+I9/6+H9/7+G9/8+F9/9+E9/10+D9/11+C9/12)/(1+1/2+1/3+1/4+1/5+1/6+1/7+1/8+1/9+1/10+1/11+1/12)-STDEV($C9:N9)/AVERAGE($C9:N9)*AVERAGE($C$3:N$12)</f>
        <v>75.845837810213993</v>
      </c>
      <c r="O20">
        <f>(O9+N9/2+M9/3+L9/4+K9/5+J9/6+I9/7+H9/8+G9/9+F9/10+E9/11+D9/12+C9/13)/(1+1/2+1/3+1/4+1/5+1/6+1/7+1/8+1/9+1/10+1/11+1/12+1/13)-STDEV($C9:O9)/AVERAGE($C9:O9)*AVERAGE($C$3:O$12)</f>
        <v>46.309819020880809</v>
      </c>
      <c r="P20">
        <f t="shared" si="9"/>
        <v>6</v>
      </c>
    </row>
    <row r="21" spans="1:16" x14ac:dyDescent="0.25">
      <c r="A21">
        <f t="shared" si="10"/>
        <v>1</v>
      </c>
      <c r="B21" t="s">
        <v>17</v>
      </c>
      <c r="C21">
        <f>INDEX(E$14:N$23,8,E$1-2)</f>
        <v>96.903150003964129</v>
      </c>
      <c r="D21">
        <f>INDEX(E$14:O$23,8,E$1-3)</f>
        <v>89.277888791854508</v>
      </c>
      <c r="E21">
        <f>(E10+D10/2+C10/3)/(1+1/2+1/3)-STDEV($C10:E10)/AVERAGE($C10:E10)*AVERAGE($C$3:E$12)</f>
        <v>85.689288581176001</v>
      </c>
      <c r="F21">
        <f>(F10+E10/2+D10/3+C10/4)/(1+1/2+1/3+1/4)-STDEV($C10:F10)/AVERAGE($C10:F10)*AVERAGE($C$3:F$12)</f>
        <v>89.379442880619806</v>
      </c>
      <c r="G21">
        <f>(G10+F10/2+E10/3+D10/4+C10/5)/(1+1/2+1/3+1/4+1/5)-STDEV($C10:G10)/AVERAGE($C10:G10)*AVERAGE($C$3:G$12)</f>
        <v>89.505986318840556</v>
      </c>
      <c r="H21">
        <f>(H10+G10/2+F10/3+E10/4+D10/5+C10/6)/(1+1/2+1/3+1/4+1/5+1/6)-STDEV($C10:H10)/AVERAGE($C10:H10)*AVERAGE($C$3:H$12)</f>
        <v>96.737159046456654</v>
      </c>
      <c r="I21">
        <f>(I10+H10/2+G10/3+F10/4+E10/5+D10/6+C10/7)/(1+1/2+1/3+1/4+1/5+1/6+1/7)-STDEV($C10:I10)/AVERAGE($C10:I10)*AVERAGE($C$3:I$12)</f>
        <v>99.957876172449673</v>
      </c>
      <c r="J21">
        <f>(J10+I10/2+H10/3+G10/4+F10/5+E10/6+D10/7+C10/8)/(1+1/2+1/3+1/4+1/5+1/6+1/7+1/8)-STDEV($C10:J10)/AVERAGE($C10:J10)*AVERAGE($C$3:J$12)</f>
        <v>93.289701055700135</v>
      </c>
      <c r="K21">
        <f>(K10+J10/2+I10/3+H10/4+G10/5+F10/6+E10/7+D10/8+C10/9)/(1+1/2+1/3+1/4+1/5+1/6+1/7+1/8+1/9)-STDEV($C10:K10)/AVERAGE($C10:K10)*AVERAGE($C$3:K$12)</f>
        <v>98.955533768604951</v>
      </c>
      <c r="L21">
        <f>(L10+K10/2+J10/3+I10/4+H10/5+G10/6+F10/7+E10/8+D10/9+C10/10)/(1+1/2+1/3+1/4+1/5+1/6+1/7+1/8+1/9+1/10)-STDEV($C10:L10)/AVERAGE($C10:L10)*AVERAGE($C$3:L$12)</f>
        <v>95.199406199144462</v>
      </c>
      <c r="M21">
        <f>(M10+L10/2+K10/3+J10/4+I10/5+H10/6+G10/7+F10/8+E10/9+D10/10+C10/11)/(1+1/2+1/3+1/4+1/5+1/6+1/7+1/8+1/9+1/10+1/11)-STDEV($C10:M10)/AVERAGE($C10:M10)*AVERAGE($C$3:M$12)</f>
        <v>89.277888791854508</v>
      </c>
      <c r="N21">
        <f>(N10+M10/2+L10/3+K10/4+J10/5+I10/6+H10/7+G10/8+F10/9+E10/10+D10/11+C10/12)/(1+1/2+1/3+1/4+1/5+1/6+1/7+1/8+1/9+1/10+1/11+1/12)-STDEV($C10:N10)/AVERAGE($C10:N10)*AVERAGE($C$3:N$12)</f>
        <v>96.903150003964129</v>
      </c>
      <c r="O21">
        <f>(O10+N10/2+M10/3+L10/4+K10/5+J10/6+I10/7+H10/8+G10/9+F10/10+E10/11+D10/12+C10/13)/(1+1/2+1/3+1/4+1/5+1/6+1/7+1/8+1/9+1/10+1/11+1/12+1/13)-STDEV($C10:O10)/AVERAGE($C10:O10)*AVERAGE($C$3:O$12)</f>
        <v>60.809186485926396</v>
      </c>
      <c r="P21">
        <f t="shared" si="9"/>
        <v>2</v>
      </c>
    </row>
    <row r="22" spans="1:16" x14ac:dyDescent="0.25">
      <c r="A22">
        <f t="shared" si="10"/>
        <v>3</v>
      </c>
      <c r="B22" t="s">
        <v>18</v>
      </c>
      <c r="C22">
        <f>INDEX(E$14:N$23,9,E$1-2)</f>
        <v>87.277752303761474</v>
      </c>
      <c r="D22">
        <f>INDEX(E$14:O$23,9,E$1-3)</f>
        <v>77.417914143122516</v>
      </c>
      <c r="E22">
        <f>(E11+D11/2+C11/3)/(1+1/2+1/3)-STDEV($C11:E11)/AVERAGE($C11:E11)*AVERAGE($C$3:E$12)</f>
        <v>45.480838655882195</v>
      </c>
      <c r="F22">
        <f>(F11+E11/2+D11/3+C11/4)/(1+1/2+1/3+1/4)-STDEV($C11:F11)/AVERAGE($C11:F11)*AVERAGE($C$3:F$12)</f>
        <v>52.547608194650564</v>
      </c>
      <c r="G22">
        <f>(G11+F11/2+E11/3+D11/4+C11/5)/(1+1/2+1/3+1/4+1/5)-STDEV($C11:G11)/AVERAGE($C11:G11)*AVERAGE($C$3:G$12)</f>
        <v>55.026873789809073</v>
      </c>
      <c r="H22">
        <f>(H11+G11/2+F11/3+E11/4+D11/5+C11/6)/(1+1/2+1/3+1/4+1/5+1/6)-STDEV($C11:H11)/AVERAGE($C11:H11)*AVERAGE($C$3:H$12)</f>
        <v>63.042125349853606</v>
      </c>
      <c r="I22">
        <f>(I11+H11/2+G11/3+F11/4+E11/5+D11/6+C11/7)/(1+1/2+1/3+1/4+1/5+1/6+1/7)-STDEV($C11:I11)/AVERAGE($C11:I11)*AVERAGE($C$3:I$12)</f>
        <v>71.090958052158285</v>
      </c>
      <c r="J22">
        <f>(J11+I11/2+H11/3+G11/4+F11/5+E11/6+D11/7+C11/8)/(1+1/2+1/3+1/4+1/5+1/6+1/7+1/8)-STDEV($C11:J11)/AVERAGE($C11:J11)*AVERAGE($C$3:J$12)</f>
        <v>66.831429178795958</v>
      </c>
      <c r="K22">
        <f>(K11+J11/2+I11/3+H11/4+G11/5+F11/6+E11/7+D11/8+C11/9)/(1+1/2+1/3+1/4+1/5+1/6+1/7+1/8+1/9)-STDEV($C11:K11)/AVERAGE($C11:K11)*AVERAGE($C$3:K$12)</f>
        <v>77.994715210885957</v>
      </c>
      <c r="L22">
        <f>(L11+K11/2+J11/3+I11/4+H11/5+G11/6+F11/7+E11/8+D11/9+C11/10)/(1+1/2+1/3+1/4+1/5+1/6+1/7+1/8+1/9+1/10)-STDEV($C11:L11)/AVERAGE($C11:L11)*AVERAGE($C$3:L$12)</f>
        <v>78.463234308305019</v>
      </c>
      <c r="M22">
        <f>(M11+L11/2+K11/3+J11/4+I11/5+H11/6+G11/7+F11/8+E11/9+D11/10+C11/11)/(1+1/2+1/3+1/4+1/5+1/6+1/7+1/8+1/9+1/10+1/11)-STDEV($C11:M11)/AVERAGE($C11:M11)*AVERAGE($C$3:M$12)</f>
        <v>77.417914143122516</v>
      </c>
      <c r="N22">
        <f>(N11+M11/2+L11/3+K11/4+J11/5+I11/6+H11/7+G11/8+F11/9+E11/10+D11/11+C11/12)/(1+1/2+1/3+1/4+1/5+1/6+1/7+1/8+1/9+1/10+1/11+1/12)-STDEV($C11:N11)/AVERAGE($C11:N11)*AVERAGE($C$3:N$12)</f>
        <v>87.277752303761474</v>
      </c>
      <c r="O22">
        <f>(O11+N11/2+M11/3+L11/4+K11/5+J11/6+I11/7+H11/8+G11/9+F11/10+E11/11+D11/12+C11/13)/(1+1/2+1/3+1/4+1/5+1/6+1/7+1/8+1/9+1/10+1/11+1/12+1/13)-STDEV($C11:O11)/AVERAGE($C11:O11)*AVERAGE($C$3:O$12)</f>
        <v>48.014616368345116</v>
      </c>
      <c r="P22">
        <f t="shared" si="9"/>
        <v>5</v>
      </c>
    </row>
    <row r="23" spans="1:16" x14ac:dyDescent="0.25">
      <c r="A23">
        <f t="shared" si="10"/>
        <v>10</v>
      </c>
      <c r="B23" t="s">
        <v>19</v>
      </c>
      <c r="C23">
        <f>INDEX(E$14:N$23,10,E$1-2)</f>
        <v>61.439737374658449</v>
      </c>
      <c r="D23">
        <f>INDEX(E$14:O$23,10,E$1-3)</f>
        <v>73.027337033880983</v>
      </c>
      <c r="E23">
        <f>(E12+D12/2+C12/3)/(1+1/2+1/3)-STDEV($C12:E12)/AVERAGE($C12:E12)*AVERAGE($C$3:E$12)</f>
        <v>85.747471322292867</v>
      </c>
      <c r="F23">
        <f>(F12+E12/2+D12/3+C12/4)/(1+1/2+1/3+1/4)-STDEV($C12:F12)/AVERAGE($C12:F12)*AVERAGE($C$3:F$12)</f>
        <v>81.317863301167108</v>
      </c>
      <c r="G23">
        <f>(G12+F12/2+E12/3+D12/4+C12/5)/(1+1/2+1/3+1/4+1/5)-STDEV($C12:G12)/AVERAGE($C12:G12)*AVERAGE($C$3:G$12)</f>
        <v>87.860208432586091</v>
      </c>
      <c r="H23">
        <f>(H12+G12/2+F12/3+E12/4+D12/5+C12/6)/(1+1/2+1/3+1/4+1/5+1/6)-STDEV($C12:H12)/AVERAGE($C12:H12)*AVERAGE($C$3:H$12)</f>
        <v>59.099808866595851</v>
      </c>
      <c r="I23">
        <f>(I12+H12/2+G12/3+F12/4+E12/5+D12/6+C12/7)/(1+1/2+1/3+1/4+1/5+1/6+1/7)-STDEV($C12:I12)/AVERAGE($C12:I12)*AVERAGE($C$3:I$12)</f>
        <v>73.961351076001307</v>
      </c>
      <c r="J23">
        <f>(J12+I12/2+H12/3+G12/4+F12/5+E12/6+D12/7+C12/8)/(1+1/2+1/3+1/4+1/5+1/6+1/7+1/8)-STDEV($C12:J12)/AVERAGE($C12:J12)*AVERAGE($C$3:J$12)</f>
        <v>74.201290888806369</v>
      </c>
      <c r="K23">
        <f>(K12+J12/2+I12/3+H12/4+G12/5+F12/6+E12/7+D12/8+C12/9)/(1+1/2+1/3+1/4+1/5+1/6+1/7+1/8+1/9)-STDEV($C12:K12)/AVERAGE($C12:K12)*AVERAGE($C$3:K$12)</f>
        <v>66.424608959221985</v>
      </c>
      <c r="L23">
        <f>(L12+K12/2+J12/3+I12/4+H12/5+G12/6+F12/7+E12/8+D12/9+C12/10)/(1+1/2+1/3+1/4+1/5+1/6+1/7+1/8+1/9+1/10)-STDEV($C12:L12)/AVERAGE($C12:L12)*AVERAGE($C$3:L$12)</f>
        <v>64.217664255853236</v>
      </c>
      <c r="M23">
        <f>(M12+L12/2+K12/3+J12/4+I12/5+H12/6+G12/7+F12/8+E12/9+D12/10+C12/11)/(1+1/2+1/3+1/4+1/5+1/6+1/7+1/8+1/9+1/10+1/11)-STDEV($C12:M12)/AVERAGE($C12:M12)*AVERAGE($C$3:M$12)</f>
        <v>73.027337033880983</v>
      </c>
      <c r="N23">
        <f>(N12+M12/2+L12/3+K12/4+J12/5+I12/6+H12/7+G12/8+F12/9+E12/10+D12/11+C12/12)/(1+1/2+1/3+1/4+1/5+1/6+1/7+1/8+1/9+1/10+1/11+1/12)-STDEV($C12:N12)/AVERAGE($C12:N12)*AVERAGE($C$3:N$12)</f>
        <v>61.439737374658449</v>
      </c>
      <c r="O23">
        <f>(O12+N12/2+M12/3+L12/4+K12/5+J12/6+I12/7+H12/8+G12/9+F12/10+E12/11+D12/12+C12/13)/(1+1/2+1/3+1/4+1/5+1/6+1/7+1/8+1/9+1/10+1/11+1/12+1/13)-STDEV($C12:O12)/AVERAGE($C12:O12)*AVERAGE($C$3:O$12)</f>
        <v>37.048708548280587</v>
      </c>
      <c r="P23">
        <f t="shared" si="9"/>
        <v>7</v>
      </c>
    </row>
    <row r="25" spans="1:16" x14ac:dyDescent="0.25">
      <c r="A25" t="s">
        <v>9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</row>
    <row r="26" spans="1:16" x14ac:dyDescent="0.25">
      <c r="B26" s="14">
        <v>1</v>
      </c>
      <c r="C26" s="14" t="str">
        <f>VLOOKUP($B26,$A$14:$N$23,2,FALSE)</f>
        <v>Rohit's Avocado Farm</v>
      </c>
      <c r="D26">
        <f>VLOOKUP($B26,$A$14:$M$23,5,FALSE)</f>
        <v>85.689288581176001</v>
      </c>
      <c r="E26">
        <f t="shared" ref="E26:E35" si="11">VLOOKUP($B26,$A$14:$K$23,6,FALSE)</f>
        <v>89.379442880619806</v>
      </c>
      <c r="F26">
        <f t="shared" ref="F26:F35" si="12">VLOOKUP($B26,$A$14:$K$23,7,FALSE)</f>
        <v>89.505986318840556</v>
      </c>
      <c r="G26">
        <f t="shared" ref="G26:G35" si="13">VLOOKUP($B26,$A$14:$K$23,8,FALSE)</f>
        <v>96.737159046456654</v>
      </c>
      <c r="H26">
        <f t="shared" ref="H26:H35" si="14">VLOOKUP($B26,$A$14:$K$23,9,FALSE)</f>
        <v>99.957876172449673</v>
      </c>
      <c r="I26">
        <f t="shared" ref="I26:I35" si="15">VLOOKUP($B26,$A$14:$K$23,10,FALSE)</f>
        <v>93.289701055700135</v>
      </c>
      <c r="J26">
        <f t="shared" ref="J26:J35" si="16">VLOOKUP($B26,$A$14:$K$23,11,FALSE)</f>
        <v>98.955533768604951</v>
      </c>
      <c r="K26">
        <f t="shared" ref="K26:K35" si="17">VLOOKUP($B26,$A$14:$L$23,12,FALSE)</f>
        <v>95.199406199144462</v>
      </c>
      <c r="L26">
        <f>VLOOKUP($B26,$A$14:$O$23,13,FALSE)</f>
        <v>89.277888791854508</v>
      </c>
      <c r="M26">
        <f>VLOOKUP($B26,$A$14:$O$23,14,FALSE)</f>
        <v>96.903150003964129</v>
      </c>
      <c r="N26">
        <f>VLOOKUP($B26,$A$14:$O$23,15,FALSE)</f>
        <v>60.809186485926396</v>
      </c>
      <c r="O26">
        <f>INDEX($R$3:$AF$12,MATCH(C26,$R$3:$R$12,0),15)</f>
        <v>6.6666666666666661</v>
      </c>
    </row>
    <row r="27" spans="1:16" x14ac:dyDescent="0.25">
      <c r="B27" s="14">
        <v>2</v>
      </c>
      <c r="C27" s="14" t="str">
        <f>VLOOKUP($B27,$A$14:$N$23,2,FALSE)</f>
        <v>Avacado Seeds</v>
      </c>
      <c r="D27">
        <f t="shared" ref="D27:D35" si="18">VLOOKUP($B27,$A$14:$K$23,5,FALSE)</f>
        <v>101.25144846627126</v>
      </c>
      <c r="E27">
        <f t="shared" si="11"/>
        <v>107.63787784209615</v>
      </c>
      <c r="F27">
        <f t="shared" si="12"/>
        <v>95.092655987025068</v>
      </c>
      <c r="G27">
        <f t="shared" si="13"/>
        <v>103.11139337381189</v>
      </c>
      <c r="H27">
        <f t="shared" si="14"/>
        <v>108.43515641243737</v>
      </c>
      <c r="I27">
        <f t="shared" si="15"/>
        <v>106.6649148576173</v>
      </c>
      <c r="J27">
        <f t="shared" si="16"/>
        <v>95.724251778203367</v>
      </c>
      <c r="K27">
        <f t="shared" si="17"/>
        <v>102.80913620846437</v>
      </c>
      <c r="L27">
        <f t="shared" ref="L27:L35" si="19">VLOOKUP($B27,$A$14:$O$23,13,FALSE)</f>
        <v>102.74660379721669</v>
      </c>
      <c r="M27">
        <f t="shared" ref="M27:M35" si="20">VLOOKUP($B27,$A$14:$O$23,14,FALSE)</f>
        <v>92.234025941380892</v>
      </c>
      <c r="N27">
        <f t="shared" ref="N27:N35" si="21">VLOOKUP($B27,$A$14:$O$23,15,FALSE)</f>
        <v>60.92975903154327</v>
      </c>
      <c r="O27">
        <f t="shared" ref="O27:O35" si="22">INDEX($R$3:$AF$12,MATCH(C27,$R$3:$R$12,0),15)</f>
        <v>8.8888888888888893</v>
      </c>
    </row>
    <row r="28" spans="1:16" x14ac:dyDescent="0.25">
      <c r="B28" s="14">
        <v>3</v>
      </c>
      <c r="C28" s="14" t="str">
        <f t="shared" ref="C27:C35" si="23">VLOOKUP($B28,$A$14:$N$23,2,FALSE)</f>
        <v>21 Thicc Titans</v>
      </c>
      <c r="D28">
        <f t="shared" si="18"/>
        <v>45.480838655882195</v>
      </c>
      <c r="E28">
        <f t="shared" si="11"/>
        <v>52.547608194650564</v>
      </c>
      <c r="F28">
        <f t="shared" si="12"/>
        <v>55.026873789809073</v>
      </c>
      <c r="G28">
        <f t="shared" si="13"/>
        <v>63.042125349853606</v>
      </c>
      <c r="H28">
        <f t="shared" si="14"/>
        <v>71.090958052158285</v>
      </c>
      <c r="I28">
        <f t="shared" si="15"/>
        <v>66.831429178795958</v>
      </c>
      <c r="J28">
        <f t="shared" si="16"/>
        <v>77.994715210885957</v>
      </c>
      <c r="K28">
        <f t="shared" si="17"/>
        <v>78.463234308305019</v>
      </c>
      <c r="L28">
        <f t="shared" si="19"/>
        <v>77.417914143122516</v>
      </c>
      <c r="M28">
        <f t="shared" si="20"/>
        <v>87.277752303761474</v>
      </c>
      <c r="N28">
        <f t="shared" si="21"/>
        <v>48.014616368345116</v>
      </c>
      <c r="O28">
        <f t="shared" si="22"/>
        <v>5.3333333333333339</v>
      </c>
    </row>
    <row r="29" spans="1:16" x14ac:dyDescent="0.25">
      <c r="B29" s="14">
        <v>4</v>
      </c>
      <c r="C29" s="14" t="str">
        <f t="shared" si="23"/>
        <v>Elite Tostitos</v>
      </c>
      <c r="D29">
        <f t="shared" si="18"/>
        <v>67.268724955213614</v>
      </c>
      <c r="E29">
        <f t="shared" si="11"/>
        <v>72.09636564280062</v>
      </c>
      <c r="F29">
        <f t="shared" si="12"/>
        <v>81.905210624824022</v>
      </c>
      <c r="G29">
        <f t="shared" si="13"/>
        <v>83.066460177711349</v>
      </c>
      <c r="H29">
        <f t="shared" si="14"/>
        <v>73.939745523335162</v>
      </c>
      <c r="I29">
        <f t="shared" si="15"/>
        <v>85.72856219455501</v>
      </c>
      <c r="J29">
        <f t="shared" si="16"/>
        <v>80.510971148524177</v>
      </c>
      <c r="K29">
        <f t="shared" si="17"/>
        <v>75.406888491056932</v>
      </c>
      <c r="L29">
        <f t="shared" si="19"/>
        <v>82.127602055420496</v>
      </c>
      <c r="M29">
        <f t="shared" si="20"/>
        <v>83.286824713923764</v>
      </c>
      <c r="N29">
        <f t="shared" si="21"/>
        <v>51.614016894955455</v>
      </c>
      <c r="O29">
        <f t="shared" si="22"/>
        <v>5.8888888888888902</v>
      </c>
    </row>
    <row r="30" spans="1:16" x14ac:dyDescent="0.25">
      <c r="B30" s="14">
        <v>5</v>
      </c>
      <c r="C30" s="14" t="str">
        <f t="shared" si="23"/>
        <v>Los Angeles Butt Men</v>
      </c>
      <c r="D30">
        <f t="shared" si="18"/>
        <v>99.341015645451961</v>
      </c>
      <c r="E30">
        <f t="shared" si="11"/>
        <v>86.561931443849318</v>
      </c>
      <c r="F30">
        <f t="shared" si="12"/>
        <v>93.884102960667917</v>
      </c>
      <c r="G30">
        <f t="shared" si="13"/>
        <v>94.80140044530512</v>
      </c>
      <c r="H30">
        <f t="shared" si="14"/>
        <v>75.071780416606259</v>
      </c>
      <c r="I30">
        <f t="shared" si="15"/>
        <v>80.908378121518837</v>
      </c>
      <c r="J30">
        <f t="shared" si="16"/>
        <v>83.27006219726087</v>
      </c>
      <c r="K30">
        <f t="shared" si="17"/>
        <v>77.574908879153526</v>
      </c>
      <c r="L30">
        <f t="shared" si="19"/>
        <v>81.369718373061914</v>
      </c>
      <c r="M30">
        <f t="shared" si="20"/>
        <v>82.738647110983152</v>
      </c>
      <c r="N30">
        <f t="shared" si="21"/>
        <v>51.435155296131995</v>
      </c>
      <c r="O30">
        <f t="shared" si="22"/>
        <v>6.7777777777777777</v>
      </c>
    </row>
    <row r="31" spans="1:16" x14ac:dyDescent="0.25">
      <c r="B31" s="14">
        <v>6</v>
      </c>
      <c r="C31" s="14" t="str">
        <f t="shared" si="23"/>
        <v>unBEATable at HOME</v>
      </c>
      <c r="D31">
        <f t="shared" si="18"/>
        <v>84.251451445455629</v>
      </c>
      <c r="E31">
        <f t="shared" si="11"/>
        <v>89.237509783867566</v>
      </c>
      <c r="F31">
        <f t="shared" si="12"/>
        <v>85.140775974329671</v>
      </c>
      <c r="G31">
        <f t="shared" si="13"/>
        <v>71.844532062210334</v>
      </c>
      <c r="H31">
        <f t="shared" si="14"/>
        <v>81.532029643026434</v>
      </c>
      <c r="I31">
        <f t="shared" si="15"/>
        <v>74.696507291768299</v>
      </c>
      <c r="J31">
        <f t="shared" si="16"/>
        <v>42.065996616910283</v>
      </c>
      <c r="K31">
        <f t="shared" si="17"/>
        <v>51.452939475731775</v>
      </c>
      <c r="L31">
        <f t="shared" si="19"/>
        <v>71.609735933644998</v>
      </c>
      <c r="M31">
        <f t="shared" si="20"/>
        <v>80.667554742777895</v>
      </c>
      <c r="N31">
        <f t="shared" si="21"/>
        <v>39.030628227699374</v>
      </c>
      <c r="O31">
        <f t="shared" si="22"/>
        <v>5.3333333333333339</v>
      </c>
    </row>
    <row r="32" spans="1:16" x14ac:dyDescent="0.25">
      <c r="B32" s="14">
        <v>7</v>
      </c>
      <c r="C32" s="14" t="str">
        <f t="shared" si="23"/>
        <v>My Cousin Vinatieri</v>
      </c>
      <c r="D32">
        <f t="shared" si="18"/>
        <v>96.822323866328105</v>
      </c>
      <c r="E32">
        <f t="shared" si="11"/>
        <v>70.529112918712741</v>
      </c>
      <c r="F32">
        <f t="shared" si="12"/>
        <v>82.270442217735166</v>
      </c>
      <c r="G32">
        <f t="shared" si="13"/>
        <v>92.171491524358132</v>
      </c>
      <c r="H32">
        <f t="shared" si="14"/>
        <v>73.886342912824347</v>
      </c>
      <c r="I32">
        <f t="shared" si="15"/>
        <v>81.655874236137393</v>
      </c>
      <c r="J32">
        <f t="shared" si="16"/>
        <v>84.564950021570453</v>
      </c>
      <c r="K32">
        <f t="shared" si="17"/>
        <v>70.361868742438503</v>
      </c>
      <c r="L32">
        <f t="shared" si="19"/>
        <v>75.724651889825651</v>
      </c>
      <c r="M32">
        <f t="shared" si="20"/>
        <v>75.845837810213993</v>
      </c>
      <c r="N32">
        <f t="shared" si="21"/>
        <v>46.309819020880809</v>
      </c>
      <c r="O32">
        <f t="shared" si="22"/>
        <v>5.8888888888888893</v>
      </c>
    </row>
    <row r="33" spans="2:15" x14ac:dyDescent="0.25">
      <c r="B33" s="14">
        <v>8</v>
      </c>
      <c r="C33" s="14" t="str">
        <f t="shared" si="23"/>
        <v>Fortune Favors The Bold</v>
      </c>
      <c r="D33">
        <f t="shared" si="18"/>
        <v>98.29688961992133</v>
      </c>
      <c r="E33">
        <f t="shared" si="11"/>
        <v>95.545835821780315</v>
      </c>
      <c r="F33">
        <f t="shared" si="12"/>
        <v>93.423875844542437</v>
      </c>
      <c r="G33">
        <f t="shared" si="13"/>
        <v>77.702629548358729</v>
      </c>
      <c r="H33">
        <f t="shared" si="14"/>
        <v>74.866235534338728</v>
      </c>
      <c r="I33">
        <f t="shared" si="15"/>
        <v>68.518236565983372</v>
      </c>
      <c r="J33">
        <f t="shared" si="16"/>
        <v>54.955082022234862</v>
      </c>
      <c r="K33">
        <f t="shared" si="17"/>
        <v>56.440759883598247</v>
      </c>
      <c r="L33">
        <f t="shared" si="19"/>
        <v>70.678422125512341</v>
      </c>
      <c r="M33">
        <f t="shared" si="20"/>
        <v>75.237225289455637</v>
      </c>
      <c r="N33">
        <f t="shared" si="21"/>
        <v>42.672124649258713</v>
      </c>
      <c r="O33">
        <f t="shared" si="22"/>
        <v>5.6666666666666661</v>
      </c>
    </row>
    <row r="34" spans="2:15" x14ac:dyDescent="0.25">
      <c r="B34" s="14">
        <v>9</v>
      </c>
      <c r="C34" s="14" t="str">
        <f t="shared" si="23"/>
        <v>All I Do is Winston</v>
      </c>
      <c r="D34">
        <f t="shared" si="18"/>
        <v>96.786258642855643</v>
      </c>
      <c r="E34">
        <f t="shared" si="11"/>
        <v>99.066843185260311</v>
      </c>
      <c r="F34">
        <f t="shared" si="12"/>
        <v>85.189861194465777</v>
      </c>
      <c r="G34">
        <f t="shared" si="13"/>
        <v>82.344432296699821</v>
      </c>
      <c r="H34">
        <f t="shared" si="14"/>
        <v>90.776234694752887</v>
      </c>
      <c r="I34">
        <f t="shared" si="15"/>
        <v>76.86824882668698</v>
      </c>
      <c r="J34">
        <f t="shared" si="16"/>
        <v>54.342159878294048</v>
      </c>
      <c r="K34">
        <f t="shared" si="17"/>
        <v>64.068345387725117</v>
      </c>
      <c r="L34">
        <f t="shared" si="19"/>
        <v>58.611533128102153</v>
      </c>
      <c r="M34">
        <f t="shared" si="20"/>
        <v>73.750729407070452</v>
      </c>
      <c r="N34">
        <f t="shared" si="21"/>
        <v>40.812326054802824</v>
      </c>
      <c r="O34">
        <f t="shared" si="22"/>
        <v>5.4444444444444446</v>
      </c>
    </row>
    <row r="35" spans="2:15" x14ac:dyDescent="0.25">
      <c r="B35" s="14">
        <v>10</v>
      </c>
      <c r="C35" s="14" t="str">
        <f t="shared" si="23"/>
        <v>G - Lit</v>
      </c>
      <c r="D35">
        <f t="shared" si="18"/>
        <v>85.747471322292867</v>
      </c>
      <c r="E35">
        <f t="shared" si="11"/>
        <v>81.317863301167108</v>
      </c>
      <c r="F35">
        <f t="shared" si="12"/>
        <v>87.860208432586091</v>
      </c>
      <c r="G35">
        <f t="shared" si="13"/>
        <v>59.099808866595851</v>
      </c>
      <c r="H35">
        <f t="shared" si="14"/>
        <v>73.961351076001307</v>
      </c>
      <c r="I35">
        <f t="shared" si="15"/>
        <v>74.201290888806369</v>
      </c>
      <c r="J35">
        <f t="shared" si="16"/>
        <v>66.424608959221985</v>
      </c>
      <c r="K35">
        <f t="shared" si="17"/>
        <v>64.217664255853236</v>
      </c>
      <c r="L35">
        <f t="shared" si="19"/>
        <v>73.027337033880983</v>
      </c>
      <c r="M35">
        <f t="shared" si="20"/>
        <v>61.439737374658449</v>
      </c>
      <c r="N35">
        <f t="shared" si="21"/>
        <v>37.048708548280587</v>
      </c>
      <c r="O35">
        <f t="shared" si="22"/>
        <v>4.0000000000000009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4"/>
  <sheetViews>
    <sheetView workbookViewId="0">
      <selection activeCell="A3" sqref="A3"/>
    </sheetView>
  </sheetViews>
  <sheetFormatPr defaultRowHeight="27.75" customHeight="1" x14ac:dyDescent="0.25"/>
  <cols>
    <col min="1" max="1" width="9.140625" customWidth="1"/>
    <col min="2" max="2" width="22.7109375" customWidth="1"/>
    <col min="3" max="3" width="8" customWidth="1"/>
    <col min="4" max="4" width="2.85546875" style="5" customWidth="1"/>
    <col min="5" max="5" width="4.7109375" customWidth="1"/>
    <col min="6" max="7" width="9.140625" style="11"/>
    <col min="8" max="8" width="9.140625" style="11" hidden="1" customWidth="1"/>
    <col min="9" max="9" width="5.28515625" customWidth="1"/>
    <col min="16" max="18" width="9.140625" style="12"/>
  </cols>
  <sheetData>
    <row r="1" spans="1:18" ht="27.75" customHeight="1" x14ac:dyDescent="0.4">
      <c r="A1" s="41" t="str">
        <f>"Week "&amp;R1</f>
        <v>Week 12</v>
      </c>
      <c r="B1" s="42"/>
      <c r="C1" s="42"/>
      <c r="D1" s="42"/>
      <c r="E1" s="42"/>
      <c r="F1" s="42"/>
      <c r="G1" s="42"/>
      <c r="H1" s="42"/>
      <c r="I1" s="43"/>
      <c r="J1" s="7"/>
      <c r="K1" s="7"/>
      <c r="Q1" s="12" t="s">
        <v>29</v>
      </c>
      <c r="R1" s="12">
        <f>Points2017!E1</f>
        <v>12</v>
      </c>
    </row>
    <row r="2" spans="1:18" ht="27.75" customHeight="1" x14ac:dyDescent="0.25">
      <c r="A2" s="1" t="s">
        <v>23</v>
      </c>
      <c r="B2" s="1" t="s">
        <v>24</v>
      </c>
      <c r="C2" s="1" t="s">
        <v>25</v>
      </c>
      <c r="D2" s="39" t="s">
        <v>26</v>
      </c>
      <c r="E2" s="40"/>
      <c r="F2" s="9" t="s">
        <v>27</v>
      </c>
      <c r="G2" s="36" t="s">
        <v>35</v>
      </c>
      <c r="H2" s="36" t="s">
        <v>35</v>
      </c>
      <c r="I2" s="13" t="s">
        <v>28</v>
      </c>
      <c r="J2" s="7"/>
      <c r="K2" s="7"/>
      <c r="Q2" s="12" t="s">
        <v>20</v>
      </c>
    </row>
    <row r="3" spans="1:18" ht="27.75" customHeight="1" x14ac:dyDescent="0.25">
      <c r="A3" s="16">
        <v>1</v>
      </c>
      <c r="B3" s="16" t="str">
        <f>VLOOKUP(A3,Points2017!$A$14:$K$23,2,FALSE)</f>
        <v>Rohit's Avocado Farm</v>
      </c>
      <c r="C3" s="16">
        <f>VLOOKUP(A3,Points2017!$A$14:$P$23,16,FALSE)</f>
        <v>2</v>
      </c>
      <c r="D3" s="17">
        <f t="shared" ref="D3:D12" si="0">IF(C3&gt;A3,C3-A3,IF(C3&lt;A3,C3-A3,0))</f>
        <v>1</v>
      </c>
      <c r="E3" s="18" t="str">
        <f>IF(C3&gt;A3,"+"&amp;C3-A3,IF(C3&lt;A3,"-"&amp;A3-C3,"-"))</f>
        <v>+1</v>
      </c>
      <c r="F3" s="19" t="str">
        <f>Q3&amp;" - "&amp;($R$1-Q3)</f>
        <v>5 - 7</v>
      </c>
      <c r="G3" s="37"/>
      <c r="H3" s="19">
        <f>ROUND(100*INDEX(probwin!$AB$27:$AC$36,MATCH(List!B3,probwin!$O$27:$O$36,0),2),0)</f>
        <v>0</v>
      </c>
      <c r="I3" s="20">
        <f>INDEX(Points2017!AG$3:AG$12,MATCH(List!B3,Points2017!R$3:R$12,0))</f>
        <v>-1.3028982311836683</v>
      </c>
      <c r="J3" s="8"/>
      <c r="K3" s="7"/>
      <c r="L3" s="2"/>
      <c r="M3" s="2"/>
      <c r="Q3" s="12">
        <f>INDEX(Points2017!P$3:P$12,MATCH(List!B3,Points2017!B$3:B$12,0),1)</f>
        <v>5</v>
      </c>
    </row>
    <row r="4" spans="1:18" ht="27.75" customHeight="1" x14ac:dyDescent="0.25">
      <c r="A4" s="31">
        <v>2</v>
      </c>
      <c r="B4" s="31" t="str">
        <f>VLOOKUP(A4,Points2017!$A$14:$K$23,2,FALSE)</f>
        <v>Avacado Seeds</v>
      </c>
      <c r="C4" s="31">
        <f>VLOOKUP(A4,Points2017!$A$14:$P$23,16,FALSE)</f>
        <v>1</v>
      </c>
      <c r="D4" s="32">
        <f t="shared" si="0"/>
        <v>-1</v>
      </c>
      <c r="E4" s="33" t="str">
        <f t="shared" ref="E4:E12" si="1">IF(C4&gt;A4,"+"&amp;C4-A4,IF(C4&lt;A4,"-"&amp;A4-C4,"-"))</f>
        <v>-1</v>
      </c>
      <c r="F4" s="34" t="str">
        <f t="shared" ref="F4:F12" si="2">Q4&amp;" - "&amp;($R$1-Q4)</f>
        <v>10 - 2</v>
      </c>
      <c r="G4" s="34"/>
      <c r="H4" s="34">
        <f>ROUND(100*INDEX(probwin!$AB$27:$AC$36,MATCH(List!B4,probwin!$O$27:$O$36,0),2),0)</f>
        <v>113</v>
      </c>
      <c r="I4" s="35">
        <f>INDEX(Points2017!AG$3:AG$12,MATCH(List!B4,Points2017!R$3:R$12,0))</f>
        <v>0.86859882078911232</v>
      </c>
      <c r="J4" s="8"/>
      <c r="K4" s="7"/>
      <c r="L4" s="2"/>
      <c r="M4" s="2"/>
      <c r="Q4" s="12">
        <f>INDEX(Points2017!P$3:P$12,MATCH(List!B4,Points2017!B$3:B$12,0),1)</f>
        <v>10</v>
      </c>
    </row>
    <row r="5" spans="1:18" ht="27.75" customHeight="1" x14ac:dyDescent="0.25">
      <c r="A5" s="31">
        <v>3</v>
      </c>
      <c r="B5" s="31" t="str">
        <f>VLOOKUP(A5,Points2017!$A$14:$K$23,2,FALSE)</f>
        <v>21 Thicc Titans</v>
      </c>
      <c r="C5" s="31">
        <f>VLOOKUP(A5,Points2017!$A$14:$P$23,16,FALSE)</f>
        <v>5</v>
      </c>
      <c r="D5" s="32">
        <f t="shared" si="0"/>
        <v>2</v>
      </c>
      <c r="E5" s="33" t="str">
        <f t="shared" si="1"/>
        <v>+2</v>
      </c>
      <c r="F5" s="34" t="str">
        <f t="shared" si="2"/>
        <v>7 - 5</v>
      </c>
      <c r="G5" s="34"/>
      <c r="H5" s="34">
        <f>ROUND(100*INDEX(probwin!$AB$27:$AC$36,MATCH(List!B5,probwin!$O$27:$O$36,0),2),0)</f>
        <v>113</v>
      </c>
      <c r="I5" s="35">
        <f>INDEX(Points2017!AG$3:AG$12,MATCH(List!B5,Points2017!R$3:R$12,0))</f>
        <v>1.3028982311836683</v>
      </c>
      <c r="J5" s="8"/>
      <c r="K5" s="7"/>
      <c r="L5" s="2"/>
      <c r="M5" s="2"/>
      <c r="Q5" s="12">
        <f>INDEX(Points2017!P$3:P$12,MATCH(List!B5,Points2017!B$3:B$12,0),1)</f>
        <v>7</v>
      </c>
    </row>
    <row r="6" spans="1:18" ht="27.75" customHeight="1" x14ac:dyDescent="0.25">
      <c r="A6" s="26">
        <v>4</v>
      </c>
      <c r="B6" s="26" t="str">
        <f>VLOOKUP(A6,Points2017!$A$14:$K$23,2,FALSE)</f>
        <v>Elite Tostitos</v>
      </c>
      <c r="C6" s="26">
        <f>VLOOKUP(A6,Points2017!$A$14:$P$23,16,FALSE)</f>
        <v>3</v>
      </c>
      <c r="D6" s="27">
        <f t="shared" si="0"/>
        <v>-1</v>
      </c>
      <c r="E6" s="28" t="str">
        <f t="shared" si="1"/>
        <v>-1</v>
      </c>
      <c r="F6" s="29" t="str">
        <f t="shared" si="2"/>
        <v>7 - 5</v>
      </c>
      <c r="G6" s="38"/>
      <c r="H6" s="29">
        <f>ROUND(100*INDEX(probwin!$AB$27:$AC$36,MATCH(List!B6,probwin!$O$27:$O$36,0),2),0)</f>
        <v>113</v>
      </c>
      <c r="I6" s="30">
        <f>INDEX(Points2017!AG$3:AG$12,MATCH(List!B6,Points2017!R$3:R$12,0))</f>
        <v>0.86859882078911155</v>
      </c>
      <c r="J6" s="8"/>
      <c r="K6" s="7"/>
      <c r="L6" s="2"/>
      <c r="M6" s="2"/>
      <c r="Q6" s="12">
        <f>INDEX(Points2017!P$3:P$12,MATCH(List!B6,Points2017!B$3:B$12,0),1)</f>
        <v>7</v>
      </c>
    </row>
    <row r="7" spans="1:18" ht="27.75" customHeight="1" x14ac:dyDescent="0.25">
      <c r="A7" s="26">
        <v>5</v>
      </c>
      <c r="B7" s="26" t="str">
        <f>VLOOKUP(A7,Points2017!$A$14:$K$23,2,FALSE)</f>
        <v>Los Angeles Butt Men</v>
      </c>
      <c r="C7" s="26">
        <f>VLOOKUP(A7,Points2017!$A$14:$P$23,16,FALSE)</f>
        <v>4</v>
      </c>
      <c r="D7" s="27">
        <f t="shared" si="0"/>
        <v>-1</v>
      </c>
      <c r="E7" s="28" t="str">
        <f t="shared" si="1"/>
        <v>-1</v>
      </c>
      <c r="F7" s="29" t="str">
        <f t="shared" si="2"/>
        <v>5 - 7</v>
      </c>
      <c r="G7" s="29"/>
      <c r="H7" s="29">
        <f>ROUND(100*INDEX(probwin!$AB$27:$AC$36,MATCH(List!B7,probwin!$O$27:$O$36,0),2),0)</f>
        <v>0</v>
      </c>
      <c r="I7" s="30">
        <f>INDEX(Points2017!AG$3:AG$12,MATCH(List!B7,Points2017!R$3:R$12,0))</f>
        <v>-1.38975811326258</v>
      </c>
      <c r="J7" s="8"/>
      <c r="K7" s="7"/>
      <c r="L7" s="2"/>
      <c r="M7" s="2"/>
      <c r="Q7" s="12">
        <f>INDEX(Points2017!P$3:P$12,MATCH(List!B7,Points2017!B$3:B$12,0),1)</f>
        <v>5</v>
      </c>
    </row>
    <row r="8" spans="1:18" ht="27.75" customHeight="1" x14ac:dyDescent="0.25">
      <c r="A8" s="26">
        <v>6</v>
      </c>
      <c r="B8" s="26" t="str">
        <f>VLOOKUP(A8,Points2017!$A$14:$K$23,2,FALSE)</f>
        <v>unBEATable at HOME</v>
      </c>
      <c r="C8" s="26">
        <f>VLOOKUP(A8,Points2017!$A$14:$P$23,16,FALSE)</f>
        <v>8</v>
      </c>
      <c r="D8" s="27">
        <f t="shared" si="0"/>
        <v>2</v>
      </c>
      <c r="E8" s="28" t="str">
        <f t="shared" si="1"/>
        <v>+2</v>
      </c>
      <c r="F8" s="29" t="str">
        <f t="shared" si="2"/>
        <v>6 - 6</v>
      </c>
      <c r="G8" s="29"/>
      <c r="H8" s="29">
        <f>ROUND(100*INDEX(probwin!$AB$27:$AC$36,MATCH(List!B8,probwin!$O$27:$O$36,0),2),0)</f>
        <v>56</v>
      </c>
      <c r="I8" s="30">
        <f>INDEX(Points2017!AG$3:AG$12,MATCH(List!B8,Points2017!R$3:R$12,0))</f>
        <v>0.52115929247346704</v>
      </c>
      <c r="J8" s="8"/>
      <c r="K8" s="7"/>
      <c r="L8" s="2"/>
      <c r="M8" s="2"/>
      <c r="Q8" s="12">
        <f>INDEX(Points2017!P$3:P$12,MATCH(List!B8,Points2017!B$3:B$12,0),1)</f>
        <v>6</v>
      </c>
    </row>
    <row r="9" spans="1:18" ht="27.75" customHeight="1" x14ac:dyDescent="0.25">
      <c r="A9" s="26">
        <v>7</v>
      </c>
      <c r="B9" s="26" t="str">
        <f>VLOOKUP(A9,Points2017!$A$14:$K$23,2,FALSE)</f>
        <v>My Cousin Vinatieri</v>
      </c>
      <c r="C9" s="26">
        <f>VLOOKUP(A9,Points2017!$A$14:$P$23,16,FALSE)</f>
        <v>6</v>
      </c>
      <c r="D9" s="27">
        <f t="shared" si="0"/>
        <v>-1</v>
      </c>
      <c r="E9" s="28" t="str">
        <f t="shared" si="1"/>
        <v>-1</v>
      </c>
      <c r="F9" s="29" t="str">
        <f t="shared" si="2"/>
        <v>5 - 7</v>
      </c>
      <c r="G9" s="29"/>
      <c r="H9" s="29">
        <f>ROUND(100*INDEX(probwin!$AB$27:$AC$36,MATCH(List!B9,probwin!$O$27:$O$36,0),2),0)</f>
        <v>0</v>
      </c>
      <c r="I9" s="30">
        <f>INDEX(Points2017!AG$3:AG$12,MATCH(List!B9,Points2017!R$3:R$12,0))</f>
        <v>-0.69487905663129035</v>
      </c>
      <c r="J9" s="8"/>
      <c r="K9" s="7"/>
      <c r="L9" s="2"/>
      <c r="M9" s="2"/>
      <c r="Q9" s="12">
        <f>INDEX(Points2017!P$3:P$12,MATCH(List!B9,Points2017!B$3:B$12,0),1)</f>
        <v>5</v>
      </c>
    </row>
    <row r="10" spans="1:18" ht="27.75" customHeight="1" x14ac:dyDescent="0.25">
      <c r="A10" s="26">
        <v>8</v>
      </c>
      <c r="B10" s="26" t="str">
        <f>VLOOKUP(A10,Points2017!$A$14:$K$23,2,FALSE)</f>
        <v>Fortune Favors The Bold</v>
      </c>
      <c r="C10" s="26">
        <f>VLOOKUP(A10,Points2017!$A$14:$P$23,16,FALSE)</f>
        <v>9</v>
      </c>
      <c r="D10" s="27">
        <f t="shared" si="0"/>
        <v>1</v>
      </c>
      <c r="E10" s="28" t="str">
        <f t="shared" si="1"/>
        <v>+1</v>
      </c>
      <c r="F10" s="29" t="str">
        <f t="shared" si="2"/>
        <v>5 - 7</v>
      </c>
      <c r="G10" s="29"/>
      <c r="H10" s="29">
        <f>ROUND(100*INDEX(probwin!$AB$27:$AC$36,MATCH(List!B10,probwin!$O$27:$O$36,0),2),0)</f>
        <v>0</v>
      </c>
      <c r="I10" s="30">
        <f>INDEX(Points2017!AG$3:AG$12,MATCH(List!B10,Points2017!R$3:R$12,0))</f>
        <v>-0.52115929247346704</v>
      </c>
      <c r="J10" s="8"/>
      <c r="K10" s="7"/>
      <c r="L10" s="2"/>
      <c r="M10" s="2"/>
      <c r="Q10" s="12">
        <f>INDEX(Points2017!P$3:P$12,MATCH(List!B10,Points2017!B$3:B$12,0),1)</f>
        <v>5</v>
      </c>
    </row>
    <row r="11" spans="1:18" ht="27.75" customHeight="1" x14ac:dyDescent="0.25">
      <c r="A11" s="26">
        <v>9</v>
      </c>
      <c r="B11" s="26" t="str">
        <f>VLOOKUP(A11,Points2017!$A$14:$K$23,2,FALSE)</f>
        <v>All I Do is Winston</v>
      </c>
      <c r="C11" s="26">
        <f>VLOOKUP(A11,Points2017!$A$14:$P$23,16,FALSE)</f>
        <v>10</v>
      </c>
      <c r="D11" s="27">
        <f t="shared" si="0"/>
        <v>1</v>
      </c>
      <c r="E11" s="28" t="str">
        <f t="shared" si="1"/>
        <v>+1</v>
      </c>
      <c r="F11" s="29" t="str">
        <f t="shared" si="2"/>
        <v>5 - 7</v>
      </c>
      <c r="G11" s="38"/>
      <c r="H11" s="29">
        <f>ROUND(100*INDEX(probwin!$AB$27:$AC$36,MATCH(List!B11,probwin!$O$27:$O$36,0),2),0)</f>
        <v>0</v>
      </c>
      <c r="I11" s="30">
        <f>INDEX(Points2017!AG$3:AG$12,MATCH(List!B11,Points2017!R$3:R$12,0))</f>
        <v>-0.34743952831564517</v>
      </c>
      <c r="J11" s="8"/>
      <c r="K11" s="7"/>
      <c r="L11" s="2"/>
      <c r="M11" s="2"/>
      <c r="Q11" s="12">
        <f>INDEX(Points2017!P$3:P$12,MATCH(List!B11,Points2017!B$3:B$12,0),1)</f>
        <v>5</v>
      </c>
    </row>
    <row r="12" spans="1:18" ht="27.75" customHeight="1" x14ac:dyDescent="0.25">
      <c r="A12" s="21">
        <v>10</v>
      </c>
      <c r="B12" s="21" t="str">
        <f>VLOOKUP(A12,Points2017!$A$14:$K$23,2,FALSE)</f>
        <v>G - Lit</v>
      </c>
      <c r="C12" s="21">
        <f>VLOOKUP(A12,Points2017!$A$14:$P$23,16,FALSE)</f>
        <v>7</v>
      </c>
      <c r="D12" s="22">
        <f t="shared" si="0"/>
        <v>-3</v>
      </c>
      <c r="E12" s="23" t="str">
        <f t="shared" si="1"/>
        <v>-3</v>
      </c>
      <c r="F12" s="24" t="str">
        <f t="shared" si="2"/>
        <v>5 - 7</v>
      </c>
      <c r="G12" s="24"/>
      <c r="H12" s="24">
        <f>ROUND(100*INDEX(probwin!$AB$27:$AC$36,MATCH(List!B12,probwin!$O$27:$O$36,0),2),0)</f>
        <v>0</v>
      </c>
      <c r="I12" s="25">
        <f>INDEX(Points2017!AG$3:AG$12,MATCH(List!B12,Points2017!R$3:R$12,0))</f>
        <v>0.78173893871020061</v>
      </c>
      <c r="J12" s="8"/>
      <c r="K12" s="7"/>
      <c r="L12" s="2"/>
      <c r="M12" s="2"/>
      <c r="Q12" s="12">
        <f>INDEX(Points2017!P$3:P$12,MATCH(List!B12,Points2017!B$3:B$12,0),1)</f>
        <v>5</v>
      </c>
    </row>
    <row r="13" spans="1:18" ht="27.75" customHeight="1" x14ac:dyDescent="0.25">
      <c r="A13" s="2"/>
      <c r="B13" s="2"/>
      <c r="C13" s="2"/>
      <c r="D13" s="6"/>
      <c r="E13" s="3"/>
      <c r="F13" s="10"/>
      <c r="G13" s="10"/>
      <c r="H13" s="10"/>
    </row>
    <row r="14" spans="1:18" ht="27.75" customHeight="1" x14ac:dyDescent="0.25">
      <c r="A14" s="2"/>
      <c r="B14" s="2"/>
      <c r="C14" s="2"/>
      <c r="D14" s="4"/>
      <c r="E14" s="4"/>
      <c r="F14" s="10"/>
      <c r="G14" s="10"/>
      <c r="H14" s="10"/>
    </row>
  </sheetData>
  <mergeCells count="2">
    <mergeCell ref="D2:E2"/>
    <mergeCell ref="A1:I1"/>
  </mergeCells>
  <conditionalFormatting sqref="E3">
    <cfRule type="iconSet" priority="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813E411-CC6E-4D3A-B28E-257D0A23F91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E3:E12</xm:sqref>
        </x14:conditionalFormatting>
        <x14:conditionalFormatting xmlns:xm="http://schemas.microsoft.com/office/excel/2006/main">
          <x14:cfRule type="iconSet" priority="2" id="{FBB50CCA-8718-4C4B-9EA7-9F6A88946150}">
            <x14:iconSet iconSet="3Triangles">
              <x14:cfvo type="percent">
                <xm:f>0</xm:f>
              </x14:cfvo>
              <x14:cfvo type="num">
                <xm:f>-0.5</xm:f>
              </x14:cfvo>
              <x14:cfvo type="num">
                <xm:f>0.5</xm:f>
              </x14:cfvo>
            </x14:iconSet>
          </x14:cfRule>
          <xm:sqref>D3:D12</xm:sqref>
        </x14:conditionalFormatting>
        <x14:conditionalFormatting xmlns:xm="http://schemas.microsoft.com/office/excel/2006/main">
          <x14:cfRule type="iconSet" priority="1" id="{A9C0EED6-8E36-4EF1-B2F9-68D1D6542A4D}">
            <x14:iconSet iconSet="5Quarters" custom="1">
              <x14:cfvo type="percent">
                <xm:f>0</xm:f>
              </x14:cfvo>
              <x14:cfvo type="num">
                <xm:f>-1.5</xm:f>
              </x14:cfvo>
              <x14:cfvo type="num">
                <xm:f>-0.75</xm:f>
              </x14:cfvo>
              <x14:cfvo type="num">
                <xm:f>0.75</xm:f>
              </x14:cfvo>
              <x14:cfvo type="num">
                <xm:f>1.5</xm:f>
              </x14:cfvo>
              <x14:cfIcon iconSet="4RedToBlack" iconId="3"/>
              <x14:cfIcon iconSet="4RedToBlack" iconId="2"/>
              <x14:cfIcon iconSet="5Quarters" iconId="0"/>
              <x14:cfIcon iconSet="3Stars" iconId="1"/>
              <x14:cfIcon iconSet="3Stars" iconId="2"/>
            </x14:iconSet>
          </x14:cfRule>
          <xm:sqref>I3:I12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0"/>
  <sheetViews>
    <sheetView workbookViewId="0">
      <selection activeCell="C3" sqref="C3:L12"/>
    </sheetView>
  </sheetViews>
  <sheetFormatPr defaultRowHeight="15" x14ac:dyDescent="0.25"/>
  <cols>
    <col min="2" max="2" width="22.7109375" bestFit="1" customWidth="1"/>
    <col min="16" max="16" width="12" bestFit="1" customWidth="1"/>
    <col min="28" max="28" width="12" bestFit="1" customWidth="1"/>
  </cols>
  <sheetData>
    <row r="2" spans="2:15" x14ac:dyDescent="0.25">
      <c r="C2" t="s">
        <v>10</v>
      </c>
      <c r="D2" t="s">
        <v>17</v>
      </c>
      <c r="E2" t="s">
        <v>13</v>
      </c>
      <c r="F2" t="s">
        <v>16</v>
      </c>
      <c r="G2" t="s">
        <v>15</v>
      </c>
      <c r="H2" t="s">
        <v>18</v>
      </c>
      <c r="I2" t="s">
        <v>19</v>
      </c>
      <c r="J2" t="s">
        <v>12</v>
      </c>
      <c r="K2" t="s">
        <v>11</v>
      </c>
      <c r="L2" t="s">
        <v>14</v>
      </c>
    </row>
    <row r="3" spans="2:15" x14ac:dyDescent="0.25">
      <c r="B3" t="s">
        <v>10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</row>
    <row r="4" spans="2:15" x14ac:dyDescent="0.25">
      <c r="B4" t="s">
        <v>17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</row>
    <row r="5" spans="2:15" x14ac:dyDescent="0.25">
      <c r="B5" t="s">
        <v>13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2:15" x14ac:dyDescent="0.25">
      <c r="B6" t="s">
        <v>16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2:15" x14ac:dyDescent="0.25">
      <c r="B7" t="s">
        <v>15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2:15" x14ac:dyDescent="0.25">
      <c r="B8" t="s">
        <v>18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</row>
    <row r="9" spans="2:15" x14ac:dyDescent="0.25">
      <c r="B9" t="s">
        <v>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</row>
    <row r="10" spans="2:15" x14ac:dyDescent="0.25"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</row>
    <row r="11" spans="2:15" x14ac:dyDescent="0.25"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</row>
    <row r="12" spans="2:15" x14ac:dyDescent="0.25">
      <c r="B12" t="s">
        <v>14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4" spans="2:15" x14ac:dyDescent="0.25">
      <c r="C14" t="s">
        <v>10</v>
      </c>
      <c r="D14" t="s">
        <v>17</v>
      </c>
      <c r="E14" t="s">
        <v>13</v>
      </c>
      <c r="F14" t="s">
        <v>16</v>
      </c>
      <c r="G14" t="s">
        <v>15</v>
      </c>
      <c r="H14" t="s">
        <v>18</v>
      </c>
      <c r="I14" t="s">
        <v>19</v>
      </c>
      <c r="J14" t="s">
        <v>12</v>
      </c>
      <c r="K14" t="s">
        <v>11</v>
      </c>
      <c r="L14" t="s">
        <v>14</v>
      </c>
      <c r="O14">
        <f>MAX(C15:L24)</f>
        <v>16.235595261186234</v>
      </c>
    </row>
    <row r="15" spans="2:15" x14ac:dyDescent="0.25">
      <c r="B15" t="s">
        <v>10</v>
      </c>
      <c r="C15">
        <f>IF(C3=1,INDEX(Points2017!$C$14:$C$23,MATCH(probwin!C$2,Points2017!$B$14:$B$23,0))-INDEX(Points2017!$C$14:$C$23,MATCH(probwin!$B3,Points2017!$B$14:$B$23,0)),0)</f>
        <v>0</v>
      </c>
      <c r="D15">
        <f>IF(D3=1,INDEX(Points2017!$C$14:$C$23,MATCH(probwin!D$2,Points2017!$B$14:$B$23,0))-INDEX(Points2017!$C$14:$C$23,MATCH(probwin!$B3,Points2017!$B$14:$B$23,0)),0)</f>
        <v>0</v>
      </c>
      <c r="E15">
        <f>IF(E3=1,INDEX(Points2017!$C$14:$C$23,MATCH(probwin!E$2,Points2017!$B$14:$B$23,0))-INDEX(Points2017!$C$14:$C$23,MATCH(probwin!$B3,Points2017!$B$14:$B$23,0)),0)</f>
        <v>0</v>
      </c>
      <c r="F15">
        <f>IF(F3=1,INDEX(Points2017!$C$14:$C$23,MATCH(probwin!F$2,Points2017!$B$14:$B$23,0))-INDEX(Points2017!$C$14:$C$23,MATCH(probwin!$B3,Points2017!$B$14:$B$23,0)),0)</f>
        <v>0</v>
      </c>
      <c r="G15">
        <f>IF(G3=1,INDEX(Points2017!$C$14:$C$23,MATCH(probwin!G$2,Points2017!$B$14:$B$23,0))-INDEX(Points2017!$C$14:$C$23,MATCH(probwin!$B3,Points2017!$B$14:$B$23,0)),0)</f>
        <v>-8.9472012274571284</v>
      </c>
      <c r="H15">
        <f>IF(H3=1,INDEX(Points2017!$C$14:$C$23,MATCH(probwin!H$2,Points2017!$B$14:$B$23,0))-INDEX(Points2017!$C$14:$C$23,MATCH(probwin!$B3,Points2017!$B$14:$B$23,0)),0)</f>
        <v>0</v>
      </c>
      <c r="I15">
        <f>IF(I3=1,INDEX(Points2017!$C$14:$C$23,MATCH(probwin!I$2,Points2017!$B$14:$B$23,0))-INDEX(Points2017!$C$14:$C$23,MATCH(probwin!$B3,Points2017!$B$14:$B$23,0)),0)</f>
        <v>0</v>
      </c>
      <c r="J15">
        <f>IF(J3=1,INDEX(Points2017!$C$14:$C$23,MATCH(probwin!J$2,Points2017!$B$14:$B$23,0))-INDEX(Points2017!$C$14:$C$23,MATCH(probwin!$B3,Points2017!$B$14:$B$23,0)),0)</f>
        <v>0</v>
      </c>
      <c r="K15">
        <f>IF(K3=1,INDEX(Points2017!$C$14:$C$23,MATCH(probwin!K$2,Points2017!$B$14:$B$23,0))-INDEX(Points2017!$C$14:$C$23,MATCH(probwin!$B3,Points2017!$B$14:$B$23,0)),0)</f>
        <v>0</v>
      </c>
      <c r="L15">
        <f>IF(L3=1,INDEX(Points2017!$C$14:$C$23,MATCH(probwin!L$2,Points2017!$B$14:$B$23,0))-INDEX(Points2017!$C$14:$C$23,MATCH(probwin!$B3,Points2017!$B$14:$B$23,0)),0)</f>
        <v>0</v>
      </c>
      <c r="O15">
        <f>MIN(C15:L24)</f>
        <v>-16.235595261186234</v>
      </c>
    </row>
    <row r="16" spans="2:15" x14ac:dyDescent="0.25">
      <c r="B16" t="s">
        <v>17</v>
      </c>
      <c r="C16">
        <f>IF(C4=1,INDEX(Points2017!$C$14:$C$23,MATCH(probwin!C$2,Points2017!$B$14:$B$23,0))-INDEX(Points2017!$C$14:$C$23,MATCH(probwin!$B4,Points2017!$B$14:$B$23,0)),0)</f>
        <v>0</v>
      </c>
      <c r="D16">
        <f>IF(D4=1,INDEX(Points2017!$C$14:$C$23,MATCH(probwin!D$2,Points2017!$B$14:$B$23,0))-INDEX(Points2017!$C$14:$C$23,MATCH(probwin!$B4,Points2017!$B$14:$B$23,0)),0)</f>
        <v>0</v>
      </c>
      <c r="E16">
        <f>IF(E4=1,INDEX(Points2017!$C$14:$C$23,MATCH(probwin!E$2,Points2017!$B$14:$B$23,0))-INDEX(Points2017!$C$14:$C$23,MATCH(probwin!$B4,Points2017!$B$14:$B$23,0)),0)</f>
        <v>0</v>
      </c>
      <c r="F16">
        <f>IF(F4=1,INDEX(Points2017!$C$14:$C$23,MATCH(probwin!F$2,Points2017!$B$14:$B$23,0))-INDEX(Points2017!$C$14:$C$23,MATCH(probwin!$B4,Points2017!$B$14:$B$23,0)),0)</f>
        <v>0</v>
      </c>
      <c r="G16">
        <f>IF(G4=1,INDEX(Points2017!$C$14:$C$23,MATCH(probwin!G$2,Points2017!$B$14:$B$23,0))-INDEX(Points2017!$C$14:$C$23,MATCH(probwin!$B4,Points2017!$B$14:$B$23,0)),0)</f>
        <v>0</v>
      </c>
      <c r="H16">
        <f>IF(H4=1,INDEX(Points2017!$C$14:$C$23,MATCH(probwin!H$2,Points2017!$B$14:$B$23,0))-INDEX(Points2017!$C$14:$C$23,MATCH(probwin!$B4,Points2017!$B$14:$B$23,0)),0)</f>
        <v>0</v>
      </c>
      <c r="I16">
        <f>IF(I4=1,INDEX(Points2017!$C$14:$C$23,MATCH(probwin!I$2,Points2017!$B$14:$B$23,0))-INDEX(Points2017!$C$14:$C$23,MATCH(probwin!$B4,Points2017!$B$14:$B$23,0)),0)</f>
        <v>0</v>
      </c>
      <c r="J16">
        <f>IF(J4=1,INDEX(Points2017!$C$14:$C$23,MATCH(probwin!J$2,Points2017!$B$14:$B$23,0))-INDEX(Points2017!$C$14:$C$23,MATCH(probwin!$B4,Points2017!$B$14:$B$23,0)),0)</f>
        <v>0</v>
      </c>
      <c r="K16">
        <f>IF(K4=1,INDEX(Points2017!$C$14:$C$23,MATCH(probwin!K$2,Points2017!$B$14:$B$23,0))-INDEX(Points2017!$C$14:$C$23,MATCH(probwin!$B4,Points2017!$B$14:$B$23,0)),0)</f>
        <v>0</v>
      </c>
      <c r="L16">
        <f>IF(L4=1,INDEX(Points2017!$C$14:$C$23,MATCH(probwin!L$2,Points2017!$B$14:$B$23,0))-INDEX(Points2017!$C$14:$C$23,MATCH(probwin!$B4,Points2017!$B$14:$B$23,0)),0)</f>
        <v>-16.235595261186234</v>
      </c>
    </row>
    <row r="17" spans="2:29" x14ac:dyDescent="0.25">
      <c r="B17" t="s">
        <v>13</v>
      </c>
      <c r="C17">
        <f>IF(C5=1,INDEX(Points2017!$C$14:$C$23,MATCH(probwin!C$2,Points2017!$B$14:$B$23,0))-INDEX(Points2017!$C$14:$C$23,MATCH(probwin!$B5,Points2017!$B$14:$B$23,0)),0)</f>
        <v>0</v>
      </c>
      <c r="D17">
        <f>IF(D5=1,INDEX(Points2017!$C$14:$C$23,MATCH(probwin!D$2,Points2017!$B$14:$B$23,0))-INDEX(Points2017!$C$14:$C$23,MATCH(probwin!$B5,Points2017!$B$14:$B$23,0)),0)</f>
        <v>0</v>
      </c>
      <c r="E17">
        <f>IF(E5=1,INDEX(Points2017!$C$14:$C$23,MATCH(probwin!E$2,Points2017!$B$14:$B$23,0))-INDEX(Points2017!$C$14:$C$23,MATCH(probwin!$B5,Points2017!$B$14:$B$23,0)),0)</f>
        <v>0</v>
      </c>
      <c r="F17">
        <f>IF(F5=1,INDEX(Points2017!$C$14:$C$23,MATCH(probwin!F$2,Points2017!$B$14:$B$23,0))-INDEX(Points2017!$C$14:$C$23,MATCH(probwin!$B5,Points2017!$B$14:$B$23,0)),0)</f>
        <v>-6.8928093007691587</v>
      </c>
      <c r="G17">
        <f>IF(G5=1,INDEX(Points2017!$C$14:$C$23,MATCH(probwin!G$2,Points2017!$B$14:$B$23,0))-INDEX(Points2017!$C$14:$C$23,MATCH(probwin!$B5,Points2017!$B$14:$B$23,0)),0)</f>
        <v>0</v>
      </c>
      <c r="H17">
        <f>IF(H5=1,INDEX(Points2017!$C$14:$C$23,MATCH(probwin!H$2,Points2017!$B$14:$B$23,0))-INDEX(Points2017!$C$14:$C$23,MATCH(probwin!$B5,Points2017!$B$14:$B$23,0)),0)</f>
        <v>0</v>
      </c>
      <c r="I17">
        <f>IF(I5=1,INDEX(Points2017!$C$14:$C$23,MATCH(probwin!I$2,Points2017!$B$14:$B$23,0))-INDEX(Points2017!$C$14:$C$23,MATCH(probwin!$B5,Points2017!$B$14:$B$23,0)),0)</f>
        <v>0</v>
      </c>
      <c r="J17">
        <f>IF(J5=1,INDEX(Points2017!$C$14:$C$23,MATCH(probwin!J$2,Points2017!$B$14:$B$23,0))-INDEX(Points2017!$C$14:$C$23,MATCH(probwin!$B5,Points2017!$B$14:$B$23,0)),0)</f>
        <v>0</v>
      </c>
      <c r="K17">
        <f>IF(K5=1,INDEX(Points2017!$C$14:$C$23,MATCH(probwin!K$2,Points2017!$B$14:$B$23,0))-INDEX(Points2017!$C$14:$C$23,MATCH(probwin!$B5,Points2017!$B$14:$B$23,0)),0)</f>
        <v>0</v>
      </c>
      <c r="L17">
        <f>IF(L5=1,INDEX(Points2017!$C$14:$C$23,MATCH(probwin!L$2,Points2017!$B$14:$B$23,0))-INDEX(Points2017!$C$14:$C$23,MATCH(probwin!$B5,Points2017!$B$14:$B$23,0)),0)</f>
        <v>0</v>
      </c>
    </row>
    <row r="18" spans="2:29" x14ac:dyDescent="0.25">
      <c r="B18" t="s">
        <v>16</v>
      </c>
      <c r="C18">
        <f>IF(C6=1,INDEX(Points2017!$C$14:$C$23,MATCH(probwin!C$2,Points2017!$B$14:$B$23,0))-INDEX(Points2017!$C$14:$C$23,MATCH(probwin!$B6,Points2017!$B$14:$B$23,0)),0)</f>
        <v>0</v>
      </c>
      <c r="D18">
        <f>IF(D6=1,INDEX(Points2017!$C$14:$C$23,MATCH(probwin!D$2,Points2017!$B$14:$B$23,0))-INDEX(Points2017!$C$14:$C$23,MATCH(probwin!$B6,Points2017!$B$14:$B$23,0)),0)</f>
        <v>0</v>
      </c>
      <c r="E18">
        <f>IF(E6=1,INDEX(Points2017!$C$14:$C$23,MATCH(probwin!E$2,Points2017!$B$14:$B$23,0))-INDEX(Points2017!$C$14:$C$23,MATCH(probwin!$B6,Points2017!$B$14:$B$23,0)),0)</f>
        <v>6.8928093007691587</v>
      </c>
      <c r="F18">
        <f>IF(F6=1,INDEX(Points2017!$C$14:$C$23,MATCH(probwin!F$2,Points2017!$B$14:$B$23,0))-INDEX(Points2017!$C$14:$C$23,MATCH(probwin!$B6,Points2017!$B$14:$B$23,0)),0)</f>
        <v>0</v>
      </c>
      <c r="G18">
        <f>IF(G6=1,INDEX(Points2017!$C$14:$C$23,MATCH(probwin!G$2,Points2017!$B$14:$B$23,0))-INDEX(Points2017!$C$14:$C$23,MATCH(probwin!$B6,Points2017!$B$14:$B$23,0)),0)</f>
        <v>0</v>
      </c>
      <c r="H18">
        <f>IF(H6=1,INDEX(Points2017!$C$14:$C$23,MATCH(probwin!H$2,Points2017!$B$14:$B$23,0))-INDEX(Points2017!$C$14:$C$23,MATCH(probwin!$B6,Points2017!$B$14:$B$23,0)),0)</f>
        <v>0</v>
      </c>
      <c r="I18">
        <f>IF(I6=1,INDEX(Points2017!$C$14:$C$23,MATCH(probwin!I$2,Points2017!$B$14:$B$23,0))-INDEX(Points2017!$C$14:$C$23,MATCH(probwin!$B6,Points2017!$B$14:$B$23,0)),0)</f>
        <v>0</v>
      </c>
      <c r="J18">
        <f>IF(J6=1,INDEX(Points2017!$C$14:$C$23,MATCH(probwin!J$2,Points2017!$B$14:$B$23,0))-INDEX(Points2017!$C$14:$C$23,MATCH(probwin!$B6,Points2017!$B$14:$B$23,0)),0)</f>
        <v>0</v>
      </c>
      <c r="K18">
        <f>IF(K6=1,INDEX(Points2017!$C$14:$C$23,MATCH(probwin!K$2,Points2017!$B$14:$B$23,0))-INDEX(Points2017!$C$14:$C$23,MATCH(probwin!$B6,Points2017!$B$14:$B$23,0)),0)</f>
        <v>0</v>
      </c>
      <c r="L18">
        <f>IF(L6=1,INDEX(Points2017!$C$14:$C$23,MATCH(probwin!L$2,Points2017!$B$14:$B$23,0))-INDEX(Points2017!$C$14:$C$23,MATCH(probwin!$B6,Points2017!$B$14:$B$23,0)),0)</f>
        <v>0</v>
      </c>
    </row>
    <row r="19" spans="2:29" x14ac:dyDescent="0.25">
      <c r="B19" t="s">
        <v>15</v>
      </c>
      <c r="C19">
        <f>IF(C7=1,INDEX(Points2017!$C$14:$C$23,MATCH(probwin!C$2,Points2017!$B$14:$B$23,0))-INDEX(Points2017!$C$14:$C$23,MATCH(probwin!$B7,Points2017!$B$14:$B$23,0)),0)</f>
        <v>8.9472012274571284</v>
      </c>
      <c r="D19">
        <f>IF(D7=1,INDEX(Points2017!$C$14:$C$23,MATCH(probwin!D$2,Points2017!$B$14:$B$23,0))-INDEX(Points2017!$C$14:$C$23,MATCH(probwin!$B7,Points2017!$B$14:$B$23,0)),0)</f>
        <v>0</v>
      </c>
      <c r="E19">
        <f>IF(E7=1,INDEX(Points2017!$C$14:$C$23,MATCH(probwin!E$2,Points2017!$B$14:$B$23,0))-INDEX(Points2017!$C$14:$C$23,MATCH(probwin!$B7,Points2017!$B$14:$B$23,0)),0)</f>
        <v>0</v>
      </c>
      <c r="F19">
        <f>IF(F7=1,INDEX(Points2017!$C$14:$C$23,MATCH(probwin!F$2,Points2017!$B$14:$B$23,0))-INDEX(Points2017!$C$14:$C$23,MATCH(probwin!$B7,Points2017!$B$14:$B$23,0)),0)</f>
        <v>0</v>
      </c>
      <c r="G19">
        <f>IF(G7=1,INDEX(Points2017!$C$14:$C$23,MATCH(probwin!G$2,Points2017!$B$14:$B$23,0))-INDEX(Points2017!$C$14:$C$23,MATCH(probwin!$B7,Points2017!$B$14:$B$23,0)),0)</f>
        <v>0</v>
      </c>
      <c r="H19">
        <f>IF(H7=1,INDEX(Points2017!$C$14:$C$23,MATCH(probwin!H$2,Points2017!$B$14:$B$23,0))-INDEX(Points2017!$C$14:$C$23,MATCH(probwin!$B7,Points2017!$B$14:$B$23,0)),0)</f>
        <v>0</v>
      </c>
      <c r="I19">
        <f>IF(I7=1,INDEX(Points2017!$C$14:$C$23,MATCH(probwin!I$2,Points2017!$B$14:$B$23,0))-INDEX(Points2017!$C$14:$C$23,MATCH(probwin!$B7,Points2017!$B$14:$B$23,0)),0)</f>
        <v>0</v>
      </c>
      <c r="J19">
        <f>IF(J7=1,INDEX(Points2017!$C$14:$C$23,MATCH(probwin!J$2,Points2017!$B$14:$B$23,0))-INDEX(Points2017!$C$14:$C$23,MATCH(probwin!$B7,Points2017!$B$14:$B$23,0)),0)</f>
        <v>0</v>
      </c>
      <c r="K19">
        <f>IF(K7=1,INDEX(Points2017!$C$14:$C$23,MATCH(probwin!K$2,Points2017!$B$14:$B$23,0))-INDEX(Points2017!$C$14:$C$23,MATCH(probwin!$B7,Points2017!$B$14:$B$23,0)),0)</f>
        <v>0</v>
      </c>
      <c r="L19">
        <f>IF(L7=1,INDEX(Points2017!$C$14:$C$23,MATCH(probwin!L$2,Points2017!$B$14:$B$23,0))-INDEX(Points2017!$C$14:$C$23,MATCH(probwin!$B7,Points2017!$B$14:$B$23,0)),0)</f>
        <v>0</v>
      </c>
    </row>
    <row r="20" spans="2:29" x14ac:dyDescent="0.25">
      <c r="B20" t="s">
        <v>18</v>
      </c>
      <c r="C20">
        <f>IF(C8=1,INDEX(Points2017!$C$14:$C$23,MATCH(probwin!C$2,Points2017!$B$14:$B$23,0))-INDEX(Points2017!$C$14:$C$23,MATCH(probwin!$B8,Points2017!$B$14:$B$23,0)),0)</f>
        <v>0</v>
      </c>
      <c r="D20">
        <f>IF(D8=1,INDEX(Points2017!$C$14:$C$23,MATCH(probwin!D$2,Points2017!$B$14:$B$23,0))-INDEX(Points2017!$C$14:$C$23,MATCH(probwin!$B8,Points2017!$B$14:$B$23,0)),0)</f>
        <v>0</v>
      </c>
      <c r="E20">
        <f>IF(E8=1,INDEX(Points2017!$C$14:$C$23,MATCH(probwin!E$2,Points2017!$B$14:$B$23,0))-INDEX(Points2017!$C$14:$C$23,MATCH(probwin!$B8,Points2017!$B$14:$B$23,0)),0)</f>
        <v>0</v>
      </c>
      <c r="F20">
        <f>IF(F8=1,INDEX(Points2017!$C$14:$C$23,MATCH(probwin!F$2,Points2017!$B$14:$B$23,0))-INDEX(Points2017!$C$14:$C$23,MATCH(probwin!$B8,Points2017!$B$14:$B$23,0)),0)</f>
        <v>0</v>
      </c>
      <c r="G20">
        <f>IF(G8=1,INDEX(Points2017!$C$14:$C$23,MATCH(probwin!G$2,Points2017!$B$14:$B$23,0))-INDEX(Points2017!$C$14:$C$23,MATCH(probwin!$B8,Points2017!$B$14:$B$23,0)),0)</f>
        <v>0</v>
      </c>
      <c r="H20">
        <f>IF(H8=1,INDEX(Points2017!$C$14:$C$23,MATCH(probwin!H$2,Points2017!$B$14:$B$23,0))-INDEX(Points2017!$C$14:$C$23,MATCH(probwin!$B8,Points2017!$B$14:$B$23,0)),0)</f>
        <v>0</v>
      </c>
      <c r="I20">
        <f>IF(I8=1,INDEX(Points2017!$C$14:$C$23,MATCH(probwin!I$2,Points2017!$B$14:$B$23,0))-INDEX(Points2017!$C$14:$C$23,MATCH(probwin!$B8,Points2017!$B$14:$B$23,0)),0)</f>
        <v>0</v>
      </c>
      <c r="J20">
        <f>IF(J8=1,INDEX(Points2017!$C$14:$C$23,MATCH(probwin!J$2,Points2017!$B$14:$B$23,0))-INDEX(Points2017!$C$14:$C$23,MATCH(probwin!$B8,Points2017!$B$14:$B$23,0)),0)</f>
        <v>-13.527022896691022</v>
      </c>
      <c r="K20">
        <f>IF(K8=1,INDEX(Points2017!$C$14:$C$23,MATCH(probwin!K$2,Points2017!$B$14:$B$23,0))-INDEX(Points2017!$C$14:$C$23,MATCH(probwin!$B8,Points2017!$B$14:$B$23,0)),0)</f>
        <v>0</v>
      </c>
      <c r="L20">
        <f>IF(L8=1,INDEX(Points2017!$C$14:$C$23,MATCH(probwin!L$2,Points2017!$B$14:$B$23,0))-INDEX(Points2017!$C$14:$C$23,MATCH(probwin!$B8,Points2017!$B$14:$B$23,0)),0)</f>
        <v>0</v>
      </c>
    </row>
    <row r="21" spans="2:29" x14ac:dyDescent="0.25">
      <c r="B21" t="s">
        <v>19</v>
      </c>
      <c r="C21">
        <f>IF(C9=1,INDEX(Points2017!$C$14:$C$23,MATCH(probwin!C$2,Points2017!$B$14:$B$23,0))-INDEX(Points2017!$C$14:$C$23,MATCH(probwin!$B9,Points2017!$B$14:$B$23,0)),0)</f>
        <v>0</v>
      </c>
      <c r="D21">
        <f>IF(D9=1,INDEX(Points2017!$C$14:$C$23,MATCH(probwin!D$2,Points2017!$B$14:$B$23,0))-INDEX(Points2017!$C$14:$C$23,MATCH(probwin!$B9,Points2017!$B$14:$B$23,0)),0)</f>
        <v>0</v>
      </c>
      <c r="E21">
        <f>IF(E9=1,INDEX(Points2017!$C$14:$C$23,MATCH(probwin!E$2,Points2017!$B$14:$B$23,0))-INDEX(Points2017!$C$14:$C$23,MATCH(probwin!$B9,Points2017!$B$14:$B$23,0)),0)</f>
        <v>0</v>
      </c>
      <c r="F21">
        <f>IF(F9=1,INDEX(Points2017!$C$14:$C$23,MATCH(probwin!F$2,Points2017!$B$14:$B$23,0))-INDEX(Points2017!$C$14:$C$23,MATCH(probwin!$B9,Points2017!$B$14:$B$23,0)),0)</f>
        <v>0</v>
      </c>
      <c r="G21">
        <f>IF(G9=1,INDEX(Points2017!$C$14:$C$23,MATCH(probwin!G$2,Points2017!$B$14:$B$23,0))-INDEX(Points2017!$C$14:$C$23,MATCH(probwin!$B9,Points2017!$B$14:$B$23,0)),0)</f>
        <v>0</v>
      </c>
      <c r="H21">
        <f>IF(H9=1,INDEX(Points2017!$C$14:$C$23,MATCH(probwin!H$2,Points2017!$B$14:$B$23,0))-INDEX(Points2017!$C$14:$C$23,MATCH(probwin!$B9,Points2017!$B$14:$B$23,0)),0)</f>
        <v>0</v>
      </c>
      <c r="I21">
        <f>IF(I9=1,INDEX(Points2017!$C$14:$C$23,MATCH(probwin!I$2,Points2017!$B$14:$B$23,0))-INDEX(Points2017!$C$14:$C$23,MATCH(probwin!$B9,Points2017!$B$14:$B$23,0)),0)</f>
        <v>0</v>
      </c>
      <c r="J21">
        <f>IF(J9=1,INDEX(Points2017!$C$14:$C$23,MATCH(probwin!J$2,Points2017!$B$14:$B$23,0))-INDEX(Points2017!$C$14:$C$23,MATCH(probwin!$B9,Points2017!$B$14:$B$23,0)),0)</f>
        <v>0</v>
      </c>
      <c r="K21">
        <f>IF(K9=1,INDEX(Points2017!$C$14:$C$23,MATCH(probwin!K$2,Points2017!$B$14:$B$23,0))-INDEX(Points2017!$C$14:$C$23,MATCH(probwin!$B9,Points2017!$B$14:$B$23,0)),0)</f>
        <v>13.797487914797188</v>
      </c>
      <c r="L21">
        <f>IF(L9=1,INDEX(Points2017!$C$14:$C$23,MATCH(probwin!L$2,Points2017!$B$14:$B$23,0))-INDEX(Points2017!$C$14:$C$23,MATCH(probwin!$B9,Points2017!$B$14:$B$23,0)),0)</f>
        <v>0</v>
      </c>
    </row>
    <row r="22" spans="2:29" x14ac:dyDescent="0.25">
      <c r="B22" t="s">
        <v>12</v>
      </c>
      <c r="C22">
        <f>IF(C10=1,INDEX(Points2017!$C$14:$C$23,MATCH(probwin!C$2,Points2017!$B$14:$B$23,0))-INDEX(Points2017!$C$14:$C$23,MATCH(probwin!$B10,Points2017!$B$14:$B$23,0)),0)</f>
        <v>0</v>
      </c>
      <c r="D22">
        <f>IF(D10=1,INDEX(Points2017!$C$14:$C$23,MATCH(probwin!D$2,Points2017!$B$14:$B$23,0))-INDEX(Points2017!$C$14:$C$23,MATCH(probwin!$B10,Points2017!$B$14:$B$23,0)),0)</f>
        <v>0</v>
      </c>
      <c r="E22">
        <f>IF(E10=1,INDEX(Points2017!$C$14:$C$23,MATCH(probwin!E$2,Points2017!$B$14:$B$23,0))-INDEX(Points2017!$C$14:$C$23,MATCH(probwin!$B10,Points2017!$B$14:$B$23,0)),0)</f>
        <v>0</v>
      </c>
      <c r="F22">
        <f>IF(F10=1,INDEX(Points2017!$C$14:$C$23,MATCH(probwin!F$2,Points2017!$B$14:$B$23,0))-INDEX(Points2017!$C$14:$C$23,MATCH(probwin!$B10,Points2017!$B$14:$B$23,0)),0)</f>
        <v>0</v>
      </c>
      <c r="G22">
        <f>IF(G10=1,INDEX(Points2017!$C$14:$C$23,MATCH(probwin!G$2,Points2017!$B$14:$B$23,0))-INDEX(Points2017!$C$14:$C$23,MATCH(probwin!$B10,Points2017!$B$14:$B$23,0)),0)</f>
        <v>0</v>
      </c>
      <c r="H22">
        <f>IF(H10=1,INDEX(Points2017!$C$14:$C$23,MATCH(probwin!H$2,Points2017!$B$14:$B$23,0))-INDEX(Points2017!$C$14:$C$23,MATCH(probwin!$B10,Points2017!$B$14:$B$23,0)),0)</f>
        <v>13.527022896691022</v>
      </c>
      <c r="I22">
        <f>IF(I10=1,INDEX(Points2017!$C$14:$C$23,MATCH(probwin!I$2,Points2017!$B$14:$B$23,0))-INDEX(Points2017!$C$14:$C$23,MATCH(probwin!$B10,Points2017!$B$14:$B$23,0)),0)</f>
        <v>0</v>
      </c>
      <c r="J22">
        <f>IF(J10=1,INDEX(Points2017!$C$14:$C$23,MATCH(probwin!J$2,Points2017!$B$14:$B$23,0))-INDEX(Points2017!$C$14:$C$23,MATCH(probwin!$B10,Points2017!$B$14:$B$23,0)),0)</f>
        <v>0</v>
      </c>
      <c r="K22">
        <f>IF(K10=1,INDEX(Points2017!$C$14:$C$23,MATCH(probwin!K$2,Points2017!$B$14:$B$23,0))-INDEX(Points2017!$C$14:$C$23,MATCH(probwin!$B10,Points2017!$B$14:$B$23,0)),0)</f>
        <v>0</v>
      </c>
      <c r="L22">
        <f>IF(L10=1,INDEX(Points2017!$C$14:$C$23,MATCH(probwin!L$2,Points2017!$B$14:$B$23,0))-INDEX(Points2017!$C$14:$C$23,MATCH(probwin!$B10,Points2017!$B$14:$B$23,0)),0)</f>
        <v>0</v>
      </c>
    </row>
    <row r="23" spans="2:29" x14ac:dyDescent="0.25">
      <c r="B23" t="s">
        <v>11</v>
      </c>
      <c r="C23">
        <f>IF(C11=1,INDEX(Points2017!$C$14:$C$23,MATCH(probwin!C$2,Points2017!$B$14:$B$23,0))-INDEX(Points2017!$C$14:$C$23,MATCH(probwin!$B11,Points2017!$B$14:$B$23,0)),0)</f>
        <v>0</v>
      </c>
      <c r="D23">
        <f>IF(D11=1,INDEX(Points2017!$C$14:$C$23,MATCH(probwin!D$2,Points2017!$B$14:$B$23,0))-INDEX(Points2017!$C$14:$C$23,MATCH(probwin!$B11,Points2017!$B$14:$B$23,0)),0)</f>
        <v>0</v>
      </c>
      <c r="E23">
        <f>IF(E11=1,INDEX(Points2017!$C$14:$C$23,MATCH(probwin!E$2,Points2017!$B$14:$B$23,0))-INDEX(Points2017!$C$14:$C$23,MATCH(probwin!$B11,Points2017!$B$14:$B$23,0)),0)</f>
        <v>0</v>
      </c>
      <c r="F23">
        <f>IF(F11=1,INDEX(Points2017!$C$14:$C$23,MATCH(probwin!F$2,Points2017!$B$14:$B$23,0))-INDEX(Points2017!$C$14:$C$23,MATCH(probwin!$B11,Points2017!$B$14:$B$23,0)),0)</f>
        <v>0</v>
      </c>
      <c r="G23">
        <f>IF(G11=1,INDEX(Points2017!$C$14:$C$23,MATCH(probwin!G$2,Points2017!$B$14:$B$23,0))-INDEX(Points2017!$C$14:$C$23,MATCH(probwin!$B11,Points2017!$B$14:$B$23,0)),0)</f>
        <v>0</v>
      </c>
      <c r="H23">
        <f>IF(H11=1,INDEX(Points2017!$C$14:$C$23,MATCH(probwin!H$2,Points2017!$B$14:$B$23,0))-INDEX(Points2017!$C$14:$C$23,MATCH(probwin!$B11,Points2017!$B$14:$B$23,0)),0)</f>
        <v>0</v>
      </c>
      <c r="I23">
        <f>IF(I11=1,INDEX(Points2017!$C$14:$C$23,MATCH(probwin!I$2,Points2017!$B$14:$B$23,0))-INDEX(Points2017!$C$14:$C$23,MATCH(probwin!$B11,Points2017!$B$14:$B$23,0)),0)</f>
        <v>-13.797487914797188</v>
      </c>
      <c r="J23">
        <f>IF(J11=1,INDEX(Points2017!$C$14:$C$23,MATCH(probwin!J$2,Points2017!$B$14:$B$23,0))-INDEX(Points2017!$C$14:$C$23,MATCH(probwin!$B11,Points2017!$B$14:$B$23,0)),0)</f>
        <v>0</v>
      </c>
      <c r="K23">
        <f>IF(K11=1,INDEX(Points2017!$C$14:$C$23,MATCH(probwin!K$2,Points2017!$B$14:$B$23,0))-INDEX(Points2017!$C$14:$C$23,MATCH(probwin!$B11,Points2017!$B$14:$B$23,0)),0)</f>
        <v>0</v>
      </c>
      <c r="L23">
        <f>IF(L11=1,INDEX(Points2017!$C$14:$C$23,MATCH(probwin!L$2,Points2017!$B$14:$B$23,0))-INDEX(Points2017!$C$14:$C$23,MATCH(probwin!$B11,Points2017!$B$14:$B$23,0)),0)</f>
        <v>0</v>
      </c>
    </row>
    <row r="24" spans="2:29" x14ac:dyDescent="0.25">
      <c r="B24" t="s">
        <v>14</v>
      </c>
      <c r="C24">
        <f>IF(C12=1,INDEX(Points2017!$C$14:$C$23,MATCH(probwin!C$2,Points2017!$B$14:$B$23,0))-INDEX(Points2017!$C$14:$C$23,MATCH(probwin!$B12,Points2017!$B$14:$B$23,0)),0)</f>
        <v>0</v>
      </c>
      <c r="D24">
        <f>IF(D12=1,INDEX(Points2017!$C$14:$C$23,MATCH(probwin!D$2,Points2017!$B$14:$B$23,0))-INDEX(Points2017!$C$14:$C$23,MATCH(probwin!$B12,Points2017!$B$14:$B$23,0)),0)</f>
        <v>16.235595261186234</v>
      </c>
      <c r="E24">
        <f>IF(E12=1,INDEX(Points2017!$C$14:$C$23,MATCH(probwin!E$2,Points2017!$B$14:$B$23,0))-INDEX(Points2017!$C$14:$C$23,MATCH(probwin!$B12,Points2017!$B$14:$B$23,0)),0)</f>
        <v>0</v>
      </c>
      <c r="F24">
        <f>IF(F12=1,INDEX(Points2017!$C$14:$C$23,MATCH(probwin!F$2,Points2017!$B$14:$B$23,0))-INDEX(Points2017!$C$14:$C$23,MATCH(probwin!$B12,Points2017!$B$14:$B$23,0)),0)</f>
        <v>0</v>
      </c>
      <c r="G24">
        <f>IF(G12=1,INDEX(Points2017!$C$14:$C$23,MATCH(probwin!G$2,Points2017!$B$14:$B$23,0))-INDEX(Points2017!$C$14:$C$23,MATCH(probwin!$B12,Points2017!$B$14:$B$23,0)),0)</f>
        <v>0</v>
      </c>
      <c r="H24">
        <f>IF(H12=1,INDEX(Points2017!$C$14:$C$23,MATCH(probwin!H$2,Points2017!$B$14:$B$23,0))-INDEX(Points2017!$C$14:$C$23,MATCH(probwin!$B12,Points2017!$B$14:$B$23,0)),0)</f>
        <v>0</v>
      </c>
      <c r="I24">
        <f>IF(I12=1,INDEX(Points2017!$C$14:$C$23,MATCH(probwin!I$2,Points2017!$B$14:$B$23,0))-INDEX(Points2017!$C$14:$C$23,MATCH(probwin!$B12,Points2017!$B$14:$B$23,0)),0)</f>
        <v>0</v>
      </c>
      <c r="J24">
        <f>IF(J12=1,INDEX(Points2017!$C$14:$C$23,MATCH(probwin!J$2,Points2017!$B$14:$B$23,0))-INDEX(Points2017!$C$14:$C$23,MATCH(probwin!$B12,Points2017!$B$14:$B$23,0)),0)</f>
        <v>0</v>
      </c>
      <c r="K24">
        <f>IF(K12=1,INDEX(Points2017!$C$14:$C$23,MATCH(probwin!K$2,Points2017!$B$14:$B$23,0))-INDEX(Points2017!$C$14:$C$23,MATCH(probwin!$B12,Points2017!$B$14:$B$23,0)),0)</f>
        <v>0</v>
      </c>
      <c r="L24">
        <f>IF(L12=1,INDEX(Points2017!$C$14:$C$23,MATCH(probwin!L$2,Points2017!$B$14:$B$23,0))-INDEX(Points2017!$C$14:$C$23,MATCH(probwin!$B12,Points2017!$B$14:$B$23,0)),0)</f>
        <v>0</v>
      </c>
    </row>
    <row r="26" spans="2:29" x14ac:dyDescent="0.25">
      <c r="C26" t="s">
        <v>10</v>
      </c>
      <c r="D26" t="s">
        <v>17</v>
      </c>
      <c r="E26" t="s">
        <v>13</v>
      </c>
      <c r="F26" t="s">
        <v>16</v>
      </c>
      <c r="G26" t="s">
        <v>15</v>
      </c>
      <c r="H26" t="s">
        <v>18</v>
      </c>
      <c r="I26" t="s">
        <v>19</v>
      </c>
      <c r="J26" t="s">
        <v>12</v>
      </c>
      <c r="K26" t="s">
        <v>11</v>
      </c>
      <c r="L26" t="s">
        <v>14</v>
      </c>
      <c r="P26" t="s">
        <v>10</v>
      </c>
      <c r="Q26" t="s">
        <v>17</v>
      </c>
      <c r="R26" t="s">
        <v>13</v>
      </c>
      <c r="S26" t="s">
        <v>16</v>
      </c>
      <c r="T26" t="s">
        <v>15</v>
      </c>
      <c r="U26" t="s">
        <v>18</v>
      </c>
      <c r="V26" t="s">
        <v>19</v>
      </c>
      <c r="W26" t="s">
        <v>12</v>
      </c>
      <c r="X26" t="s">
        <v>11</v>
      </c>
      <c r="Y26" t="s">
        <v>14</v>
      </c>
    </row>
    <row r="27" spans="2:29" x14ac:dyDescent="0.25">
      <c r="B27" t="s">
        <v>10</v>
      </c>
      <c r="C27">
        <f>IF(C15=0,0,0.5+(C15/$O$14)/7)</f>
        <v>0</v>
      </c>
      <c r="D27">
        <f t="shared" ref="D27:L27" si="0">IF(D15=0,0,0.5+(D15/$O$14)/5)</f>
        <v>0</v>
      </c>
      <c r="E27">
        <f t="shared" si="0"/>
        <v>0</v>
      </c>
      <c r="F27">
        <f t="shared" si="0"/>
        <v>0</v>
      </c>
      <c r="G27">
        <f t="shared" si="0"/>
        <v>0.38978289882790029</v>
      </c>
      <c r="H27">
        <f t="shared" si="0"/>
        <v>0</v>
      </c>
      <c r="I27">
        <f t="shared" si="0"/>
        <v>0</v>
      </c>
      <c r="J27">
        <f t="shared" si="0"/>
        <v>0</v>
      </c>
      <c r="K27">
        <f t="shared" si="0"/>
        <v>0</v>
      </c>
      <c r="L27">
        <f t="shared" si="0"/>
        <v>0</v>
      </c>
      <c r="O27" t="s">
        <v>10</v>
      </c>
      <c r="P27">
        <f>(C27*(1-C27))^2</f>
        <v>0</v>
      </c>
      <c r="Q27">
        <f t="shared" ref="Q27:Y36" si="1">(D27*(1-D27))^2</f>
        <v>0</v>
      </c>
      <c r="R27">
        <f t="shared" si="1"/>
        <v>0</v>
      </c>
      <c r="S27">
        <f t="shared" si="1"/>
        <v>0</v>
      </c>
      <c r="T27">
        <f t="shared" si="1"/>
        <v>5.6573664577604314E-2</v>
      </c>
      <c r="U27">
        <f t="shared" si="1"/>
        <v>0</v>
      </c>
      <c r="V27">
        <f t="shared" si="1"/>
        <v>0</v>
      </c>
      <c r="W27">
        <f t="shared" si="1"/>
        <v>0</v>
      </c>
      <c r="X27">
        <f t="shared" si="1"/>
        <v>0</v>
      </c>
      <c r="Y27">
        <f t="shared" si="1"/>
        <v>0</v>
      </c>
      <c r="AA27">
        <f>SQRT(SUM(P27:Y27))</f>
        <v>0.23785219060921914</v>
      </c>
      <c r="AB27">
        <f>1-_xlfn.NORM.DIST(LARGE($C$39:$L$39,4),C$39,AA27,TRUE)*(3.8/4)</f>
        <v>1</v>
      </c>
      <c r="AC27">
        <f>AB27*(4/3.55)</f>
        <v>1.1267605633802817</v>
      </c>
    </row>
    <row r="28" spans="2:29" x14ac:dyDescent="0.25">
      <c r="B28" t="s">
        <v>17</v>
      </c>
      <c r="C28">
        <f t="shared" ref="C28:C36" si="2">IF(C16=0,0,0.5+(C16/$O$14)/7)</f>
        <v>0</v>
      </c>
      <c r="D28">
        <f t="shared" ref="D28:L36" si="3">IF(D16=0,0,0.5+(D16/$O$14)/5)</f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0.3</v>
      </c>
      <c r="O28" t="s">
        <v>17</v>
      </c>
      <c r="P28">
        <f t="shared" ref="P28:P36" si="4">(C28*(1-C28))^2</f>
        <v>0</v>
      </c>
      <c r="Q28">
        <f t="shared" si="1"/>
        <v>0</v>
      </c>
      <c r="R28">
        <f t="shared" si="1"/>
        <v>0</v>
      </c>
      <c r="S28">
        <f t="shared" si="1"/>
        <v>0</v>
      </c>
      <c r="T28">
        <f t="shared" si="1"/>
        <v>0</v>
      </c>
      <c r="U28">
        <f t="shared" si="1"/>
        <v>0</v>
      </c>
      <c r="V28">
        <f t="shared" si="1"/>
        <v>0</v>
      </c>
      <c r="W28">
        <f t="shared" si="1"/>
        <v>0</v>
      </c>
      <c r="X28">
        <f t="shared" si="1"/>
        <v>0</v>
      </c>
      <c r="Y28">
        <f t="shared" si="1"/>
        <v>4.4099999999999993E-2</v>
      </c>
      <c r="AA28">
        <f t="shared" ref="AA28:AA36" si="5">SQRT(SUM(P28:Y28))</f>
        <v>0.21</v>
      </c>
      <c r="AB28">
        <f>1-_xlfn.NORM.DIST(LARGE($C$39:$L$39,4),D$39,AA28,TRUE)</f>
        <v>2.1373669800862638E-3</v>
      </c>
      <c r="AC28">
        <f t="shared" ref="AC28:AC36" si="6">AB28*(4/3.55)</f>
        <v>2.40830082263241E-3</v>
      </c>
    </row>
    <row r="29" spans="2:29" x14ac:dyDescent="0.25">
      <c r="B29" t="s">
        <v>13</v>
      </c>
      <c r="C29">
        <f t="shared" si="2"/>
        <v>0</v>
      </c>
      <c r="D29">
        <f t="shared" si="3"/>
        <v>0</v>
      </c>
      <c r="E29">
        <f t="shared" si="3"/>
        <v>0</v>
      </c>
      <c r="F29">
        <f t="shared" si="3"/>
        <v>0.41509015604438582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0</v>
      </c>
      <c r="O29" t="s">
        <v>13</v>
      </c>
      <c r="P29">
        <f t="shared" si="4"/>
        <v>0</v>
      </c>
      <c r="Q29">
        <f t="shared" si="1"/>
        <v>0</v>
      </c>
      <c r="R29">
        <f t="shared" si="1"/>
        <v>0</v>
      </c>
      <c r="S29">
        <f t="shared" si="1"/>
        <v>5.8947138708498173E-2</v>
      </c>
      <c r="T29">
        <f t="shared" si="1"/>
        <v>0</v>
      </c>
      <c r="U29">
        <f t="shared" si="1"/>
        <v>0</v>
      </c>
      <c r="V29">
        <f t="shared" si="1"/>
        <v>0</v>
      </c>
      <c r="W29">
        <f t="shared" si="1"/>
        <v>0</v>
      </c>
      <c r="X29">
        <f t="shared" si="1"/>
        <v>0</v>
      </c>
      <c r="Y29">
        <f t="shared" si="1"/>
        <v>0</v>
      </c>
      <c r="AA29">
        <f t="shared" si="5"/>
        <v>0.24279031839943324</v>
      </c>
      <c r="AB29">
        <f>1-_xlfn.NORM.DIST(LARGE($C$39:$L$39,4),E$39,AA29,TRUE)</f>
        <v>1.6132119322346261E-3</v>
      </c>
      <c r="AC29">
        <f t="shared" si="6"/>
        <v>1.8177035856164802E-3</v>
      </c>
    </row>
    <row r="30" spans="2:29" x14ac:dyDescent="0.25">
      <c r="B30" t="s">
        <v>16</v>
      </c>
      <c r="C30">
        <f t="shared" si="2"/>
        <v>0</v>
      </c>
      <c r="D30">
        <f t="shared" si="3"/>
        <v>0</v>
      </c>
      <c r="E30">
        <f t="shared" si="3"/>
        <v>0.58490984395561418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O30" t="s">
        <v>16</v>
      </c>
      <c r="P30">
        <f t="shared" si="4"/>
        <v>0</v>
      </c>
      <c r="Q30">
        <f t="shared" si="1"/>
        <v>0</v>
      </c>
      <c r="R30">
        <f t="shared" si="1"/>
        <v>5.8947138708498173E-2</v>
      </c>
      <c r="S30">
        <f t="shared" si="1"/>
        <v>0</v>
      </c>
      <c r="T30">
        <f t="shared" si="1"/>
        <v>0</v>
      </c>
      <c r="U30">
        <f t="shared" si="1"/>
        <v>0</v>
      </c>
      <c r="V30">
        <f t="shared" si="1"/>
        <v>0</v>
      </c>
      <c r="W30">
        <f t="shared" si="1"/>
        <v>0</v>
      </c>
      <c r="X30">
        <f t="shared" si="1"/>
        <v>0</v>
      </c>
      <c r="Y30">
        <f t="shared" si="1"/>
        <v>0</v>
      </c>
      <c r="AA30">
        <f t="shared" si="5"/>
        <v>0.24279031839943324</v>
      </c>
      <c r="AB30">
        <f>1-_xlfn.NORM.DIST(LARGE($C$39:$L$39,4),F$39,AA30,TRUE)</f>
        <v>1.3382628729130541E-4</v>
      </c>
      <c r="AC30">
        <f t="shared" si="6"/>
        <v>1.5079018286344272E-4</v>
      </c>
    </row>
    <row r="31" spans="2:29" x14ac:dyDescent="0.25">
      <c r="B31" t="s">
        <v>15</v>
      </c>
      <c r="C31">
        <f t="shared" si="2"/>
        <v>0.57872650083721411</v>
      </c>
      <c r="D31">
        <f t="shared" si="3"/>
        <v>0</v>
      </c>
      <c r="E31">
        <f t="shared" si="3"/>
        <v>0</v>
      </c>
      <c r="F31">
        <f t="shared" si="3"/>
        <v>0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O31" t="s">
        <v>15</v>
      </c>
      <c r="P31">
        <f t="shared" si="4"/>
        <v>5.9439482525517881E-2</v>
      </c>
      <c r="Q31">
        <f t="shared" si="1"/>
        <v>0</v>
      </c>
      <c r="R31">
        <f t="shared" si="1"/>
        <v>0</v>
      </c>
      <c r="S31">
        <f t="shared" si="1"/>
        <v>0</v>
      </c>
      <c r="T31">
        <f t="shared" si="1"/>
        <v>0</v>
      </c>
      <c r="U31">
        <f t="shared" si="1"/>
        <v>0</v>
      </c>
      <c r="V31">
        <f t="shared" si="1"/>
        <v>0</v>
      </c>
      <c r="W31">
        <f t="shared" si="1"/>
        <v>0</v>
      </c>
      <c r="X31">
        <f t="shared" si="1"/>
        <v>0</v>
      </c>
      <c r="Y31">
        <f t="shared" si="1"/>
        <v>0</v>
      </c>
      <c r="AA31">
        <f t="shared" si="5"/>
        <v>0.24380213806592813</v>
      </c>
      <c r="AB31">
        <f>1-_xlfn.NORM.DIST(LARGE($C$39:$L$39,4),G$39,AA31,TRUE)</f>
        <v>0.99999608807062446</v>
      </c>
      <c r="AC31">
        <f t="shared" si="6"/>
        <v>1.1267561555725347</v>
      </c>
    </row>
    <row r="32" spans="2:29" x14ac:dyDescent="0.25">
      <c r="B32" t="s">
        <v>18</v>
      </c>
      <c r="C32">
        <f t="shared" si="2"/>
        <v>0</v>
      </c>
      <c r="D32">
        <f t="shared" si="3"/>
        <v>0</v>
      </c>
      <c r="E32">
        <f t="shared" si="3"/>
        <v>0</v>
      </c>
      <c r="F32">
        <f t="shared" si="3"/>
        <v>0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3"/>
        <v>0.33336585226376619</v>
      </c>
      <c r="K32">
        <f t="shared" si="3"/>
        <v>0</v>
      </c>
      <c r="L32">
        <f t="shared" si="3"/>
        <v>0</v>
      </c>
      <c r="O32" t="s">
        <v>18</v>
      </c>
      <c r="P32">
        <f t="shared" si="4"/>
        <v>0</v>
      </c>
      <c r="Q32">
        <f t="shared" si="1"/>
        <v>0</v>
      </c>
      <c r="R32">
        <f t="shared" si="1"/>
        <v>0</v>
      </c>
      <c r="S32">
        <f t="shared" si="1"/>
        <v>0</v>
      </c>
      <c r="T32">
        <f t="shared" si="1"/>
        <v>0</v>
      </c>
      <c r="U32">
        <f t="shared" si="1"/>
        <v>0</v>
      </c>
      <c r="V32">
        <f t="shared" si="1"/>
        <v>0</v>
      </c>
      <c r="W32">
        <f t="shared" si="1"/>
        <v>4.9387533316189579E-2</v>
      </c>
      <c r="X32">
        <f t="shared" si="1"/>
        <v>0</v>
      </c>
      <c r="Y32">
        <f t="shared" si="1"/>
        <v>0</v>
      </c>
      <c r="AA32">
        <f t="shared" si="5"/>
        <v>0.22223306080821903</v>
      </c>
      <c r="AB32">
        <f>1-_xlfn.NORM.DIST(LARGE($C$39:$L$39,4),H$39,AA32,TRUE)</f>
        <v>0.99999999961149366</v>
      </c>
      <c r="AC32">
        <f t="shared" si="6"/>
        <v>1.1267605629425281</v>
      </c>
    </row>
    <row r="33" spans="2:29" x14ac:dyDescent="0.25">
      <c r="B33" t="s">
        <v>19</v>
      </c>
      <c r="C33">
        <f t="shared" si="2"/>
        <v>0</v>
      </c>
      <c r="D33">
        <f t="shared" si="3"/>
        <v>0</v>
      </c>
      <c r="E33">
        <f t="shared" si="3"/>
        <v>0</v>
      </c>
      <c r="F33">
        <f t="shared" si="3"/>
        <v>0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3"/>
        <v>0</v>
      </c>
      <c r="K33">
        <f t="shared" si="3"/>
        <v>0.66996590137698586</v>
      </c>
      <c r="L33">
        <f t="shared" si="3"/>
        <v>0</v>
      </c>
      <c r="O33" t="s">
        <v>19</v>
      </c>
      <c r="P33">
        <f t="shared" si="4"/>
        <v>0</v>
      </c>
      <c r="Q33">
        <f t="shared" si="1"/>
        <v>0</v>
      </c>
      <c r="R33">
        <f t="shared" si="1"/>
        <v>0</v>
      </c>
      <c r="S33">
        <f t="shared" si="1"/>
        <v>0</v>
      </c>
      <c r="T33">
        <f t="shared" si="1"/>
        <v>0</v>
      </c>
      <c r="U33">
        <f t="shared" si="1"/>
        <v>0</v>
      </c>
      <c r="V33">
        <f t="shared" si="1"/>
        <v>0</v>
      </c>
      <c r="W33">
        <f t="shared" si="1"/>
        <v>0</v>
      </c>
      <c r="X33">
        <f t="shared" si="1"/>
        <v>4.8890336280002895E-2</v>
      </c>
      <c r="Y33">
        <f t="shared" si="1"/>
        <v>0</v>
      </c>
      <c r="AA33">
        <f t="shared" si="5"/>
        <v>0.22111159236910871</v>
      </c>
      <c r="AB33">
        <f>1-_xlfn.NORM.DIST(LARGE($C$39:$L$39,4),I$39,AA33,TRUE)</f>
        <v>5.7522924471475889E-6</v>
      </c>
      <c r="AC33">
        <f t="shared" si="6"/>
        <v>6.4814562784761567E-6</v>
      </c>
    </row>
    <row r="34" spans="2:29" x14ac:dyDescent="0.25">
      <c r="B34" t="s">
        <v>12</v>
      </c>
      <c r="C34">
        <f t="shared" si="2"/>
        <v>0</v>
      </c>
      <c r="D34">
        <f t="shared" si="3"/>
        <v>0</v>
      </c>
      <c r="E34">
        <f t="shared" si="3"/>
        <v>0</v>
      </c>
      <c r="F34">
        <f t="shared" si="3"/>
        <v>0</v>
      </c>
      <c r="G34">
        <f t="shared" si="3"/>
        <v>0</v>
      </c>
      <c r="H34">
        <f t="shared" si="3"/>
        <v>0.66663414773623386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O34" t="s">
        <v>12</v>
      </c>
      <c r="P34">
        <f t="shared" si="4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4.9387533316189551E-2</v>
      </c>
      <c r="V34">
        <f t="shared" si="1"/>
        <v>0</v>
      </c>
      <c r="W34">
        <f t="shared" si="1"/>
        <v>0</v>
      </c>
      <c r="X34">
        <f t="shared" si="1"/>
        <v>0</v>
      </c>
      <c r="Y34">
        <f t="shared" si="1"/>
        <v>0</v>
      </c>
      <c r="AA34">
        <f t="shared" si="5"/>
        <v>0.22223306080821897</v>
      </c>
      <c r="AB34">
        <f>1-_xlfn.NORM.DIST(LARGE($C$39:$L$39,4),J$39,AA34,TRUE)</f>
        <v>6.8180130974315745E-6</v>
      </c>
      <c r="AC34">
        <f t="shared" si="6"/>
        <v>7.6822682787961411E-6</v>
      </c>
    </row>
    <row r="35" spans="2:29" x14ac:dyDescent="0.25">
      <c r="B35" t="s">
        <v>11</v>
      </c>
      <c r="C35">
        <f t="shared" si="2"/>
        <v>0</v>
      </c>
      <c r="D35">
        <f t="shared" si="3"/>
        <v>0</v>
      </c>
      <c r="E35">
        <f t="shared" si="3"/>
        <v>0</v>
      </c>
      <c r="F35">
        <f t="shared" si="3"/>
        <v>0</v>
      </c>
      <c r="G35">
        <f t="shared" si="3"/>
        <v>0</v>
      </c>
      <c r="H35">
        <f t="shared" si="3"/>
        <v>0</v>
      </c>
      <c r="I35">
        <f t="shared" si="3"/>
        <v>0.33003409862301419</v>
      </c>
      <c r="J35">
        <f t="shared" si="3"/>
        <v>0</v>
      </c>
      <c r="K35">
        <f t="shared" si="3"/>
        <v>0</v>
      </c>
      <c r="L35">
        <f t="shared" si="3"/>
        <v>0</v>
      </c>
      <c r="O35" t="s">
        <v>11</v>
      </c>
      <c r="P35">
        <f t="shared" si="4"/>
        <v>0</v>
      </c>
      <c r="Q35">
        <f t="shared" si="1"/>
        <v>0</v>
      </c>
      <c r="R35">
        <f t="shared" si="1"/>
        <v>0</v>
      </c>
      <c r="S35">
        <f t="shared" si="1"/>
        <v>0</v>
      </c>
      <c r="T35">
        <f t="shared" si="1"/>
        <v>0</v>
      </c>
      <c r="U35">
        <f t="shared" si="1"/>
        <v>0</v>
      </c>
      <c r="V35">
        <f t="shared" si="1"/>
        <v>4.8890336280002909E-2</v>
      </c>
      <c r="W35">
        <f t="shared" si="1"/>
        <v>0</v>
      </c>
      <c r="X35">
        <f t="shared" si="1"/>
        <v>0</v>
      </c>
      <c r="Y35">
        <f t="shared" si="1"/>
        <v>0</v>
      </c>
      <c r="AA35">
        <f t="shared" si="5"/>
        <v>0.22111159236910874</v>
      </c>
      <c r="AB35">
        <f>1-_xlfn.NORM.DIST(LARGE($C$39:$L$39,4),K$39,AA35,TRUE)</f>
        <v>2.1901282686924706E-3</v>
      </c>
      <c r="AC35">
        <f t="shared" si="6"/>
        <v>2.4677501619070094E-3</v>
      </c>
    </row>
    <row r="36" spans="2:29" x14ac:dyDescent="0.25">
      <c r="B36" t="s">
        <v>14</v>
      </c>
      <c r="C36">
        <f t="shared" si="2"/>
        <v>0</v>
      </c>
      <c r="D36">
        <f t="shared" si="3"/>
        <v>0.7</v>
      </c>
      <c r="E36">
        <f t="shared" si="3"/>
        <v>0</v>
      </c>
      <c r="F36">
        <f t="shared" si="3"/>
        <v>0</v>
      </c>
      <c r="G36">
        <f t="shared" si="3"/>
        <v>0</v>
      </c>
      <c r="H36">
        <f t="shared" si="3"/>
        <v>0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0</v>
      </c>
      <c r="O36" t="s">
        <v>14</v>
      </c>
      <c r="P36">
        <f t="shared" si="4"/>
        <v>0</v>
      </c>
      <c r="Q36">
        <f t="shared" si="1"/>
        <v>4.4100000000000007E-2</v>
      </c>
      <c r="R36">
        <f t="shared" si="1"/>
        <v>0</v>
      </c>
      <c r="S36">
        <f>(F36*(1-F36))^2</f>
        <v>0</v>
      </c>
      <c r="T36">
        <f>(G36*(1-G36))^2</f>
        <v>0</v>
      </c>
      <c r="U36">
        <f>(H36*(1-H36))^2</f>
        <v>0</v>
      </c>
      <c r="V36">
        <f t="shared" si="1"/>
        <v>0</v>
      </c>
      <c r="W36">
        <f t="shared" si="1"/>
        <v>0</v>
      </c>
      <c r="X36">
        <f t="shared" si="1"/>
        <v>0</v>
      </c>
      <c r="Y36">
        <f t="shared" si="1"/>
        <v>0</v>
      </c>
      <c r="AA36">
        <f t="shared" si="5"/>
        <v>0.21000000000000002</v>
      </c>
      <c r="AB36">
        <f>1-_xlfn.NORM.DIST(LARGE($C$39:$L$39,4),L$39,AA36,TRUE)</f>
        <v>0.5</v>
      </c>
      <c r="AC36">
        <f t="shared" si="6"/>
        <v>0.56338028169014087</v>
      </c>
    </row>
    <row r="38" spans="2:29" x14ac:dyDescent="0.25">
      <c r="B38" t="s">
        <v>33</v>
      </c>
      <c r="C38">
        <f>INDEX(Points2017!$P$3:$P$12,MATCH(probwin!C26,Points2017!$B$3:$B$12,0))</f>
        <v>10</v>
      </c>
      <c r="D38">
        <f>INDEX(Points2017!$P$3:$P$12,MATCH(probwin!D26,Points2017!$B$3:$B$12,0))</f>
        <v>5</v>
      </c>
      <c r="E38">
        <f>INDEX(Points2017!$P$3:$P$12,MATCH(probwin!E26,Points2017!$B$3:$B$12,0))</f>
        <v>5</v>
      </c>
      <c r="F38">
        <f>INDEX(Points2017!$P$3:$P$12,MATCH(probwin!F26,Points2017!$B$3:$B$12,0))</f>
        <v>5</v>
      </c>
      <c r="G38">
        <f>INDEX(Points2017!$P$3:$P$12,MATCH(probwin!G26,Points2017!$B$3:$B$12,0))</f>
        <v>7</v>
      </c>
      <c r="H38">
        <f>INDEX(Points2017!$P$3:$P$12,MATCH(probwin!H26,Points2017!$B$3:$B$12,0))</f>
        <v>7</v>
      </c>
      <c r="I38">
        <f>INDEX(Points2017!$P$3:$P$12,MATCH(probwin!I26,Points2017!$B$3:$B$12,0))</f>
        <v>5</v>
      </c>
      <c r="J38">
        <f>INDEX(Points2017!$P$3:$P$12,MATCH(probwin!J26,Points2017!$B$3:$B$12,0))</f>
        <v>5</v>
      </c>
      <c r="K38">
        <f>INDEX(Points2017!$P$3:$P$12,MATCH(probwin!K26,Points2017!$B$3:$B$12,0))</f>
        <v>5</v>
      </c>
      <c r="L38">
        <f>INDEX(Points2017!$P$3:$P$12,MATCH(probwin!L26,Points2017!$B$3:$B$12,0))</f>
        <v>6</v>
      </c>
      <c r="P38">
        <f>SQRT(SUM(P27:P36))</f>
        <v>0.24380213806592813</v>
      </c>
      <c r="Q38">
        <f>SQRT(SUM(Q27:Q36))</f>
        <v>0.21000000000000002</v>
      </c>
      <c r="R38">
        <f t="shared" ref="R38:Y38" si="7">SQRT(SUM(R27:R36))</f>
        <v>0.24279031839943324</v>
      </c>
      <c r="S38">
        <f t="shared" si="7"/>
        <v>0.24279031839943324</v>
      </c>
      <c r="T38">
        <f t="shared" si="7"/>
        <v>0.23785219060921914</v>
      </c>
      <c r="U38">
        <f t="shared" si="7"/>
        <v>0.22223306080821897</v>
      </c>
      <c r="V38">
        <f t="shared" si="7"/>
        <v>0.22111159236910874</v>
      </c>
      <c r="W38">
        <f t="shared" si="7"/>
        <v>0.22223306080821903</v>
      </c>
      <c r="X38">
        <f t="shared" si="7"/>
        <v>0.22111159236910871</v>
      </c>
      <c r="Y38">
        <f t="shared" si="7"/>
        <v>0.21</v>
      </c>
      <c r="AC38">
        <f>SUM(AC27:AC36)</f>
        <v>3.9505162720630618</v>
      </c>
    </row>
    <row r="39" spans="2:29" x14ac:dyDescent="0.25">
      <c r="B39" t="s">
        <v>34</v>
      </c>
      <c r="C39">
        <f>C38+SUM(C27:C36)</f>
        <v>10.578726500837215</v>
      </c>
      <c r="D39">
        <f t="shared" ref="D39:L39" si="8">D38+SUM(D27:D36)</f>
        <v>5.7</v>
      </c>
      <c r="E39">
        <f t="shared" si="8"/>
        <v>5.5849098439556144</v>
      </c>
      <c r="F39">
        <f t="shared" si="8"/>
        <v>5.4150901560443856</v>
      </c>
      <c r="G39">
        <f t="shared" si="8"/>
        <v>7.3897828988279004</v>
      </c>
      <c r="H39">
        <f t="shared" si="8"/>
        <v>7.6666341477362341</v>
      </c>
      <c r="I39">
        <f t="shared" si="8"/>
        <v>5.3300340986230141</v>
      </c>
      <c r="J39">
        <f t="shared" si="8"/>
        <v>5.3333658522637659</v>
      </c>
      <c r="K39">
        <f t="shared" si="8"/>
        <v>5.6699659013769859</v>
      </c>
      <c r="L39">
        <f t="shared" si="8"/>
        <v>6.3</v>
      </c>
      <c r="P39">
        <f>1-_xlfn.NORM.DIST(LARGE($C$39:$L$39,4),C39,P38,TRUE)</f>
        <v>1</v>
      </c>
      <c r="Q39">
        <f>1-_xlfn.NORM.DIST(LARGE($C$39:$L$39,4),D39,Q38,TRUE)</f>
        <v>2.1373669800862638E-3</v>
      </c>
      <c r="R39">
        <f t="shared" ref="R39:Y39" si="9">1-_xlfn.NORM.DIST(LARGE($C$39:$L$39,4),E39,R38,TRUE)</f>
        <v>1.6132119322346261E-3</v>
      </c>
      <c r="S39">
        <f t="shared" si="9"/>
        <v>1.3382628729130541E-4</v>
      </c>
      <c r="T39">
        <f t="shared" si="9"/>
        <v>0.99999769466335908</v>
      </c>
      <c r="U39">
        <f t="shared" si="9"/>
        <v>0.99999999961149366</v>
      </c>
      <c r="V39">
        <f t="shared" si="9"/>
        <v>5.7522924471475889E-6</v>
      </c>
      <c r="W39">
        <f t="shared" si="9"/>
        <v>6.8180130974315745E-6</v>
      </c>
      <c r="X39">
        <f t="shared" si="9"/>
        <v>2.1901282686924706E-3</v>
      </c>
      <c r="Y39">
        <f t="shared" si="9"/>
        <v>0.5</v>
      </c>
    </row>
    <row r="40" spans="2:29" x14ac:dyDescent="0.25">
      <c r="C40">
        <f>RANK(C39,$C$39:$L$39,0)</f>
        <v>1</v>
      </c>
      <c r="D40">
        <f t="shared" ref="D40:L40" si="10">RANK(D39,$C$39:$L$39,0)</f>
        <v>5</v>
      </c>
      <c r="E40">
        <f t="shared" si="10"/>
        <v>7</v>
      </c>
      <c r="F40">
        <f t="shared" si="10"/>
        <v>8</v>
      </c>
      <c r="G40">
        <f t="shared" si="10"/>
        <v>3</v>
      </c>
      <c r="H40">
        <f t="shared" si="10"/>
        <v>2</v>
      </c>
      <c r="I40">
        <f t="shared" si="10"/>
        <v>10</v>
      </c>
      <c r="J40">
        <f t="shared" si="10"/>
        <v>9</v>
      </c>
      <c r="K40">
        <f t="shared" si="10"/>
        <v>6</v>
      </c>
      <c r="L40">
        <f t="shared" si="10"/>
        <v>4</v>
      </c>
      <c r="P40">
        <f>SUM(P39:Y39)</f>
        <v>3.5060847980487022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Points2017</vt:lpstr>
      <vt:lpstr>List</vt:lpstr>
      <vt:lpstr>probwin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</dc:creator>
  <cp:lastModifiedBy>Rohit</cp:lastModifiedBy>
  <dcterms:created xsi:type="dcterms:W3CDTF">2016-11-07T05:01:26Z</dcterms:created>
  <dcterms:modified xsi:type="dcterms:W3CDTF">2018-11-01T02:15:01Z</dcterms:modified>
</cp:coreProperties>
</file>