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828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Rohit\Documents\GitHub\FantasyFootball\2017\"/>
    </mc:Choice>
  </mc:AlternateContent>
  <bookViews>
    <workbookView xWindow="0" yWindow="0" windowWidth="20490" windowHeight="7530"/>
  </bookViews>
  <sheets>
    <sheet name="Points2017" sheetId="1" r:id="rId1"/>
    <sheet name="Sheet1" sheetId="2" r:id="rId2"/>
  </sheets>
  <calcPr calcId="162913"/>
</workbook>
</file>

<file path=xl/calcChain.xml><?xml version="1.0" encoding="utf-8"?>
<calcChain xmlns="http://schemas.openxmlformats.org/spreadsheetml/2006/main">
  <c r="T3" i="1" l="1"/>
  <c r="U3" i="1"/>
  <c r="V3" i="1"/>
  <c r="W3" i="1"/>
  <c r="X3" i="1"/>
  <c r="Y3" i="1"/>
  <c r="Z3" i="1"/>
  <c r="AA3" i="1"/>
  <c r="AB3" i="1"/>
  <c r="AC3" i="1"/>
  <c r="AD3" i="1"/>
  <c r="AE3" i="1"/>
  <c r="T4" i="1"/>
  <c r="U4" i="1"/>
  <c r="V4" i="1"/>
  <c r="W4" i="1"/>
  <c r="X4" i="1"/>
  <c r="Y4" i="1"/>
  <c r="Z4" i="1"/>
  <c r="AA4" i="1"/>
  <c r="AB4" i="1"/>
  <c r="AC4" i="1"/>
  <c r="AD4" i="1"/>
  <c r="AE4" i="1"/>
  <c r="T5" i="1"/>
  <c r="U5" i="1"/>
  <c r="V5" i="1"/>
  <c r="W5" i="1"/>
  <c r="X5" i="1"/>
  <c r="Y5" i="1"/>
  <c r="Z5" i="1"/>
  <c r="AA5" i="1"/>
  <c r="AB5" i="1"/>
  <c r="AC5" i="1"/>
  <c r="AD5" i="1"/>
  <c r="AE5" i="1"/>
  <c r="T6" i="1"/>
  <c r="U6" i="1"/>
  <c r="V6" i="1"/>
  <c r="W6" i="1"/>
  <c r="X6" i="1"/>
  <c r="Y6" i="1"/>
  <c r="Z6" i="1"/>
  <c r="AA6" i="1"/>
  <c r="AB6" i="1"/>
  <c r="AC6" i="1"/>
  <c r="AD6" i="1"/>
  <c r="AE6" i="1"/>
  <c r="T7" i="1"/>
  <c r="U7" i="1"/>
  <c r="V7" i="1"/>
  <c r="W7" i="1"/>
  <c r="X7" i="1"/>
  <c r="Y7" i="1"/>
  <c r="Z7" i="1"/>
  <c r="AA7" i="1"/>
  <c r="AB7" i="1"/>
  <c r="AC7" i="1"/>
  <c r="AD7" i="1"/>
  <c r="AE7" i="1"/>
  <c r="T8" i="1"/>
  <c r="U8" i="1"/>
  <c r="V8" i="1"/>
  <c r="W8" i="1"/>
  <c r="X8" i="1"/>
  <c r="Y8" i="1"/>
  <c r="Z8" i="1"/>
  <c r="AA8" i="1"/>
  <c r="AB8" i="1"/>
  <c r="AC8" i="1"/>
  <c r="AD8" i="1"/>
  <c r="AE8" i="1"/>
  <c r="T9" i="1"/>
  <c r="U9" i="1"/>
  <c r="V9" i="1"/>
  <c r="W9" i="1"/>
  <c r="X9" i="1"/>
  <c r="Y9" i="1"/>
  <c r="Z9" i="1"/>
  <c r="AA9" i="1"/>
  <c r="AB9" i="1"/>
  <c r="AC9" i="1"/>
  <c r="AD9" i="1"/>
  <c r="AE9" i="1"/>
  <c r="T10" i="1"/>
  <c r="U10" i="1"/>
  <c r="V10" i="1"/>
  <c r="W10" i="1"/>
  <c r="X10" i="1"/>
  <c r="Y10" i="1"/>
  <c r="Z10" i="1"/>
  <c r="AA10" i="1"/>
  <c r="AB10" i="1"/>
  <c r="AC10" i="1"/>
  <c r="AD10" i="1"/>
  <c r="AE10" i="1"/>
  <c r="T11" i="1"/>
  <c r="U11" i="1"/>
  <c r="V11" i="1"/>
  <c r="W11" i="1"/>
  <c r="X11" i="1"/>
  <c r="Y11" i="1"/>
  <c r="Z11" i="1"/>
  <c r="AA11" i="1"/>
  <c r="AB11" i="1"/>
  <c r="AC11" i="1"/>
  <c r="AD11" i="1"/>
  <c r="AE11" i="1"/>
  <c r="T12" i="1"/>
  <c r="U12" i="1"/>
  <c r="V12" i="1"/>
  <c r="W12" i="1"/>
  <c r="X12" i="1"/>
  <c r="Y12" i="1"/>
  <c r="Z12" i="1"/>
  <c r="AA12" i="1"/>
  <c r="AB12" i="1"/>
  <c r="AC12" i="1"/>
  <c r="AD12" i="1"/>
  <c r="AE12" i="1"/>
  <c r="S4" i="1"/>
  <c r="S5" i="1"/>
  <c r="S6" i="1"/>
  <c r="S7" i="1"/>
  <c r="S8" i="1"/>
  <c r="S9" i="1"/>
  <c r="S10" i="1"/>
  <c r="S11" i="1"/>
  <c r="S12" i="1"/>
  <c r="S3" i="1"/>
  <c r="E15" i="1" l="1"/>
  <c r="F15" i="1"/>
  <c r="G15" i="1"/>
  <c r="H15" i="1"/>
  <c r="I15" i="1"/>
  <c r="J15" i="1"/>
  <c r="K15" i="1"/>
  <c r="L15" i="1"/>
  <c r="M15" i="1"/>
  <c r="N15" i="1"/>
  <c r="O15" i="1"/>
  <c r="E16" i="1"/>
  <c r="F16" i="1"/>
  <c r="G16" i="1"/>
  <c r="H16" i="1"/>
  <c r="I16" i="1"/>
  <c r="J16" i="1"/>
  <c r="K16" i="1"/>
  <c r="L16" i="1"/>
  <c r="M16" i="1"/>
  <c r="N16" i="1"/>
  <c r="O16" i="1"/>
  <c r="E17" i="1"/>
  <c r="F17" i="1"/>
  <c r="G17" i="1"/>
  <c r="H17" i="1"/>
  <c r="I17" i="1"/>
  <c r="J17" i="1"/>
  <c r="K17" i="1"/>
  <c r="L17" i="1"/>
  <c r="M17" i="1"/>
  <c r="N17" i="1"/>
  <c r="O17" i="1"/>
  <c r="E18" i="1"/>
  <c r="F18" i="1"/>
  <c r="G18" i="1"/>
  <c r="H18" i="1"/>
  <c r="I18" i="1"/>
  <c r="J18" i="1"/>
  <c r="K18" i="1"/>
  <c r="L18" i="1"/>
  <c r="M18" i="1"/>
  <c r="N18" i="1"/>
  <c r="O18" i="1"/>
  <c r="E19" i="1"/>
  <c r="F19" i="1"/>
  <c r="G19" i="1"/>
  <c r="H19" i="1"/>
  <c r="I19" i="1"/>
  <c r="J19" i="1"/>
  <c r="K19" i="1"/>
  <c r="L19" i="1"/>
  <c r="M19" i="1"/>
  <c r="N19" i="1"/>
  <c r="O19" i="1"/>
  <c r="E20" i="1"/>
  <c r="F20" i="1"/>
  <c r="G20" i="1"/>
  <c r="H20" i="1"/>
  <c r="I20" i="1"/>
  <c r="J20" i="1"/>
  <c r="K20" i="1"/>
  <c r="L20" i="1"/>
  <c r="M20" i="1"/>
  <c r="N20" i="1"/>
  <c r="O20" i="1"/>
  <c r="E21" i="1"/>
  <c r="F21" i="1"/>
  <c r="G21" i="1"/>
  <c r="H21" i="1"/>
  <c r="I21" i="1"/>
  <c r="J21" i="1"/>
  <c r="K21" i="1"/>
  <c r="L21" i="1"/>
  <c r="M21" i="1"/>
  <c r="N21" i="1"/>
  <c r="O21" i="1"/>
  <c r="E22" i="1"/>
  <c r="F22" i="1"/>
  <c r="G22" i="1"/>
  <c r="H22" i="1"/>
  <c r="I22" i="1"/>
  <c r="J22" i="1"/>
  <c r="K22" i="1"/>
  <c r="L22" i="1"/>
  <c r="M22" i="1"/>
  <c r="N22" i="1"/>
  <c r="O22" i="1"/>
  <c r="E23" i="1"/>
  <c r="F23" i="1"/>
  <c r="G23" i="1"/>
  <c r="H23" i="1"/>
  <c r="I23" i="1"/>
  <c r="J23" i="1"/>
  <c r="K23" i="1"/>
  <c r="L23" i="1"/>
  <c r="M23" i="1"/>
  <c r="N23" i="1"/>
  <c r="O23" i="1"/>
  <c r="O14" i="1"/>
  <c r="N14" i="1"/>
  <c r="M14" i="1"/>
  <c r="L14" i="1"/>
  <c r="K14" i="1"/>
  <c r="J14" i="1"/>
  <c r="I14" i="1"/>
  <c r="H14" i="1"/>
  <c r="G14" i="1"/>
  <c r="F14" i="1"/>
  <c r="E14" i="1"/>
  <c r="D23" i="1" l="1"/>
  <c r="D22" i="1"/>
  <c r="D21" i="1"/>
  <c r="D20" i="1"/>
  <c r="D19" i="1"/>
  <c r="D18" i="1"/>
  <c r="D17" i="1"/>
  <c r="D16" i="1"/>
  <c r="D15" i="1"/>
  <c r="D14" i="1"/>
  <c r="P21" i="1" l="1"/>
  <c r="P14" i="1"/>
  <c r="P23" i="1"/>
  <c r="P19" i="1"/>
  <c r="P15" i="1"/>
  <c r="P17" i="1"/>
  <c r="P20" i="1"/>
  <c r="P16" i="1"/>
  <c r="P22" i="1"/>
  <c r="P18" i="1"/>
  <c r="P13" i="1"/>
  <c r="P1" i="2"/>
  <c r="A1" i="2" s="1"/>
  <c r="C14" i="1" l="1"/>
  <c r="C15" i="1"/>
  <c r="C16" i="1"/>
  <c r="C17" i="1"/>
  <c r="C18" i="1"/>
  <c r="C19" i="1"/>
  <c r="C20" i="1"/>
  <c r="C21" i="1"/>
  <c r="C22" i="1"/>
  <c r="C23" i="1"/>
  <c r="AF12" i="1" l="1"/>
  <c r="AF11" i="1"/>
  <c r="AF10" i="1"/>
  <c r="AF9" i="1"/>
  <c r="AF8" i="1"/>
  <c r="AF7" i="1"/>
  <c r="AF6" i="1"/>
  <c r="AF5" i="1"/>
  <c r="AF4" i="1"/>
  <c r="AF3" i="1"/>
  <c r="A14" i="1"/>
  <c r="A23" i="1"/>
  <c r="A22" i="1"/>
  <c r="A20" i="1"/>
  <c r="A18" i="1"/>
  <c r="A16" i="1"/>
  <c r="A21" i="1"/>
  <c r="A19" i="1"/>
  <c r="A17" i="1"/>
  <c r="A15" i="1"/>
  <c r="AG6" i="1" l="1"/>
  <c r="AG10" i="1"/>
  <c r="AG3" i="1"/>
  <c r="AG5" i="1"/>
  <c r="AG9" i="1"/>
  <c r="AG7" i="1"/>
  <c r="AG11" i="1"/>
  <c r="AG4" i="1"/>
  <c r="AG8" i="1"/>
  <c r="AG12" i="1"/>
  <c r="AF14" i="1"/>
  <c r="C4" i="2"/>
  <c r="C8" i="2"/>
  <c r="C12" i="2"/>
  <c r="C5" i="2"/>
  <c r="C9" i="2"/>
  <c r="C3" i="2"/>
  <c r="C6" i="2"/>
  <c r="C10" i="2"/>
  <c r="B3" i="2"/>
  <c r="C7" i="2"/>
  <c r="C11" i="2"/>
  <c r="B4" i="2"/>
  <c r="B8" i="2"/>
  <c r="B12" i="2"/>
  <c r="B9" i="2"/>
  <c r="B5" i="2"/>
  <c r="B6" i="2"/>
  <c r="B10" i="2"/>
  <c r="C26" i="1"/>
  <c r="B7" i="2"/>
  <c r="B11" i="2"/>
  <c r="G28" i="1"/>
  <c r="J28" i="1"/>
  <c r="I28" i="1"/>
  <c r="F28" i="1"/>
  <c r="H28" i="1"/>
  <c r="K35" i="1"/>
  <c r="H29" i="1"/>
  <c r="G26" i="1"/>
  <c r="H34" i="1"/>
  <c r="I29" i="1"/>
  <c r="K29" i="1"/>
  <c r="K27" i="1"/>
  <c r="F29" i="1"/>
  <c r="G31" i="1"/>
  <c r="G29" i="1"/>
  <c r="G34" i="1"/>
  <c r="F33" i="1"/>
  <c r="I35" i="1"/>
  <c r="F35" i="1"/>
  <c r="H35" i="1"/>
  <c r="I34" i="1"/>
  <c r="K26" i="1"/>
  <c r="I33" i="1"/>
  <c r="H26" i="1"/>
  <c r="J33" i="1"/>
  <c r="K34" i="1"/>
  <c r="J30" i="1"/>
  <c r="H32" i="1"/>
  <c r="H33" i="1"/>
  <c r="G33" i="1"/>
  <c r="J34" i="1"/>
  <c r="J32" i="1"/>
  <c r="G27" i="1"/>
  <c r="J29" i="1"/>
  <c r="J26" i="1"/>
  <c r="K31" i="1"/>
  <c r="G32" i="1"/>
  <c r="J27" i="1"/>
  <c r="F31" i="1"/>
  <c r="G30" i="1"/>
  <c r="H27" i="1"/>
  <c r="F26" i="1"/>
  <c r="I30" i="1"/>
  <c r="F30" i="1"/>
  <c r="J35" i="1"/>
  <c r="I26" i="1"/>
  <c r="F27" i="1"/>
  <c r="F34" i="1"/>
  <c r="J31" i="1"/>
  <c r="F32" i="1"/>
  <c r="I31" i="1"/>
  <c r="I32" i="1"/>
  <c r="H31" i="1"/>
  <c r="K32" i="1"/>
  <c r="K28" i="1"/>
  <c r="H30" i="1"/>
  <c r="I27" i="1"/>
  <c r="K33" i="1"/>
  <c r="G35" i="1"/>
  <c r="D26" i="1"/>
  <c r="K30" i="1"/>
  <c r="D30" i="1"/>
  <c r="D27" i="1"/>
  <c r="E31" i="1"/>
  <c r="E33" i="1"/>
  <c r="C30" i="1"/>
  <c r="C34" i="1"/>
  <c r="E30" i="1"/>
  <c r="C29" i="1"/>
  <c r="AG14" i="1" l="1"/>
  <c r="C27" i="1"/>
  <c r="C33" i="1"/>
  <c r="E27" i="1"/>
  <c r="C35" i="1"/>
  <c r="D31" i="1"/>
  <c r="D33" i="1"/>
  <c r="D28" i="1"/>
  <c r="E26" i="1"/>
  <c r="C32" i="1"/>
  <c r="E35" i="1"/>
  <c r="C31" i="1"/>
  <c r="D35" i="1"/>
  <c r="E28" i="1"/>
  <c r="D32" i="1"/>
  <c r="C28" i="1"/>
  <c r="E32" i="1"/>
  <c r="E34" i="1"/>
  <c r="E29" i="1"/>
  <c r="D34" i="1"/>
  <c r="D29" i="1"/>
  <c r="G8" i="2" l="1"/>
  <c r="G4" i="2"/>
  <c r="G11" i="2"/>
  <c r="G7" i="2"/>
  <c r="G5" i="2"/>
  <c r="G9" i="2"/>
  <c r="O9" i="2"/>
  <c r="F9" i="2" s="1"/>
  <c r="O6" i="2"/>
  <c r="F6" i="2" s="1"/>
  <c r="G6" i="2"/>
  <c r="O12" i="2"/>
  <c r="F12" i="2" s="1"/>
  <c r="G12" i="2"/>
  <c r="G3" i="2"/>
  <c r="G10" i="2"/>
  <c r="O4" i="2"/>
  <c r="F4" i="2" s="1"/>
  <c r="D11" i="2"/>
  <c r="E9" i="2"/>
  <c r="D5" i="2"/>
  <c r="D12" i="2"/>
  <c r="D10" i="2"/>
  <c r="O8" i="2"/>
  <c r="F8" i="2" s="1"/>
  <c r="O5" i="2"/>
  <c r="F5" i="2" s="1"/>
  <c r="O10" i="2"/>
  <c r="F10" i="2" s="1"/>
  <c r="O3" i="2"/>
  <c r="F3" i="2" s="1"/>
  <c r="E7" i="2"/>
  <c r="E8" i="2"/>
  <c r="E6" i="2"/>
  <c r="E4" i="2"/>
  <c r="D3" i="2"/>
  <c r="O7" i="2"/>
  <c r="F7" i="2" s="1"/>
  <c r="O11" i="2"/>
  <c r="F11" i="2" s="1"/>
  <c r="D4" i="2" l="1"/>
  <c r="E12" i="2"/>
  <c r="D9" i="2"/>
  <c r="D6" i="2"/>
  <c r="E10" i="2"/>
  <c r="E3" i="2"/>
  <c r="D7" i="2"/>
  <c r="E11" i="2"/>
  <c r="D8" i="2"/>
  <c r="E5" i="2"/>
</calcChain>
</file>

<file path=xl/sharedStrings.xml><?xml version="1.0" encoding="utf-8"?>
<sst xmlns="http://schemas.openxmlformats.org/spreadsheetml/2006/main" count="61" uniqueCount="33">
  <si>
    <t>Team</t>
  </si>
  <si>
    <t>Week1</t>
  </si>
  <si>
    <t>Week2</t>
  </si>
  <si>
    <t>Week3</t>
  </si>
  <si>
    <t>Week4</t>
  </si>
  <si>
    <t>week5</t>
  </si>
  <si>
    <t>week6</t>
  </si>
  <si>
    <t>POWER SCORES</t>
  </si>
  <si>
    <t>REAL SCORES</t>
  </si>
  <si>
    <t>POWER SCORES SORTED</t>
  </si>
  <si>
    <t>Avacado Seeds</t>
  </si>
  <si>
    <t>Fortune Favors The Bold</t>
  </si>
  <si>
    <t>All I Do is Winston</t>
  </si>
  <si>
    <t>Los Angeles Butt Men</t>
  </si>
  <si>
    <t>unBEATable at HOME</t>
  </si>
  <si>
    <t>Elite Tostitos</t>
  </si>
  <si>
    <t>My Cousin Vinatieri</t>
  </si>
  <si>
    <t>Rohit's Avocado Farm</t>
  </si>
  <si>
    <t>21 Thicc Titans</t>
  </si>
  <si>
    <t>G - Lit</t>
  </si>
  <si>
    <t>Wins</t>
  </si>
  <si>
    <t>Prob of winning</t>
  </si>
  <si>
    <t>Expected wins</t>
  </si>
  <si>
    <t>Rank</t>
  </si>
  <si>
    <t>Teams</t>
  </si>
  <si>
    <t>Last Wk</t>
  </si>
  <si>
    <t>CHG</t>
  </si>
  <si>
    <t>RCRD</t>
  </si>
  <si>
    <t>Luck</t>
  </si>
  <si>
    <t>Week</t>
  </si>
  <si>
    <t>This Wk</t>
  </si>
  <si>
    <t>Week:</t>
  </si>
  <si>
    <t>&lt;-last wk ranks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</si>
</sst>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1">
    <xf numFmtId="0" fontId="0" fillId="0" borderId="0" xfId="0"/>
    <xf numFmtId="0" fontId="0" fillId="33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quotePrefix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/>
    <xf numFmtId="0" fontId="0" fillId="0" borderId="12" xfId="0" applyBorder="1"/>
    <xf numFmtId="0" fontId="0" fillId="33" borderId="0" xfId="0" applyNumberFormat="1" applyFill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0" fillId="0" borderId="0" xfId="0" applyNumberFormat="1"/>
    <xf numFmtId="0" fontId="0" fillId="34" borderId="0" xfId="0" applyFill="1"/>
    <xf numFmtId="49" fontId="0" fillId="33" borderId="0" xfId="0" applyNumberFormat="1" applyFill="1" applyBorder="1" applyAlignment="1">
      <alignment horizontal="left"/>
    </xf>
    <xf numFmtId="0" fontId="0" fillId="35" borderId="0" xfId="0" applyFill="1"/>
    <xf numFmtId="0" fontId="0" fillId="36" borderId="0" xfId="0" applyFill="1"/>
    <xf numFmtId="0" fontId="0" fillId="35" borderId="0" xfId="0" applyFill="1" applyBorder="1" applyAlignment="1">
      <alignment horizontal="center"/>
    </xf>
    <xf numFmtId="0" fontId="0" fillId="35" borderId="10" xfId="0" applyFill="1" applyBorder="1" applyAlignment="1">
      <alignment horizontal="center" vertical="center"/>
    </xf>
    <xf numFmtId="0" fontId="0" fillId="35" borderId="0" xfId="0" quotePrefix="1" applyFill="1" applyBorder="1" applyAlignment="1">
      <alignment horizontal="center" vertical="center"/>
    </xf>
    <xf numFmtId="0" fontId="0" fillId="35" borderId="0" xfId="0" applyFill="1" applyAlignment="1">
      <alignment horizontal="center" vertical="center"/>
    </xf>
    <xf numFmtId="0" fontId="17" fillId="35" borderId="0" xfId="0" applyFont="1" applyFill="1" applyBorder="1"/>
    <xf numFmtId="0" fontId="0" fillId="37" borderId="0" xfId="0" applyFill="1" applyBorder="1" applyAlignment="1">
      <alignment horizontal="center"/>
    </xf>
    <xf numFmtId="0" fontId="0" fillId="37" borderId="10" xfId="0" applyFill="1" applyBorder="1" applyAlignment="1">
      <alignment horizontal="center" vertical="center"/>
    </xf>
    <xf numFmtId="0" fontId="0" fillId="37" borderId="0" xfId="0" quotePrefix="1" applyFill="1" applyBorder="1" applyAlignment="1">
      <alignment horizontal="center" vertical="center"/>
    </xf>
    <xf numFmtId="0" fontId="0" fillId="37" borderId="0" xfId="0" applyFill="1" applyAlignment="1">
      <alignment horizontal="center" vertical="center"/>
    </xf>
    <xf numFmtId="0" fontId="17" fillId="37" borderId="0" xfId="0" applyFont="1" applyFill="1" applyBorder="1"/>
    <xf numFmtId="0" fontId="0" fillId="36" borderId="0" xfId="0" applyFill="1" applyBorder="1" applyAlignment="1">
      <alignment horizontal="center"/>
    </xf>
    <xf numFmtId="0" fontId="0" fillId="36" borderId="10" xfId="0" applyFill="1" applyBorder="1" applyAlignment="1">
      <alignment horizontal="center" vertical="center"/>
    </xf>
    <xf numFmtId="0" fontId="0" fillId="36" borderId="0" xfId="0" quotePrefix="1" applyFill="1" applyBorder="1" applyAlignment="1">
      <alignment horizontal="center" vertical="center"/>
    </xf>
    <xf numFmtId="0" fontId="0" fillId="36" borderId="0" xfId="0" applyFill="1" applyAlignment="1">
      <alignment horizontal="center" vertical="center"/>
    </xf>
    <xf numFmtId="0" fontId="17" fillId="36" borderId="0" xfId="0" applyFont="1" applyFill="1" applyBorder="1"/>
    <xf numFmtId="0" fontId="0" fillId="38" borderId="0" xfId="0" applyFill="1" applyBorder="1" applyAlignment="1">
      <alignment horizontal="center"/>
    </xf>
    <xf numFmtId="0" fontId="0" fillId="38" borderId="10" xfId="0" applyFill="1" applyBorder="1" applyAlignment="1">
      <alignment horizontal="center" vertical="center"/>
    </xf>
    <xf numFmtId="0" fontId="0" fillId="38" borderId="0" xfId="0" quotePrefix="1" applyFill="1" applyBorder="1" applyAlignment="1">
      <alignment horizontal="center" vertical="center"/>
    </xf>
    <xf numFmtId="0" fontId="0" fillId="38" borderId="0" xfId="0" applyFill="1" applyAlignment="1">
      <alignment horizontal="center" vertical="center"/>
    </xf>
    <xf numFmtId="0" fontId="17" fillId="38" borderId="0" xfId="0" applyFont="1" applyFill="1" applyBorder="1"/>
    <xf numFmtId="0" fontId="0" fillId="33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18" fillId="33" borderId="0" xfId="0" applyFont="1" applyFill="1" applyBorder="1" applyAlignment="1">
      <alignment horizontal="center" vertical="center"/>
    </xf>
    <xf numFmtId="0" fontId="19" fillId="33" borderId="0" xfId="0" applyFont="1" applyFill="1" applyBorder="1" applyAlignment="1">
      <alignment horizontal="center" vertical="center"/>
    </xf>
    <xf numFmtId="0" fontId="19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Team Strength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Points2017!$C$26</c:f>
              <c:strCache>
                <c:ptCount val="1"/>
                <c:pt idx="0">
                  <c:v>Avacado Seeds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Points2017!$D$25:$K$25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xVal>
          <c:yVal>
            <c:numRef>
              <c:f>Points2017!$D$26:$K$26</c:f>
              <c:numCache>
                <c:formatCode>General</c:formatCode>
                <c:ptCount val="8"/>
                <c:pt idx="0">
                  <c:v>101.25144846627126</c:v>
                </c:pt>
                <c:pt idx="1">
                  <c:v>107.63787784209615</c:v>
                </c:pt>
                <c:pt idx="2">
                  <c:v>95.092655987025068</c:v>
                </c:pt>
                <c:pt idx="3">
                  <c:v>103.11139337381189</c:v>
                </c:pt>
                <c:pt idx="4">
                  <c:v>108.43515641243737</c:v>
                </c:pt>
                <c:pt idx="5">
                  <c:v>63.234511810884854</c:v>
                </c:pt>
                <c:pt idx="6">
                  <c:v>43.761138661894762</c:v>
                </c:pt>
                <c:pt idx="7">
                  <c:v>32.415871160514229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1B-4189-A8FF-F37D9312986B}"/>
            </c:ext>
          </c:extLst>
        </c:ser>
        <c:ser>
          <c:idx val="1"/>
          <c:order val="1"/>
          <c:tx>
            <c:strRef>
              <c:f>Points2017!$C$27</c:f>
              <c:strCache>
                <c:ptCount val="1"/>
                <c:pt idx="0">
                  <c:v>Rohit's Avocado Farm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Points2017!$D$25:$K$25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xVal>
          <c:yVal>
            <c:numRef>
              <c:f>Points2017!$D$27:$K$27</c:f>
              <c:numCache>
                <c:formatCode>General</c:formatCode>
                <c:ptCount val="8"/>
                <c:pt idx="0">
                  <c:v>85.689288581176001</c:v>
                </c:pt>
                <c:pt idx="1">
                  <c:v>89.379442880619806</c:v>
                </c:pt>
                <c:pt idx="2">
                  <c:v>89.505986318840556</c:v>
                </c:pt>
                <c:pt idx="3">
                  <c:v>96.737159046456654</c:v>
                </c:pt>
                <c:pt idx="4">
                  <c:v>99.957876172449673</c:v>
                </c:pt>
                <c:pt idx="5">
                  <c:v>54.887292543784596</c:v>
                </c:pt>
                <c:pt idx="6">
                  <c:v>35.568129073178099</c:v>
                </c:pt>
                <c:pt idx="7">
                  <c:v>24.38077430428967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1B-4189-A8FF-F37D9312986B}"/>
            </c:ext>
          </c:extLst>
        </c:ser>
        <c:ser>
          <c:idx val="2"/>
          <c:order val="2"/>
          <c:tx>
            <c:strRef>
              <c:f>Points2017!$C$28</c:f>
              <c:strCache>
                <c:ptCount val="1"/>
                <c:pt idx="0">
                  <c:v>All I Do is Winston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Points2017!$D$25:$K$25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xVal>
          <c:yVal>
            <c:numRef>
              <c:f>Points2017!$D$28:$K$28</c:f>
              <c:numCache>
                <c:formatCode>General</c:formatCode>
                <c:ptCount val="8"/>
                <c:pt idx="0">
                  <c:v>96.786258642855643</c:v>
                </c:pt>
                <c:pt idx="1">
                  <c:v>99.066843185260311</c:v>
                </c:pt>
                <c:pt idx="2">
                  <c:v>85.189861194465777</c:v>
                </c:pt>
                <c:pt idx="3">
                  <c:v>82.344432296699821</c:v>
                </c:pt>
                <c:pt idx="4">
                  <c:v>90.776234694752887</c:v>
                </c:pt>
                <c:pt idx="5">
                  <c:v>51.571940287292762</c:v>
                </c:pt>
                <c:pt idx="6">
                  <c:v>34.581304585437216</c:v>
                </c:pt>
                <c:pt idx="7">
                  <c:v>24.626029212207591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B1B-4189-A8FF-F37D9312986B}"/>
            </c:ext>
          </c:extLst>
        </c:ser>
        <c:ser>
          <c:idx val="3"/>
          <c:order val="3"/>
          <c:tx>
            <c:strRef>
              <c:f>Points2017!$C$29</c:f>
              <c:strCache>
                <c:ptCount val="1"/>
                <c:pt idx="0">
                  <c:v>unBEATable at HOME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Points2017!$D$25:$K$25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xVal>
          <c:yVal>
            <c:numRef>
              <c:f>Points2017!$D$29:$K$29</c:f>
              <c:numCache>
                <c:formatCode>General</c:formatCode>
                <c:ptCount val="8"/>
                <c:pt idx="0">
                  <c:v>84.251451445455629</c:v>
                </c:pt>
                <c:pt idx="1">
                  <c:v>89.237509783867566</c:v>
                </c:pt>
                <c:pt idx="2">
                  <c:v>85.140775974329671</c:v>
                </c:pt>
                <c:pt idx="3">
                  <c:v>71.844532062210334</c:v>
                </c:pt>
                <c:pt idx="4">
                  <c:v>81.532029643026434</c:v>
                </c:pt>
                <c:pt idx="5">
                  <c:v>45.834669709924079</c:v>
                </c:pt>
                <c:pt idx="6">
                  <c:v>30.515555319201859</c:v>
                </c:pt>
                <c:pt idx="7">
                  <c:v>21.577064191190651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B1B-4189-A8FF-F37D9312986B}"/>
            </c:ext>
          </c:extLst>
        </c:ser>
        <c:ser>
          <c:idx val="4"/>
          <c:order val="4"/>
          <c:tx>
            <c:strRef>
              <c:f>Points2017!$C$30</c:f>
              <c:strCache>
                <c:ptCount val="1"/>
                <c:pt idx="0">
                  <c:v>Los Angeles Butt Men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Points2017!$D$25:$K$25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xVal>
          <c:yVal>
            <c:numRef>
              <c:f>Points2017!$D$30:$K$30</c:f>
              <c:numCache>
                <c:formatCode>General</c:formatCode>
                <c:ptCount val="8"/>
                <c:pt idx="0">
                  <c:v>99.341015645451961</c:v>
                </c:pt>
                <c:pt idx="1">
                  <c:v>86.561931443849318</c:v>
                </c:pt>
                <c:pt idx="2">
                  <c:v>93.884102960667917</c:v>
                </c:pt>
                <c:pt idx="3">
                  <c:v>94.80140044530512</c:v>
                </c:pt>
                <c:pt idx="4">
                  <c:v>75.071780416606259</c:v>
                </c:pt>
                <c:pt idx="5">
                  <c:v>41.87588610133551</c:v>
                </c:pt>
                <c:pt idx="6">
                  <c:v>26.331159746574336</c:v>
                </c:pt>
                <c:pt idx="7">
                  <c:v>16.909242970611274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B1B-4189-A8FF-F37D9312986B}"/>
            </c:ext>
          </c:extLst>
        </c:ser>
        <c:ser>
          <c:idx val="5"/>
          <c:order val="5"/>
          <c:tx>
            <c:strRef>
              <c:f>Points2017!$C$31</c:f>
              <c:strCache>
                <c:ptCount val="1"/>
                <c:pt idx="0">
                  <c:v>Fortune Favors The Bold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Points2017!$D$25:$K$25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xVal>
          <c:yVal>
            <c:numRef>
              <c:f>Points2017!$D$31:$K$31</c:f>
              <c:numCache>
                <c:formatCode>General</c:formatCode>
                <c:ptCount val="8"/>
                <c:pt idx="0">
                  <c:v>98.29688961992133</c:v>
                </c:pt>
                <c:pt idx="1">
                  <c:v>95.545835821780315</c:v>
                </c:pt>
                <c:pt idx="2">
                  <c:v>93.423875844542437</c:v>
                </c:pt>
                <c:pt idx="3">
                  <c:v>77.702629548358729</c:v>
                </c:pt>
                <c:pt idx="4">
                  <c:v>74.866235534338728</c:v>
                </c:pt>
                <c:pt idx="5">
                  <c:v>41.383447554190823</c:v>
                </c:pt>
                <c:pt idx="6">
                  <c:v>26.136124518416874</c:v>
                </c:pt>
                <c:pt idx="7">
                  <c:v>16.97224646330049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B1B-4189-A8FF-F37D9312986B}"/>
            </c:ext>
          </c:extLst>
        </c:ser>
        <c:ser>
          <c:idx val="6"/>
          <c:order val="6"/>
          <c:tx>
            <c:strRef>
              <c:f>Points2017!$C$32</c:f>
              <c:strCache>
                <c:ptCount val="1"/>
                <c:pt idx="0">
                  <c:v>G - Lit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Points2017!$D$25:$K$25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xVal>
          <c:yVal>
            <c:numRef>
              <c:f>Points2017!$D$32:$K$32</c:f>
              <c:numCache>
                <c:formatCode>General</c:formatCode>
                <c:ptCount val="8"/>
                <c:pt idx="0">
                  <c:v>85.747471322292867</c:v>
                </c:pt>
                <c:pt idx="1">
                  <c:v>81.317863301167108</c:v>
                </c:pt>
                <c:pt idx="2">
                  <c:v>87.860208432586091</c:v>
                </c:pt>
                <c:pt idx="3">
                  <c:v>59.099808866595851</c:v>
                </c:pt>
                <c:pt idx="4">
                  <c:v>73.961351076001307</c:v>
                </c:pt>
                <c:pt idx="5">
                  <c:v>37.683075306720887</c:v>
                </c:pt>
                <c:pt idx="6">
                  <c:v>22.197692737686317</c:v>
                </c:pt>
                <c:pt idx="7">
                  <c:v>13.178450535574676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B1B-4189-A8FF-F37D9312986B}"/>
            </c:ext>
          </c:extLst>
        </c:ser>
        <c:ser>
          <c:idx val="7"/>
          <c:order val="7"/>
          <c:tx>
            <c:strRef>
              <c:f>Points2017!$C$33</c:f>
              <c:strCache>
                <c:ptCount val="1"/>
                <c:pt idx="0">
                  <c:v>Elite Tostitos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Points2017!$D$25:$K$25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xVal>
          <c:yVal>
            <c:numRef>
              <c:f>Points2017!$D$33:$K$33</c:f>
              <c:numCache>
                <c:formatCode>General</c:formatCode>
                <c:ptCount val="8"/>
                <c:pt idx="0">
                  <c:v>67.268724955213614</c:v>
                </c:pt>
                <c:pt idx="1">
                  <c:v>72.09636564280062</c:v>
                </c:pt>
                <c:pt idx="2">
                  <c:v>81.905210624824022</c:v>
                </c:pt>
                <c:pt idx="3">
                  <c:v>83.066460177711349</c:v>
                </c:pt>
                <c:pt idx="4">
                  <c:v>73.939745523335162</c:v>
                </c:pt>
                <c:pt idx="5">
                  <c:v>42.221267347719241</c:v>
                </c:pt>
                <c:pt idx="6">
                  <c:v>27.824626223114024</c:v>
                </c:pt>
                <c:pt idx="7">
                  <c:v>19.229216989110633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B1B-4189-A8FF-F37D9312986B}"/>
            </c:ext>
          </c:extLst>
        </c:ser>
        <c:ser>
          <c:idx val="8"/>
          <c:order val="8"/>
          <c:tx>
            <c:strRef>
              <c:f>Points2017!$C$34</c:f>
              <c:strCache>
                <c:ptCount val="1"/>
                <c:pt idx="0">
                  <c:v>My Cousin Vinatieri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Points2017!$D$25:$K$25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xVal>
          <c:yVal>
            <c:numRef>
              <c:f>Points2017!$D$34:$K$34</c:f>
              <c:numCache>
                <c:formatCode>General</c:formatCode>
                <c:ptCount val="8"/>
                <c:pt idx="0">
                  <c:v>96.822323866328105</c:v>
                </c:pt>
                <c:pt idx="1">
                  <c:v>70.529112918712741</c:v>
                </c:pt>
                <c:pt idx="2">
                  <c:v>82.270442217735166</c:v>
                </c:pt>
                <c:pt idx="3">
                  <c:v>92.171491524358132</c:v>
                </c:pt>
                <c:pt idx="4">
                  <c:v>73.886342912824347</c:v>
                </c:pt>
                <c:pt idx="5">
                  <c:v>40.137560862238466</c:v>
                </c:pt>
                <c:pt idx="6">
                  <c:v>24.561034072627535</c:v>
                </c:pt>
                <c:pt idx="7">
                  <c:v>15.207135036746131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EB1B-4189-A8FF-F37D9312986B}"/>
            </c:ext>
          </c:extLst>
        </c:ser>
        <c:ser>
          <c:idx val="9"/>
          <c:order val="9"/>
          <c:tx>
            <c:strRef>
              <c:f>Points2017!$C$35</c:f>
              <c:strCache>
                <c:ptCount val="1"/>
                <c:pt idx="0">
                  <c:v>21 Thicc Titans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Points2017!$D$25:$K$25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xVal>
          <c:yVal>
            <c:numRef>
              <c:f>Points2017!$D$35:$K$35</c:f>
              <c:numCache>
                <c:formatCode>General</c:formatCode>
                <c:ptCount val="8"/>
                <c:pt idx="0">
                  <c:v>45.480838655882195</c:v>
                </c:pt>
                <c:pt idx="1">
                  <c:v>52.547608194650564</c:v>
                </c:pt>
                <c:pt idx="2">
                  <c:v>55.026873789809073</c:v>
                </c:pt>
                <c:pt idx="3">
                  <c:v>63.042125349853606</c:v>
                </c:pt>
                <c:pt idx="4">
                  <c:v>71.090958052158285</c:v>
                </c:pt>
                <c:pt idx="5">
                  <c:v>31.625801288004983</c:v>
                </c:pt>
                <c:pt idx="6">
                  <c:v>15.348362121286545</c:v>
                </c:pt>
                <c:pt idx="7">
                  <c:v>6.0958309239462061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EB1B-4189-A8FF-F37D931298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0499232"/>
        <c:axId val="370501856"/>
      </c:scatterChart>
      <c:valAx>
        <c:axId val="370499232"/>
        <c:scaling>
          <c:orientation val="minMax"/>
          <c:max val="7"/>
          <c:min val="3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Week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501856"/>
        <c:crosses val="autoZero"/>
        <c:crossBetween val="midCat"/>
        <c:majorUnit val="1"/>
      </c:valAx>
      <c:valAx>
        <c:axId val="370501856"/>
        <c:scaling>
          <c:orientation val="minMax"/>
          <c:max val="110"/>
          <c:min val="6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499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595312</xdr:colOff>
      <xdr:row>27</xdr:row>
      <xdr:rowOff>114300</xdr:rowOff>
    </xdr:from>
    <xdr:to>
      <xdr:col>25</xdr:col>
      <xdr:colOff>142875</xdr:colOff>
      <xdr:row>46</xdr:row>
      <xdr:rowOff>120967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</xdr:row>
      <xdr:rowOff>276224</xdr:rowOff>
    </xdr:from>
    <xdr:to>
      <xdr:col>8</xdr:col>
      <xdr:colOff>400050</xdr:colOff>
      <xdr:row>3</xdr:row>
      <xdr:rowOff>95249</xdr:rowOff>
    </xdr:to>
    <xdr:grpSp>
      <xdr:nvGrpSpPr>
        <xdr:cNvPr id="97" name="Group 96"/>
        <xdr:cNvGrpSpPr/>
      </xdr:nvGrpSpPr>
      <xdr:grpSpPr>
        <a:xfrm>
          <a:off x="4114800" y="628649"/>
          <a:ext cx="1019175" cy="523875"/>
          <a:chOff x="4114800" y="628649"/>
          <a:chExt cx="1019175" cy="523875"/>
        </a:xfrm>
      </xdr:grpSpPr>
      <xdr:grpSp>
        <xdr:nvGrpSpPr>
          <xdr:cNvPr id="95" name="Group 94"/>
          <xdr:cNvGrpSpPr/>
        </xdr:nvGrpSpPr>
        <xdr:grpSpPr>
          <a:xfrm>
            <a:off x="4114800" y="628649"/>
            <a:ext cx="1019175" cy="523875"/>
            <a:chOff x="4257675" y="571499"/>
            <a:chExt cx="1028700" cy="523875"/>
          </a:xfrm>
        </xdr:grpSpPr>
        <xdr:sp macro="" textlink="">
          <xdr:nvSpPr>
            <xdr:cNvPr id="92" name="TextBox 91"/>
            <xdr:cNvSpPr txBox="1"/>
          </xdr:nvSpPr>
          <xdr:spPr>
            <a:xfrm>
              <a:off x="4257675" y="571499"/>
              <a:ext cx="1028700" cy="523875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/>
                <a:t>   Star=lucky</a:t>
              </a:r>
            </a:p>
            <a:p>
              <a:r>
                <a:rPr lang="en-US" sz="1100"/>
                <a:t>   Red=unlucky</a:t>
              </a:r>
            </a:p>
          </xdr:txBody>
        </xdr:sp>
        <xdr:pic>
          <xdr:nvPicPr>
            <xdr:cNvPr id="93" name="Picture 92"/>
            <xdr:cNvPicPr>
              <a:picLocks noChangeAspect="1"/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4257675" y="771525"/>
              <a:ext cx="190476" cy="200000"/>
            </a:xfrm>
            <a:prstGeom prst="rect">
              <a:avLst/>
            </a:prstGeom>
          </xdr:spPr>
        </xdr:pic>
      </xdr:grpSp>
      <xdr:pic>
        <xdr:nvPicPr>
          <xdr:cNvPr id="96" name="Picture 95"/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4114800" y="657225"/>
            <a:ext cx="190476" cy="171429"/>
          </a:xfrm>
          <a:prstGeom prst="rect">
            <a:avLst/>
          </a:prstGeom>
        </xdr:spPr>
      </xdr:pic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G35"/>
  <sheetViews>
    <sheetView tabSelected="1" topLeftCell="K28" workbookViewId="0">
      <selection activeCell="A26" sqref="A26"/>
    </sheetView>
  </sheetViews>
  <sheetFormatPr defaultRowHeight="15" x14ac:dyDescent="0.25"/>
  <cols>
    <col min="3" max="11" width="9.140625" customWidth="1"/>
    <col min="19" max="31" width="9.140625" customWidth="1"/>
    <col min="32" max="32" width="13.85546875" bestFit="1" customWidth="1"/>
  </cols>
  <sheetData>
    <row r="1" spans="1:33" x14ac:dyDescent="0.25">
      <c r="A1" t="s">
        <v>8</v>
      </c>
      <c r="D1" t="s">
        <v>31</v>
      </c>
      <c r="E1" s="15">
        <v>7</v>
      </c>
      <c r="R1" t="s">
        <v>21</v>
      </c>
    </row>
    <row r="2" spans="1:33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  <c r="O2">
        <v>13</v>
      </c>
      <c r="P2" t="s">
        <v>20</v>
      </c>
      <c r="S2" t="s">
        <v>1</v>
      </c>
      <c r="T2" t="s">
        <v>2</v>
      </c>
      <c r="U2" t="s">
        <v>3</v>
      </c>
      <c r="V2" t="s">
        <v>4</v>
      </c>
      <c r="W2" t="s">
        <v>5</v>
      </c>
      <c r="X2" t="s">
        <v>6</v>
      </c>
      <c r="Y2">
        <v>7</v>
      </c>
      <c r="Z2">
        <v>8</v>
      </c>
      <c r="AA2">
        <v>9</v>
      </c>
      <c r="AB2">
        <v>10</v>
      </c>
      <c r="AC2">
        <v>11</v>
      </c>
      <c r="AD2">
        <v>12</v>
      </c>
      <c r="AE2">
        <v>13</v>
      </c>
      <c r="AF2" t="s">
        <v>22</v>
      </c>
    </row>
    <row r="3" spans="1:33" x14ac:dyDescent="0.25">
      <c r="B3" t="s">
        <v>10</v>
      </c>
      <c r="C3" s="15">
        <v>110.3</v>
      </c>
      <c r="D3" s="15">
        <v>120.5</v>
      </c>
      <c r="E3" s="15">
        <v>103</v>
      </c>
      <c r="F3" s="15">
        <v>120.5</v>
      </c>
      <c r="G3" s="15">
        <v>94</v>
      </c>
      <c r="H3" s="15">
        <v>122</v>
      </c>
      <c r="I3" s="15">
        <v>130.9</v>
      </c>
      <c r="J3" s="15"/>
      <c r="K3" s="15"/>
      <c r="L3" s="15"/>
      <c r="M3" s="15"/>
      <c r="N3" s="15"/>
      <c r="O3" s="15"/>
      <c r="P3" s="15">
        <v>6</v>
      </c>
      <c r="R3" t="s">
        <v>10</v>
      </c>
      <c r="S3">
        <f t="shared" ref="S3:S12" si="0">IFERROR((RANK(C3,C$3:C$12,1)-1)/9,0)</f>
        <v>1</v>
      </c>
      <c r="T3">
        <f t="shared" ref="T3:T12" si="1">IFERROR((RANK(D3,D$3:D$12,1)-1)/9,0)</f>
        <v>1</v>
      </c>
      <c r="U3">
        <f t="shared" ref="U3:U12" si="2">IFERROR((RANK(E3,E$3:E$12,1)-1)/9,0)</f>
        <v>0.44444444444444442</v>
      </c>
      <c r="V3">
        <f t="shared" ref="V3:V12" si="3">IFERROR((RANK(F3,F$3:F$12,1)-1)/9,0)</f>
        <v>1</v>
      </c>
      <c r="W3">
        <f t="shared" ref="W3:W12" si="4">IFERROR((RANK(G3,G$3:G$12,1)-1)/9,0)</f>
        <v>0.33333333333333331</v>
      </c>
      <c r="X3">
        <f t="shared" ref="X3:X12" si="5">IFERROR((RANK(H3,H$3:H$12,1)-1)/9,0)</f>
        <v>0.77777777777777779</v>
      </c>
      <c r="Y3">
        <f t="shared" ref="Y3:AE12" si="6">IFERROR((RANK(I3,I$3:I$12,1)-1)/9,0)</f>
        <v>1</v>
      </c>
      <c r="Z3">
        <f t="shared" si="6"/>
        <v>0</v>
      </c>
      <c r="AA3">
        <f t="shared" si="6"/>
        <v>0</v>
      </c>
      <c r="AB3">
        <f t="shared" si="6"/>
        <v>0</v>
      </c>
      <c r="AC3">
        <f t="shared" si="6"/>
        <v>0</v>
      </c>
      <c r="AD3">
        <f t="shared" si="6"/>
        <v>0</v>
      </c>
      <c r="AE3">
        <f t="shared" si="6"/>
        <v>0</v>
      </c>
      <c r="AF3">
        <f>SUM(S3:AE3)</f>
        <v>5.5555555555555562</v>
      </c>
      <c r="AG3">
        <f>(P3-AF3)/_xlfn.STDEV.S(AF$3:AF$12)</f>
        <v>0.41895600552862688</v>
      </c>
    </row>
    <row r="4" spans="1:33" x14ac:dyDescent="0.25">
      <c r="B4" t="s">
        <v>11</v>
      </c>
      <c r="C4" s="15">
        <v>84.8</v>
      </c>
      <c r="D4" s="15">
        <v>114.8</v>
      </c>
      <c r="E4" s="15">
        <v>137.19999999999999</v>
      </c>
      <c r="F4" s="15">
        <v>110.6</v>
      </c>
      <c r="G4" s="15">
        <v>105.2</v>
      </c>
      <c r="H4" s="15">
        <v>78.599999999999994</v>
      </c>
      <c r="I4" s="15">
        <v>85.8</v>
      </c>
      <c r="J4" s="15"/>
      <c r="K4" s="15"/>
      <c r="L4" s="15"/>
      <c r="M4" s="15"/>
      <c r="N4" s="15"/>
      <c r="O4" s="15"/>
      <c r="P4" s="15">
        <v>4</v>
      </c>
      <c r="R4" t="s">
        <v>11</v>
      </c>
      <c r="S4">
        <f t="shared" si="0"/>
        <v>0.22222222222222221</v>
      </c>
      <c r="T4">
        <f t="shared" si="1"/>
        <v>0.88888888888888884</v>
      </c>
      <c r="U4">
        <f t="shared" si="2"/>
        <v>0.88888888888888884</v>
      </c>
      <c r="V4">
        <f t="shared" si="3"/>
        <v>0.66666666666666663</v>
      </c>
      <c r="W4">
        <f t="shared" si="4"/>
        <v>0.55555555555555558</v>
      </c>
      <c r="X4">
        <f t="shared" si="5"/>
        <v>0.22222222222222221</v>
      </c>
      <c r="Y4">
        <f t="shared" si="6"/>
        <v>0.33333333333333331</v>
      </c>
      <c r="Z4">
        <f t="shared" si="6"/>
        <v>0</v>
      </c>
      <c r="AA4">
        <f t="shared" si="6"/>
        <v>0</v>
      </c>
      <c r="AB4">
        <f t="shared" si="6"/>
        <v>0</v>
      </c>
      <c r="AC4">
        <f t="shared" si="6"/>
        <v>0</v>
      </c>
      <c r="AD4">
        <f t="shared" si="6"/>
        <v>0</v>
      </c>
      <c r="AE4">
        <f t="shared" si="6"/>
        <v>0</v>
      </c>
      <c r="AF4">
        <f t="shared" ref="AF4:AF12" si="7">SUM(S4:AE4)</f>
        <v>3.7777777777777781</v>
      </c>
      <c r="AG4">
        <f t="shared" ref="AG4:AG11" si="8">(P4-AF4)/_xlfn.STDEV.S(AF$3:AF$12)</f>
        <v>0.20947800276431344</v>
      </c>
    </row>
    <row r="5" spans="1:33" x14ac:dyDescent="0.25">
      <c r="B5" t="s">
        <v>12</v>
      </c>
      <c r="C5" s="15">
        <v>96.6</v>
      </c>
      <c r="D5" s="15">
        <v>96.7</v>
      </c>
      <c r="E5" s="15">
        <v>124.9</v>
      </c>
      <c r="F5" s="15">
        <v>114.1</v>
      </c>
      <c r="G5" s="15">
        <v>86.2</v>
      </c>
      <c r="H5" s="15">
        <v>89.8</v>
      </c>
      <c r="I5" s="15">
        <v>114.8</v>
      </c>
      <c r="J5" s="15"/>
      <c r="K5" s="15"/>
      <c r="L5" s="15"/>
      <c r="M5" s="15"/>
      <c r="N5" s="15"/>
      <c r="O5" s="15"/>
      <c r="P5" s="15">
        <v>4</v>
      </c>
      <c r="R5" t="s">
        <v>12</v>
      </c>
      <c r="S5">
        <f t="shared" si="0"/>
        <v>0.66666666666666663</v>
      </c>
      <c r="T5">
        <f t="shared" si="1"/>
        <v>0.55555555555555558</v>
      </c>
      <c r="U5">
        <f t="shared" si="2"/>
        <v>0.66666666666666663</v>
      </c>
      <c r="V5">
        <f t="shared" si="3"/>
        <v>0.88888888888888884</v>
      </c>
      <c r="W5">
        <f t="shared" si="4"/>
        <v>0.1111111111111111</v>
      </c>
      <c r="X5">
        <f t="shared" si="5"/>
        <v>0.33333333333333331</v>
      </c>
      <c r="Y5">
        <f t="shared" si="6"/>
        <v>0.66666666666666663</v>
      </c>
      <c r="Z5">
        <f t="shared" si="6"/>
        <v>0</v>
      </c>
      <c r="AA5">
        <f t="shared" si="6"/>
        <v>0</v>
      </c>
      <c r="AB5">
        <f t="shared" si="6"/>
        <v>0</v>
      </c>
      <c r="AC5">
        <f t="shared" si="6"/>
        <v>0</v>
      </c>
      <c r="AD5">
        <f t="shared" si="6"/>
        <v>0</v>
      </c>
      <c r="AE5">
        <f t="shared" si="6"/>
        <v>0</v>
      </c>
      <c r="AF5">
        <f t="shared" si="7"/>
        <v>3.8888888888888888</v>
      </c>
      <c r="AG5">
        <f t="shared" si="8"/>
        <v>0.10473900138215693</v>
      </c>
    </row>
    <row r="6" spans="1:33" x14ac:dyDescent="0.25">
      <c r="B6" t="s">
        <v>13</v>
      </c>
      <c r="C6" s="15">
        <v>100.2</v>
      </c>
      <c r="D6" s="15">
        <v>95.2</v>
      </c>
      <c r="E6" s="15">
        <v>145.69999999999999</v>
      </c>
      <c r="F6" s="15">
        <v>96.5</v>
      </c>
      <c r="G6" s="15">
        <v>117.2</v>
      </c>
      <c r="H6" s="15">
        <v>111</v>
      </c>
      <c r="I6" s="15">
        <v>72.3</v>
      </c>
      <c r="J6" s="15"/>
      <c r="K6" s="15"/>
      <c r="L6" s="15"/>
      <c r="M6" s="15"/>
      <c r="N6" s="15"/>
      <c r="O6" s="15"/>
      <c r="P6" s="15">
        <v>4</v>
      </c>
      <c r="R6" t="s">
        <v>13</v>
      </c>
      <c r="S6">
        <f t="shared" si="0"/>
        <v>0.77777777777777779</v>
      </c>
      <c r="T6">
        <f t="shared" si="1"/>
        <v>0.33333333333333331</v>
      </c>
      <c r="U6">
        <f t="shared" si="2"/>
        <v>1</v>
      </c>
      <c r="V6">
        <f t="shared" si="3"/>
        <v>0.44444444444444442</v>
      </c>
      <c r="W6">
        <f t="shared" si="4"/>
        <v>1</v>
      </c>
      <c r="X6">
        <f t="shared" si="5"/>
        <v>0.66666666666666663</v>
      </c>
      <c r="Y6">
        <f t="shared" si="6"/>
        <v>0</v>
      </c>
      <c r="Z6">
        <f t="shared" si="6"/>
        <v>0</v>
      </c>
      <c r="AA6">
        <f t="shared" si="6"/>
        <v>0</v>
      </c>
      <c r="AB6">
        <f t="shared" si="6"/>
        <v>0</v>
      </c>
      <c r="AC6">
        <f t="shared" si="6"/>
        <v>0</v>
      </c>
      <c r="AD6">
        <f t="shared" si="6"/>
        <v>0</v>
      </c>
      <c r="AE6">
        <f t="shared" si="6"/>
        <v>0</v>
      </c>
      <c r="AF6">
        <f t="shared" si="7"/>
        <v>4.2222222222222223</v>
      </c>
      <c r="AG6">
        <f t="shared" si="8"/>
        <v>-0.20947800276431386</v>
      </c>
    </row>
    <row r="7" spans="1:33" x14ac:dyDescent="0.25">
      <c r="B7" t="s">
        <v>14</v>
      </c>
      <c r="C7" s="15">
        <v>96.2</v>
      </c>
      <c r="D7" s="15">
        <v>97.9</v>
      </c>
      <c r="E7" s="15">
        <v>86</v>
      </c>
      <c r="F7" s="15">
        <v>99.4</v>
      </c>
      <c r="G7" s="15">
        <v>87.4</v>
      </c>
      <c r="H7" s="15">
        <v>71</v>
      </c>
      <c r="I7" s="15">
        <v>108.4</v>
      </c>
      <c r="J7" s="15"/>
      <c r="K7" s="15"/>
      <c r="L7" s="15"/>
      <c r="M7" s="15"/>
      <c r="N7" s="15"/>
      <c r="O7" s="15"/>
      <c r="P7" s="15">
        <v>2</v>
      </c>
      <c r="R7" t="s">
        <v>14</v>
      </c>
      <c r="S7">
        <f t="shared" si="0"/>
        <v>0.55555555555555558</v>
      </c>
      <c r="T7">
        <f t="shared" si="1"/>
        <v>0.66666666666666663</v>
      </c>
      <c r="U7">
        <f t="shared" si="2"/>
        <v>0.22222222222222221</v>
      </c>
      <c r="V7">
        <f t="shared" si="3"/>
        <v>0.55555555555555558</v>
      </c>
      <c r="W7">
        <f t="shared" si="4"/>
        <v>0.22222222222222221</v>
      </c>
      <c r="X7">
        <f t="shared" si="5"/>
        <v>0.1111111111111111</v>
      </c>
      <c r="Y7">
        <f t="shared" si="6"/>
        <v>0.44444444444444442</v>
      </c>
      <c r="Z7">
        <f t="shared" si="6"/>
        <v>0</v>
      </c>
      <c r="AA7">
        <f t="shared" si="6"/>
        <v>0</v>
      </c>
      <c r="AB7">
        <f t="shared" si="6"/>
        <v>0</v>
      </c>
      <c r="AC7">
        <f t="shared" si="6"/>
        <v>0</v>
      </c>
      <c r="AD7">
        <f t="shared" si="6"/>
        <v>0</v>
      </c>
      <c r="AE7">
        <f t="shared" si="6"/>
        <v>0</v>
      </c>
      <c r="AF7">
        <f t="shared" si="7"/>
        <v>2.7777777777777777</v>
      </c>
      <c r="AG7">
        <f t="shared" si="8"/>
        <v>-0.73317300967509813</v>
      </c>
    </row>
    <row r="8" spans="1:33" x14ac:dyDescent="0.25">
      <c r="B8" t="s">
        <v>15</v>
      </c>
      <c r="C8" s="15">
        <v>108.8</v>
      </c>
      <c r="D8" s="15">
        <v>93.4</v>
      </c>
      <c r="E8" s="15">
        <v>74.400000000000006</v>
      </c>
      <c r="F8" s="15">
        <v>87.1</v>
      </c>
      <c r="G8" s="15">
        <v>108.9</v>
      </c>
      <c r="H8" s="15">
        <v>98.5</v>
      </c>
      <c r="I8" s="15">
        <v>77.2</v>
      </c>
      <c r="J8" s="15"/>
      <c r="K8" s="15"/>
      <c r="L8" s="15"/>
      <c r="M8" s="15"/>
      <c r="N8" s="15"/>
      <c r="O8" s="15"/>
      <c r="P8" s="15">
        <v>4</v>
      </c>
      <c r="R8" t="s">
        <v>15</v>
      </c>
      <c r="S8">
        <f t="shared" si="0"/>
        <v>0.88888888888888884</v>
      </c>
      <c r="T8">
        <f t="shared" si="1"/>
        <v>0.22222222222222221</v>
      </c>
      <c r="U8">
        <f t="shared" si="2"/>
        <v>0.1111111111111111</v>
      </c>
      <c r="V8">
        <f t="shared" si="3"/>
        <v>0.22222222222222221</v>
      </c>
      <c r="W8">
        <f t="shared" si="4"/>
        <v>0.66666666666666663</v>
      </c>
      <c r="X8">
        <f t="shared" si="5"/>
        <v>0.55555555555555558</v>
      </c>
      <c r="Y8">
        <f t="shared" si="6"/>
        <v>0.22222222222222221</v>
      </c>
      <c r="Z8">
        <f t="shared" si="6"/>
        <v>0</v>
      </c>
      <c r="AA8">
        <f t="shared" si="6"/>
        <v>0</v>
      </c>
      <c r="AB8">
        <f t="shared" si="6"/>
        <v>0</v>
      </c>
      <c r="AC8">
        <f t="shared" si="6"/>
        <v>0</v>
      </c>
      <c r="AD8">
        <f t="shared" si="6"/>
        <v>0</v>
      </c>
      <c r="AE8">
        <f t="shared" si="6"/>
        <v>0</v>
      </c>
      <c r="AF8">
        <f t="shared" si="7"/>
        <v>2.8888888888888893</v>
      </c>
      <c r="AG8">
        <f t="shared" si="8"/>
        <v>1.0473900138215684</v>
      </c>
    </row>
    <row r="9" spans="1:33" x14ac:dyDescent="0.25">
      <c r="B9" t="s">
        <v>16</v>
      </c>
      <c r="C9" s="15">
        <v>90.4</v>
      </c>
      <c r="D9" s="15">
        <v>103.6</v>
      </c>
      <c r="E9" s="15">
        <v>127.7</v>
      </c>
      <c r="F9" s="15">
        <v>73.599999999999994</v>
      </c>
      <c r="G9" s="15">
        <v>110.2</v>
      </c>
      <c r="H9" s="15">
        <v>127</v>
      </c>
      <c r="I9" s="15">
        <v>74.7</v>
      </c>
      <c r="J9" s="15"/>
      <c r="K9" s="15"/>
      <c r="L9" s="15"/>
      <c r="M9" s="15"/>
      <c r="N9" s="15"/>
      <c r="O9" s="15"/>
      <c r="P9" s="15">
        <v>3</v>
      </c>
      <c r="R9" t="s">
        <v>16</v>
      </c>
      <c r="S9">
        <f t="shared" si="0"/>
        <v>0.44444444444444442</v>
      </c>
      <c r="T9">
        <f t="shared" si="1"/>
        <v>0.77777777777777779</v>
      </c>
      <c r="U9">
        <f t="shared" si="2"/>
        <v>0.77777777777777779</v>
      </c>
      <c r="V9">
        <f t="shared" si="3"/>
        <v>0</v>
      </c>
      <c r="W9">
        <f t="shared" si="4"/>
        <v>0.88888888888888884</v>
      </c>
      <c r="X9">
        <f t="shared" si="5"/>
        <v>0.88888888888888884</v>
      </c>
      <c r="Y9">
        <f t="shared" si="6"/>
        <v>0.1111111111111111</v>
      </c>
      <c r="Z9">
        <f t="shared" si="6"/>
        <v>0</v>
      </c>
      <c r="AA9">
        <f t="shared" si="6"/>
        <v>0</v>
      </c>
      <c r="AB9">
        <f t="shared" si="6"/>
        <v>0</v>
      </c>
      <c r="AC9">
        <f t="shared" si="6"/>
        <v>0</v>
      </c>
      <c r="AD9">
        <f t="shared" si="6"/>
        <v>0</v>
      </c>
      <c r="AE9">
        <f t="shared" si="6"/>
        <v>0</v>
      </c>
      <c r="AF9">
        <f t="shared" si="7"/>
        <v>3.8888888888888888</v>
      </c>
      <c r="AG9">
        <f t="shared" si="8"/>
        <v>-0.83791201105725499</v>
      </c>
    </row>
    <row r="10" spans="1:33" x14ac:dyDescent="0.25">
      <c r="B10" t="s">
        <v>17</v>
      </c>
      <c r="C10" s="15">
        <v>83.9</v>
      </c>
      <c r="D10" s="15">
        <v>90.6</v>
      </c>
      <c r="E10" s="15">
        <v>97.3</v>
      </c>
      <c r="F10" s="15">
        <v>114</v>
      </c>
      <c r="G10" s="15">
        <v>102.1</v>
      </c>
      <c r="H10" s="15">
        <v>133.19999999999999</v>
      </c>
      <c r="I10" s="15">
        <v>129</v>
      </c>
      <c r="J10" s="15"/>
      <c r="K10" s="15"/>
      <c r="L10" s="15"/>
      <c r="M10" s="15"/>
      <c r="N10" s="15"/>
      <c r="O10" s="15"/>
      <c r="P10" s="15">
        <v>3</v>
      </c>
      <c r="R10" t="s">
        <v>17</v>
      </c>
      <c r="S10">
        <f t="shared" si="0"/>
        <v>0.1111111111111111</v>
      </c>
      <c r="T10">
        <f t="shared" si="1"/>
        <v>0.1111111111111111</v>
      </c>
      <c r="U10">
        <f t="shared" si="2"/>
        <v>0.33333333333333331</v>
      </c>
      <c r="V10">
        <f t="shared" si="3"/>
        <v>0.77777777777777779</v>
      </c>
      <c r="W10">
        <f t="shared" si="4"/>
        <v>0.44444444444444442</v>
      </c>
      <c r="X10">
        <f t="shared" si="5"/>
        <v>1</v>
      </c>
      <c r="Y10">
        <f t="shared" si="6"/>
        <v>0.88888888888888884</v>
      </c>
      <c r="Z10">
        <f t="shared" si="6"/>
        <v>0</v>
      </c>
      <c r="AA10">
        <f t="shared" si="6"/>
        <v>0</v>
      </c>
      <c r="AB10">
        <f t="shared" si="6"/>
        <v>0</v>
      </c>
      <c r="AC10">
        <f t="shared" si="6"/>
        <v>0</v>
      </c>
      <c r="AD10">
        <f t="shared" si="6"/>
        <v>0</v>
      </c>
      <c r="AE10">
        <f t="shared" si="6"/>
        <v>0</v>
      </c>
      <c r="AF10">
        <f t="shared" si="7"/>
        <v>3.6666666666666665</v>
      </c>
      <c r="AG10">
        <f t="shared" si="8"/>
        <v>-0.62843400829294116</v>
      </c>
    </row>
    <row r="11" spans="1:33" x14ac:dyDescent="0.25">
      <c r="B11" t="s">
        <v>18</v>
      </c>
      <c r="C11" s="15">
        <v>56.3</v>
      </c>
      <c r="D11" s="15">
        <v>96</v>
      </c>
      <c r="E11" s="15">
        <v>67.5</v>
      </c>
      <c r="F11" s="15">
        <v>76.400000000000006</v>
      </c>
      <c r="G11" s="15">
        <v>74.099999999999994</v>
      </c>
      <c r="H11" s="15">
        <v>95.3</v>
      </c>
      <c r="I11" s="15">
        <v>127</v>
      </c>
      <c r="J11" s="15"/>
      <c r="K11" s="15"/>
      <c r="L11" s="15"/>
      <c r="M11" s="15"/>
      <c r="N11" s="15"/>
      <c r="O11" s="15"/>
      <c r="P11" s="15">
        <v>3</v>
      </c>
      <c r="R11" t="s">
        <v>18</v>
      </c>
      <c r="S11">
        <f t="shared" si="0"/>
        <v>0</v>
      </c>
      <c r="T11">
        <f t="shared" si="1"/>
        <v>0.44444444444444442</v>
      </c>
      <c r="U11">
        <f t="shared" si="2"/>
        <v>0</v>
      </c>
      <c r="V11">
        <f t="shared" si="3"/>
        <v>0.1111111111111111</v>
      </c>
      <c r="W11">
        <f t="shared" si="4"/>
        <v>0</v>
      </c>
      <c r="X11">
        <f t="shared" si="5"/>
        <v>0.44444444444444442</v>
      </c>
      <c r="Y11">
        <f t="shared" si="6"/>
        <v>0.77777777777777779</v>
      </c>
      <c r="Z11">
        <f t="shared" si="6"/>
        <v>0</v>
      </c>
      <c r="AA11">
        <f t="shared" si="6"/>
        <v>0</v>
      </c>
      <c r="AB11">
        <f t="shared" si="6"/>
        <v>0</v>
      </c>
      <c r="AC11">
        <f t="shared" si="6"/>
        <v>0</v>
      </c>
      <c r="AD11">
        <f t="shared" si="6"/>
        <v>0</v>
      </c>
      <c r="AE11">
        <f t="shared" si="6"/>
        <v>0</v>
      </c>
      <c r="AF11">
        <f t="shared" si="7"/>
        <v>1.7777777777777777</v>
      </c>
      <c r="AG11">
        <f t="shared" si="8"/>
        <v>1.1521290152037258</v>
      </c>
    </row>
    <row r="12" spans="1:33" x14ac:dyDescent="0.25">
      <c r="B12" t="s">
        <v>19</v>
      </c>
      <c r="C12" s="15">
        <v>87.5</v>
      </c>
      <c r="D12" s="15">
        <v>86.7</v>
      </c>
      <c r="E12" s="15">
        <v>106.4</v>
      </c>
      <c r="F12" s="15">
        <v>87.1</v>
      </c>
      <c r="G12" s="15">
        <v>109.9</v>
      </c>
      <c r="H12" s="15">
        <v>55.3</v>
      </c>
      <c r="I12" s="15">
        <v>113.5</v>
      </c>
      <c r="J12" s="15"/>
      <c r="K12" s="15"/>
      <c r="L12" s="15"/>
      <c r="M12" s="15"/>
      <c r="N12" s="15"/>
      <c r="O12" s="15"/>
      <c r="P12" s="15">
        <v>2</v>
      </c>
      <c r="R12" t="s">
        <v>19</v>
      </c>
      <c r="S12">
        <f t="shared" si="0"/>
        <v>0.33333333333333331</v>
      </c>
      <c r="T12">
        <f t="shared" si="1"/>
        <v>0</v>
      </c>
      <c r="U12">
        <f t="shared" si="2"/>
        <v>0.55555555555555558</v>
      </c>
      <c r="V12">
        <f t="shared" si="3"/>
        <v>0.22222222222222221</v>
      </c>
      <c r="W12">
        <f t="shared" si="4"/>
        <v>0.77777777777777779</v>
      </c>
      <c r="X12">
        <f t="shared" si="5"/>
        <v>0</v>
      </c>
      <c r="Y12">
        <f t="shared" si="6"/>
        <v>0.55555555555555558</v>
      </c>
      <c r="Z12">
        <f t="shared" si="6"/>
        <v>0</v>
      </c>
      <c r="AA12">
        <f t="shared" si="6"/>
        <v>0</v>
      </c>
      <c r="AB12">
        <f t="shared" si="6"/>
        <v>0</v>
      </c>
      <c r="AC12">
        <f t="shared" si="6"/>
        <v>0</v>
      </c>
      <c r="AD12">
        <f t="shared" si="6"/>
        <v>0</v>
      </c>
      <c r="AE12">
        <f t="shared" si="6"/>
        <v>0</v>
      </c>
      <c r="AF12">
        <f t="shared" si="7"/>
        <v>2.4444444444444446</v>
      </c>
      <c r="AG12">
        <f>(P12-AF12)/_xlfn.STDEV.S(AF$3:AF$12)</f>
        <v>-0.41895600552862772</v>
      </c>
    </row>
    <row r="13" spans="1:33" x14ac:dyDescent="0.25">
      <c r="A13" t="s">
        <v>7</v>
      </c>
      <c r="C13" t="s">
        <v>30</v>
      </c>
      <c r="D13" t="s">
        <v>25</v>
      </c>
      <c r="E13">
        <v>3</v>
      </c>
      <c r="F13">
        <v>4</v>
      </c>
      <c r="G13">
        <v>5</v>
      </c>
      <c r="H13">
        <v>6</v>
      </c>
      <c r="I13">
        <v>7</v>
      </c>
      <c r="J13">
        <v>8</v>
      </c>
      <c r="K13">
        <v>9</v>
      </c>
      <c r="L13">
        <v>10</v>
      </c>
      <c r="M13">
        <v>11</v>
      </c>
      <c r="N13">
        <v>12</v>
      </c>
      <c r="O13">
        <v>13</v>
      </c>
      <c r="P13">
        <f>SUM(P3:P12)</f>
        <v>35</v>
      </c>
    </row>
    <row r="14" spans="1:33" x14ac:dyDescent="0.25">
      <c r="A14">
        <f>RANK(C14,$C$14:$C$23,FALSE)</f>
        <v>1</v>
      </c>
      <c r="B14" t="s">
        <v>10</v>
      </c>
      <c r="C14">
        <f>INDEX(E$14:L$23,1,E$1-2)</f>
        <v>108.43515641243737</v>
      </c>
      <c r="D14">
        <f>INDEX(E$14:L$23,1,E$1-3)</f>
        <v>103.11139337381189</v>
      </c>
      <c r="E14">
        <f>(E3+D3/2+C3/3)/(1+1/2+1/3)-STDEV($C3:E3)/AVERAGE($C3:E3)*AVERAGE($C$3:E$12)</f>
        <v>101.25144846627126</v>
      </c>
      <c r="F14">
        <f>(F3+E3/2+D3/3+C3/4)/(1+1/2+1/3+1/4)-STDEV($C3:F3)/AVERAGE($C3:F3)*AVERAGE($C$3:F$12)</f>
        <v>107.63787784209615</v>
      </c>
      <c r="G14">
        <f>(G3+F3/2+E3/3+D3/4+C3/5)/(1+1/2+1/3+1/4+1/5)-STDEV($C3:G3)/AVERAGE($C3:G3)*AVERAGE($C$3:G$12)</f>
        <v>95.092655987025068</v>
      </c>
      <c r="H14">
        <f>(H3+G3/2+F3/3+E3/4+D3/5+C3/6)/(1+1/2+1/3+1/4+1/5+1/6)-STDEV($C3:H3)/AVERAGE($C3:H3)*AVERAGE($C$3:H$12)</f>
        <v>103.11139337381189</v>
      </c>
      <c r="I14">
        <f>(I3+H3/2+G3/3+F3/4+E3/5+D3/6+C3/7)/(1+1/2+1/3+1/4+1/5+1/6+1/7)-STDEV($C3:I3)/AVERAGE($C3:I3)*AVERAGE($C$3:I$12)</f>
        <v>108.43515641243737</v>
      </c>
      <c r="J14">
        <f>(J3+I3/2+H3/3+G3/4+F3/5+E3/6+D3/7+C3/8)/(1+1/2+1/3+1/4+1/5+1/6+1/7+1/8)-STDEV($C3:J3)/AVERAGE($C3:J3)*AVERAGE($C$3:J$12)</f>
        <v>63.234511810884854</v>
      </c>
      <c r="K14">
        <f>(K3+J3/2+I3/3+H3/4+G3/5+F3/6+E3/7+D3/8+C3/9)/(1+1/2+1/3+1/4+1/5+1/6+1/7+1/8+1/9)-STDEV($C3:K3)/AVERAGE($C3:K3)*AVERAGE($C$3:K$12)</f>
        <v>43.761138661894762</v>
      </c>
      <c r="L14">
        <f>(L3+K3/2+J3/3+I3/4+H3/5+G3/6+F3/7+E3/8+D3/9+C3/10)/(1+1/2+1/3+1/4+1/5+1/6+1/7+1/8+1/9+1/10)-STDEV($C3:L3)/AVERAGE($C3:L3)*AVERAGE($C$3:L$12)</f>
        <v>32.415871160514229</v>
      </c>
      <c r="M14">
        <f>(M3+L3/2+K3/3+J3/4+I3/5+H3/6+G3/7+F3/8+E3/9+D3/10+C3/11)/(1+1/2+1/3+1/4+1/5+1/6+1/7+1/8+1/9+1/10+1/11)-STDEV($C3:M3)/AVERAGE($C3:M3)*AVERAGE($C$3:M$12)</f>
        <v>24.890783416090944</v>
      </c>
      <c r="N14">
        <f>(N3+M3/2+L3/3+K3/4+J3/5+I3/6+H3/7+G3/8+F3/9+E3/10+D3/11+C3/12)/(1+1/2+1/3+1/4+1/5+1/6+1/7+1/8+1/9+1/10+1/11+1/12)-STDEV($C3:N3)/AVERAGE($C3:N3)*AVERAGE($C$3:N$12)</f>
        <v>19.512304043193438</v>
      </c>
      <c r="O14">
        <f>(O3+N3/2+M3/3+L3/4+K3/5+J3/6+I3/7+H3/8+G3/9+F3/10+E3/11+D3/12+C3/13)/(1+1/2+1/3+1/4+1/5+1/6+1/7+1/8+1/9+1/10+1/11+1/12+1/13)-STDEV($C3:O3)/AVERAGE($C3:O3)*AVERAGE($C$3:O$12)</f>
        <v>15.472646347714086</v>
      </c>
      <c r="P14">
        <f t="shared" ref="P14:P23" si="9">RANK(D14,$D$14:$D$23,FALSE)</f>
        <v>1</v>
      </c>
      <c r="Q14" t="s">
        <v>32</v>
      </c>
      <c r="AF14">
        <f>SUM(AF3:AF12)</f>
        <v>34.888888888888893</v>
      </c>
      <c r="AG14">
        <f>SUM(AG3:AG12)</f>
        <v>0.10473900138215558</v>
      </c>
    </row>
    <row r="15" spans="1:33" x14ac:dyDescent="0.25">
      <c r="A15">
        <f t="shared" ref="A15:A23" si="10">RANK(C15,$C$14:$C$23,FALSE)</f>
        <v>6</v>
      </c>
      <c r="B15" t="s">
        <v>11</v>
      </c>
      <c r="C15">
        <f>INDEX(E$14:L$23,2,E$1-2)</f>
        <v>74.866235534338728</v>
      </c>
      <c r="D15">
        <f>INDEX(E$14:L$23,2,E$1-3)</f>
        <v>77.702629548358729</v>
      </c>
      <c r="E15">
        <f>(E4+D4/2+C4/3)/(1+1/2+1/3)-STDEV($C4:E4)/AVERAGE($C4:E4)*AVERAGE($C$3:E$12)</f>
        <v>98.29688961992133</v>
      </c>
      <c r="F15">
        <f>(F4+E4/2+D4/3+C4/4)/(1+1/2+1/3+1/4)-STDEV($C4:F4)/AVERAGE($C4:F4)*AVERAGE($C$3:F$12)</f>
        <v>95.545835821780315</v>
      </c>
      <c r="G15">
        <f>(G4+F4/2+E4/3+D4/4+C4/5)/(1+1/2+1/3+1/4+1/5)-STDEV($C4:G4)/AVERAGE($C4:G4)*AVERAGE($C$3:G$12)</f>
        <v>93.423875844542437</v>
      </c>
      <c r="H15">
        <f>(H4+G4/2+F4/3+E4/4+D4/5+C4/6)/(1+1/2+1/3+1/4+1/5+1/6)-STDEV($C4:H4)/AVERAGE($C4:H4)*AVERAGE($C$3:H$12)</f>
        <v>77.702629548358729</v>
      </c>
      <c r="I15">
        <f>(I4+H4/2+G4/3+F4/4+E4/5+D4/6+C4/7)/(1+1/2+1/3+1/4+1/5+1/6+1/7)-STDEV($C4:I4)/AVERAGE($C4:I4)*AVERAGE($C$3:I$12)</f>
        <v>74.866235534338728</v>
      </c>
      <c r="J15">
        <f>(J4+I4/2+H4/3+G4/4+F4/5+E4/6+D4/7+C4/8)/(1+1/2+1/3+1/4+1/5+1/6+1/7+1/8)-STDEV($C4:J4)/AVERAGE($C4:J4)*AVERAGE($C$3:J$12)</f>
        <v>41.383447554190823</v>
      </c>
      <c r="K15">
        <f>(K4+J4/2+I4/3+H4/4+G4/5+F4/6+E4/7+D4/8+C4/9)/(1+1/2+1/3+1/4+1/5+1/6+1/7+1/8+1/9)-STDEV($C4:K4)/AVERAGE($C4:K4)*AVERAGE($C$3:K$12)</f>
        <v>26.136124518416874</v>
      </c>
      <c r="L15">
        <f>(L4+K4/2+J4/3+I4/4+H4/5+G4/6+F4/7+E4/8+D4/9+C4/10)/(1+1/2+1/3+1/4+1/5+1/6+1/7+1/8+1/9+1/10)-STDEV($C4:L4)/AVERAGE($C4:L4)*AVERAGE($C$3:L$12)</f>
        <v>16.97224646330049</v>
      </c>
      <c r="M15">
        <f>(M4+L4/2+K4/3+J4/4+I4/5+H4/6+G4/7+F4/8+E4/9+D4/10+C4/11)/(1+1/2+1/3+1/4+1/5+1/6+1/7+1/8+1/9+1/10+1/11)-STDEV($C4:M4)/AVERAGE($C4:M4)*AVERAGE($C$3:M$12)</f>
        <v>10.772833404691124</v>
      </c>
      <c r="N15">
        <f>(N4+M4/2+L4/3+K4/4+J4/5+I4/6+H4/7+G4/8+F4/9+E4/10+D4/11+C4/12)/(1+1/2+1/3+1/4+1/5+1/6+1/7+1/8+1/9+1/10+1/11+1/12)-STDEV($C4:N4)/AVERAGE($C4:N4)*AVERAGE($C$3:N$12)</f>
        <v>6.2813423714385053</v>
      </c>
      <c r="O15">
        <f>(O4+N4/2+M4/3+L4/4+K4/5+J4/6+I4/7+H4/8+G4/9+F4/10+E4/11+D4/12+C4/13)/(1+1/2+1/3+1/4+1/5+1/6+1/7+1/8+1/9+1/10+1/11+1/12+1/13)-STDEV($C4:O4)/AVERAGE($C4:O4)*AVERAGE($C$3:O$12)</f>
        <v>2.874459196222503</v>
      </c>
      <c r="P15">
        <f t="shared" si="9"/>
        <v>7</v>
      </c>
    </row>
    <row r="16" spans="1:33" x14ac:dyDescent="0.25">
      <c r="A16">
        <f t="shared" si="10"/>
        <v>3</v>
      </c>
      <c r="B16" t="s">
        <v>12</v>
      </c>
      <c r="C16">
        <f>INDEX(E$14:L$23,3,E$1-2)</f>
        <v>90.776234694752887</v>
      </c>
      <c r="D16">
        <f>INDEX(E$14:L$23,3,E$1-3)</f>
        <v>82.344432296699821</v>
      </c>
      <c r="E16">
        <f>(E5+D5/2+C5/3)/(1+1/2+1/3)-STDEV($C5:E5)/AVERAGE($C5:E5)*AVERAGE($C$3:E$12)</f>
        <v>96.786258642855643</v>
      </c>
      <c r="F16">
        <f>(F5+E5/2+D5/3+C5/4)/(1+1/2+1/3+1/4)-STDEV($C5:F5)/AVERAGE($C5:F5)*AVERAGE($C$3:F$12)</f>
        <v>99.066843185260311</v>
      </c>
      <c r="G16">
        <f>(G5+F5/2+E5/3+D5/4+C5/5)/(1+1/2+1/3+1/4+1/5)-STDEV($C5:G5)/AVERAGE($C5:G5)*AVERAGE($C$3:G$12)</f>
        <v>85.189861194465777</v>
      </c>
      <c r="H16">
        <f>(H5+G5/2+F5/3+E5/4+D5/5+C5/6)/(1+1/2+1/3+1/4+1/5+1/6)-STDEV($C5:H5)/AVERAGE($C5:H5)*AVERAGE($C$3:H$12)</f>
        <v>82.344432296699821</v>
      </c>
      <c r="I16">
        <f>(I5+H5/2+G5/3+F5/4+E5/5+D5/6+C5/7)/(1+1/2+1/3+1/4+1/5+1/6+1/7)-STDEV($C5:I5)/AVERAGE($C5:I5)*AVERAGE($C$3:I$12)</f>
        <v>90.776234694752887</v>
      </c>
      <c r="J16">
        <f>(J5+I5/2+H5/3+G5/4+F5/5+E5/6+D5/7+C5/8)/(1+1/2+1/3+1/4+1/5+1/6+1/7+1/8)-STDEV($C5:J5)/AVERAGE($C5:J5)*AVERAGE($C$3:J$12)</f>
        <v>51.571940287292762</v>
      </c>
      <c r="K16">
        <f>(K5+J5/2+I5/3+H5/4+G5/5+F5/6+E5/7+D5/8+C5/9)/(1+1/2+1/3+1/4+1/5+1/6+1/7+1/8+1/9)-STDEV($C5:K5)/AVERAGE($C5:K5)*AVERAGE($C$3:K$12)</f>
        <v>34.581304585437216</v>
      </c>
      <c r="L16">
        <f>(L5+K5/2+J5/3+I5/4+H5/5+G5/6+F5/7+E5/8+D5/9+C5/10)/(1+1/2+1/3+1/4+1/5+1/6+1/7+1/8+1/9+1/10)-STDEV($C5:L5)/AVERAGE($C5:L5)*AVERAGE($C$3:L$12)</f>
        <v>24.626029212207591</v>
      </c>
      <c r="M16">
        <f>(M5+L5/2+K5/3+J5/4+I5/5+H5/6+G5/7+F5/8+E5/9+D5/10+C5/11)/(1+1/2+1/3+1/4+1/5+1/6+1/7+1/8+1/9+1/10+1/11)-STDEV($C5:M5)/AVERAGE($C5:M5)*AVERAGE($C$3:M$12)</f>
        <v>17.99380189014073</v>
      </c>
      <c r="N16">
        <f>(N5+M5/2+L5/3+K5/4+J5/5+I5/6+H5/7+G5/8+F5/9+E5/10+D5/11+C5/12)/(1+1/2+1/3+1/4+1/5+1/6+1/7+1/8+1/9+1/10+1/11+1/12)-STDEV($C5:N5)/AVERAGE($C5:N5)*AVERAGE($C$3:N$12)</f>
        <v>13.237579907945252</v>
      </c>
      <c r="O16">
        <f>(O5+N5/2+M5/3+L5/4+K5/5+J5/6+I5/7+H5/8+G5/9+F5/10+E5/11+D5/12+C5/13)/(1+1/2+1/3+1/4+1/5+1/6+1/7+1/8+1/9+1/10+1/11+1/12+1/13)-STDEV($C5:O5)/AVERAGE($C5:O5)*AVERAGE($C$3:O$12)</f>
        <v>9.65601406921955</v>
      </c>
      <c r="P16">
        <f t="shared" si="9"/>
        <v>6</v>
      </c>
    </row>
    <row r="17" spans="1:16" x14ac:dyDescent="0.25">
      <c r="A17">
        <f t="shared" si="10"/>
        <v>5</v>
      </c>
      <c r="B17" t="s">
        <v>13</v>
      </c>
      <c r="C17">
        <f>INDEX(E$14:L$23,4,E$1-2)</f>
        <v>75.071780416606259</v>
      </c>
      <c r="D17">
        <f>INDEX(E$14:L$23,4,E$1-3)</f>
        <v>94.80140044530512</v>
      </c>
      <c r="E17">
        <f>(E6+D6/2+C6/3)/(1+1/2+1/3)-STDEV($C6:E6)/AVERAGE($C6:E6)*AVERAGE($C$3:E$12)</f>
        <v>99.341015645451961</v>
      </c>
      <c r="F17">
        <f>(F6+E6/2+D6/3+C6/4)/(1+1/2+1/3+1/4)-STDEV($C6:F6)/AVERAGE($C6:F6)*AVERAGE($C$3:F$12)</f>
        <v>86.561931443849318</v>
      </c>
      <c r="G17">
        <f>(G6+F6/2+E6/3+D6/4+C6/5)/(1+1/2+1/3+1/4+1/5)-STDEV($C6:G6)/AVERAGE($C6:G6)*AVERAGE($C$3:G$12)</f>
        <v>93.884102960667917</v>
      </c>
      <c r="H17">
        <f>(H6+G6/2+F6/3+E6/4+D6/5+C6/6)/(1+1/2+1/3+1/4+1/5+1/6)-STDEV($C6:H6)/AVERAGE($C6:H6)*AVERAGE($C$3:H$12)</f>
        <v>94.80140044530512</v>
      </c>
      <c r="I17">
        <f>(I6+H6/2+G6/3+F6/4+E6/5+D6/6+C6/7)/(1+1/2+1/3+1/4+1/5+1/6+1/7)-STDEV($C6:I6)/AVERAGE($C6:I6)*AVERAGE($C$3:I$12)</f>
        <v>75.071780416606259</v>
      </c>
      <c r="J17">
        <f>(J6+I6/2+H6/3+G6/4+F6/5+E6/6+D6/7+C6/8)/(1+1/2+1/3+1/4+1/5+1/6+1/7+1/8)-STDEV($C6:J6)/AVERAGE($C6:J6)*AVERAGE($C$3:J$12)</f>
        <v>41.87588610133551</v>
      </c>
      <c r="K17">
        <f>(K6+J6/2+I6/3+H6/4+G6/5+F6/6+E6/7+D6/8+C6/9)/(1+1/2+1/3+1/4+1/5+1/6+1/7+1/8+1/9)-STDEV($C6:K6)/AVERAGE($C6:K6)*AVERAGE($C$3:K$12)</f>
        <v>26.331159746574336</v>
      </c>
      <c r="L17">
        <f>(L6+K6/2+J6/3+I6/4+H6/5+G6/6+F6/7+E6/8+D6/9+C6/10)/(1+1/2+1/3+1/4+1/5+1/6+1/7+1/8+1/9+1/10)-STDEV($C6:L6)/AVERAGE($C6:L6)*AVERAGE($C$3:L$12)</f>
        <v>16.909242970611274</v>
      </c>
      <c r="M17">
        <f>(M6+L6/2+K6/3+J6/4+I6/5+H6/6+G6/7+F6/8+E6/9+D6/10+C6/11)/(1+1/2+1/3+1/4+1/5+1/6+1/7+1/8+1/9+1/10+1/11)-STDEV($C6:M6)/AVERAGE($C6:M6)*AVERAGE($C$3:M$12)</f>
        <v>10.515014649860031</v>
      </c>
      <c r="N17">
        <f>(N6+M6/2+L6/3+K6/4+J6/5+I6/6+H6/7+G6/8+F6/9+E6/10+D6/11+C6/12)/(1+1/2+1/3+1/4+1/5+1/6+1/7+1/8+1/9+1/10+1/11+1/12)-STDEV($C6:N6)/AVERAGE($C6:N6)*AVERAGE($C$3:N$12)</f>
        <v>5.8763873500424957</v>
      </c>
      <c r="O17">
        <f>(O6+N6/2+M6/3+L6/4+K6/5+J6/6+I6/7+H6/8+G6/9+F6/10+E6/11+D6/12+C6/13)/(1+1/2+1/3+1/4+1/5+1/6+1/7+1/8+1/9+1/10+1/11+1/12+1/13)-STDEV($C6:O6)/AVERAGE($C6:O6)*AVERAGE($C$3:O$12)</f>
        <v>2.3560906652108216</v>
      </c>
      <c r="P17">
        <f t="shared" si="9"/>
        <v>3</v>
      </c>
    </row>
    <row r="18" spans="1:16" x14ac:dyDescent="0.25">
      <c r="A18">
        <f t="shared" si="10"/>
        <v>4</v>
      </c>
      <c r="B18" t="s">
        <v>14</v>
      </c>
      <c r="C18">
        <f>INDEX(E$14:L$23,5,E$1-2)</f>
        <v>81.532029643026434</v>
      </c>
      <c r="D18">
        <f>INDEX(E$14:L$23,5,E$1-3)</f>
        <v>71.844532062210334</v>
      </c>
      <c r="E18">
        <f>(E7+D7/2+C7/3)/(1+1/2+1/3)-STDEV($C7:E7)/AVERAGE($C7:E7)*AVERAGE($C$3:E$12)</f>
        <v>84.251451445455629</v>
      </c>
      <c r="F18">
        <f>(F7+E7/2+D7/3+C7/4)/(1+1/2+1/3+1/4)-STDEV($C7:F7)/AVERAGE($C7:F7)*AVERAGE($C$3:F$12)</f>
        <v>89.237509783867566</v>
      </c>
      <c r="G18">
        <f>(G7+F7/2+E7/3+D7/4+C7/5)/(1+1/2+1/3+1/4+1/5)-STDEV($C7:G7)/AVERAGE($C7:G7)*AVERAGE($C$3:G$12)</f>
        <v>85.140775974329671</v>
      </c>
      <c r="H18">
        <f>(H7+G7/2+F7/3+E7/4+D7/5+C7/6)/(1+1/2+1/3+1/4+1/5+1/6)-STDEV($C7:H7)/AVERAGE($C7:H7)*AVERAGE($C$3:H$12)</f>
        <v>71.844532062210334</v>
      </c>
      <c r="I18">
        <f>(I7+H7/2+G7/3+F7/4+E7/5+D7/6+C7/7)/(1+1/2+1/3+1/4+1/5+1/6+1/7)-STDEV($C7:I7)/AVERAGE($C7:I7)*AVERAGE($C$3:I$12)</f>
        <v>81.532029643026434</v>
      </c>
      <c r="J18">
        <f>(J7+I7/2+H7/3+G7/4+F7/5+E7/6+D7/7+C7/8)/(1+1/2+1/3+1/4+1/5+1/6+1/7+1/8)-STDEV($C7:J7)/AVERAGE($C7:J7)*AVERAGE($C$3:J$12)</f>
        <v>45.834669709924079</v>
      </c>
      <c r="K18">
        <f>(K7+J7/2+I7/3+H7/4+G7/5+F7/6+E7/7+D7/8+C7/9)/(1+1/2+1/3+1/4+1/5+1/6+1/7+1/8+1/9)-STDEV($C7:K7)/AVERAGE($C7:K7)*AVERAGE($C$3:K$12)</f>
        <v>30.515555319201859</v>
      </c>
      <c r="L18">
        <f>(L7+K7/2+J7/3+I7/4+H7/5+G7/6+F7/7+E7/8+D7/9+C7/10)/(1+1/2+1/3+1/4+1/5+1/6+1/7+1/8+1/9+1/10)-STDEV($C7:L7)/AVERAGE($C7:L7)*AVERAGE($C$3:L$12)</f>
        <v>21.577064191190651</v>
      </c>
      <c r="M18">
        <f>(M7+L7/2+K7/3+J7/4+I7/5+H7/6+G7/7+F7/8+E7/9+D7/10+C7/11)/(1+1/2+1/3+1/4+1/5+1/6+1/7+1/8+1/9+1/10+1/11)-STDEV($C7:M7)/AVERAGE($C7:M7)*AVERAGE($C$3:M$12)</f>
        <v>15.635108743090411</v>
      </c>
      <c r="N18">
        <f>(N7+M7/2+L7/3+K7/4+J7/5+I7/6+H7/7+G7/8+F7/9+E7/10+D7/11+C7/12)/(1+1/2+1/3+1/4+1/5+1/6+1/7+1/8+1/9+1/10+1/11+1/12)-STDEV($C7:N7)/AVERAGE($C7:N7)*AVERAGE($C$3:N$12)</f>
        <v>11.37925827958559</v>
      </c>
      <c r="O18">
        <f>(O7+N7/2+M7/3+L7/4+K7/5+J7/6+I7/7+H7/8+G7/9+F7/10+E7/11+D7/12+C7/13)/(1+1/2+1/3+1/4+1/5+1/6+1/7+1/8+1/9+1/10+1/11+1/12+1/13)-STDEV($C7:O7)/AVERAGE($C7:O7)*AVERAGE($C$3:O$12)</f>
        <v>8.1769858592432119</v>
      </c>
      <c r="P18">
        <f t="shared" si="9"/>
        <v>8</v>
      </c>
    </row>
    <row r="19" spans="1:16" x14ac:dyDescent="0.25">
      <c r="A19">
        <f t="shared" si="10"/>
        <v>8</v>
      </c>
      <c r="B19" t="s">
        <v>15</v>
      </c>
      <c r="C19">
        <f>INDEX(E$14:L$23,6,E$1-2)</f>
        <v>73.939745523335162</v>
      </c>
      <c r="D19">
        <f>INDEX(E$14:L$23,6,E$1-3)</f>
        <v>83.066460177711349</v>
      </c>
      <c r="E19">
        <f>(E8+D8/2+C8/3)/(1+1/2+1/3)-STDEV($C8:E8)/AVERAGE($C8:E8)*AVERAGE($C$3:E$12)</f>
        <v>67.268724955213614</v>
      </c>
      <c r="F19">
        <f>(F8+E8/2+D8/3+C8/4)/(1+1/2+1/3+1/4)-STDEV($C8:F8)/AVERAGE($C8:F8)*AVERAGE($C$3:F$12)</f>
        <v>72.09636564280062</v>
      </c>
      <c r="G19">
        <f>(G8+F8/2+E8/3+D8/4+C8/5)/(1+1/2+1/3+1/4+1/5)-STDEV($C8:G8)/AVERAGE($C8:G8)*AVERAGE($C$3:G$12)</f>
        <v>81.905210624824022</v>
      </c>
      <c r="H19">
        <f>(H8+G8/2+F8/3+E8/4+D8/5+C8/6)/(1+1/2+1/3+1/4+1/5+1/6)-STDEV($C8:H8)/AVERAGE($C8:H8)*AVERAGE($C$3:H$12)</f>
        <v>83.066460177711349</v>
      </c>
      <c r="I19">
        <f>(I8+H8/2+G8/3+F8/4+E8/5+D8/6+C8/7)/(1+1/2+1/3+1/4+1/5+1/6+1/7)-STDEV($C8:I8)/AVERAGE($C8:I8)*AVERAGE($C$3:I$12)</f>
        <v>73.939745523335162</v>
      </c>
      <c r="J19">
        <f>(J8+I8/2+H8/3+G8/4+F8/5+E8/6+D8/7+C8/8)/(1+1/2+1/3+1/4+1/5+1/6+1/7+1/8)-STDEV($C8:J8)/AVERAGE($C8:J8)*AVERAGE($C$3:J$12)</f>
        <v>42.221267347719241</v>
      </c>
      <c r="K19">
        <f>(K8+J8/2+I8/3+H8/4+G8/5+F8/6+E8/7+D8/8+C8/9)/(1+1/2+1/3+1/4+1/5+1/6+1/7+1/8+1/9)-STDEV($C8:K8)/AVERAGE($C8:K8)*AVERAGE($C$3:K$12)</f>
        <v>27.824626223114024</v>
      </c>
      <c r="L19">
        <f>(L8+K8/2+J8/3+I8/4+H8/5+G8/6+F8/7+E8/8+D8/9+C8/10)/(1+1/2+1/3+1/4+1/5+1/6+1/7+1/8+1/9+1/10)-STDEV($C8:L8)/AVERAGE($C8:L8)*AVERAGE($C$3:L$12)</f>
        <v>19.229216989110633</v>
      </c>
      <c r="M19">
        <f>(M8+L8/2+K8/3+J8/4+I8/5+H8/6+G8/7+F8/8+E8/9+D8/10+C8/11)/(1+1/2+1/3+1/4+1/5+1/6+1/7+1/8+1/9+1/10+1/11)-STDEV($C8:M8)/AVERAGE($C8:M8)*AVERAGE($C$3:M$12)</f>
        <v>13.447453250867143</v>
      </c>
      <c r="N19">
        <f>(N8+M8/2+L8/3+K8/4+J8/5+I8/6+H8/7+G8/8+F8/9+E8/10+D8/11+C8/12)/(1+1/2+1/3+1/4+1/5+1/6+1/7+1/8+1/9+1/10+1/11+1/12)-STDEV($C8:N8)/AVERAGE($C8:N8)*AVERAGE($C$3:N$12)</f>
        <v>9.2774007090566091</v>
      </c>
      <c r="O19">
        <f>(O8+N8/2+M8/3+L8/4+K8/5+J8/6+I8/7+H8/8+G8/9+F8/10+E8/11+D8/12+C8/13)/(1+1/2+1/3+1/4+1/5+1/6+1/7+1/8+1/9+1/10+1/11+1/12+1/13)-STDEV($C8:O8)/AVERAGE($C8:O8)*AVERAGE($C$3:O$12)</f>
        <v>6.1255224515716034</v>
      </c>
      <c r="P19">
        <f t="shared" si="9"/>
        <v>5</v>
      </c>
    </row>
    <row r="20" spans="1:16" x14ac:dyDescent="0.25">
      <c r="A20">
        <f t="shared" si="10"/>
        <v>9</v>
      </c>
      <c r="B20" t="s">
        <v>16</v>
      </c>
      <c r="C20">
        <f>INDEX(E$14:L$23,7,E$1-2)</f>
        <v>73.886342912824347</v>
      </c>
      <c r="D20">
        <f>INDEX(E$14:L$23,7,E$1-3)</f>
        <v>92.171491524358132</v>
      </c>
      <c r="E20">
        <f>(E9+D9/2+C9/3)/(1+1/2+1/3)-STDEV($C9:E9)/AVERAGE($C9:E9)*AVERAGE($C$3:E$12)</f>
        <v>96.822323866328105</v>
      </c>
      <c r="F20">
        <f>(F9+E9/2+D9/3+C9/4)/(1+1/2+1/3+1/4)-STDEV($C9:F9)/AVERAGE($C9:F9)*AVERAGE($C$3:F$12)</f>
        <v>70.529112918712741</v>
      </c>
      <c r="G20">
        <f>(G9+F9/2+E9/3+D9/4+C9/5)/(1+1/2+1/3+1/4+1/5)-STDEV($C9:G9)/AVERAGE($C9:G9)*AVERAGE($C$3:G$12)</f>
        <v>82.270442217735166</v>
      </c>
      <c r="H20">
        <f>(H9+G9/2+F9/3+E9/4+D9/5+C9/6)/(1+1/2+1/3+1/4+1/5+1/6)-STDEV($C9:H9)/AVERAGE($C9:H9)*AVERAGE($C$3:H$12)</f>
        <v>92.171491524358132</v>
      </c>
      <c r="I20">
        <f>(I9+H9/2+G9/3+F9/4+E9/5+D9/6+C9/7)/(1+1/2+1/3+1/4+1/5+1/6+1/7)-STDEV($C9:I9)/AVERAGE($C9:I9)*AVERAGE($C$3:I$12)</f>
        <v>73.886342912824347</v>
      </c>
      <c r="J20">
        <f>(J9+I9/2+H9/3+G9/4+F9/5+E9/6+D9/7+C9/8)/(1+1/2+1/3+1/4+1/5+1/6+1/7+1/8)-STDEV($C9:J9)/AVERAGE($C9:J9)*AVERAGE($C$3:J$12)</f>
        <v>40.137560862238466</v>
      </c>
      <c r="K20">
        <f>(K9+J9/2+I9/3+H9/4+G9/5+F9/6+E9/7+D9/8+C9/9)/(1+1/2+1/3+1/4+1/5+1/6+1/7+1/8+1/9)-STDEV($C9:K9)/AVERAGE($C9:K9)*AVERAGE($C$3:K$12)</f>
        <v>24.561034072627535</v>
      </c>
      <c r="L20">
        <f>(L9+K9/2+J9/3+I9/4+H9/5+G9/6+F9/7+E9/8+D9/9+C9/10)/(1+1/2+1/3+1/4+1/5+1/6+1/7+1/8+1/9+1/10)-STDEV($C9:L9)/AVERAGE($C9:L9)*AVERAGE($C$3:L$12)</f>
        <v>15.207135036746131</v>
      </c>
      <c r="M20">
        <f>(M9+L9/2+K9/3+J9/4+I9/5+H9/6+G9/7+F9/8+E9/9+D9/10+C9/11)/(1+1/2+1/3+1/4+1/5+1/6+1/7+1/8+1/9+1/10+1/11)-STDEV($C9:M9)/AVERAGE($C9:M9)*AVERAGE($C$3:M$12)</f>
        <v>8.8987076823006532</v>
      </c>
      <c r="N20">
        <f>(N9+M9/2+L9/3+K9/4+J9/5+I9/6+H9/7+G9/8+F9/9+E9/10+D9/11+C9/12)/(1+1/2+1/3+1/4+1/5+1/6+1/7+1/8+1/9+1/10+1/11+1/12)-STDEV($C9:N9)/AVERAGE($C9:N9)*AVERAGE($C$3:N$12)</f>
        <v>4.3426819456756682</v>
      </c>
      <c r="O20">
        <f>(O9+N9/2+M9/3+L9/4+K9/5+J9/6+I9/7+H9/8+G9/9+F9/10+E9/11+D9/12+C9/13)/(1+1/2+1/3+1/4+1/5+1/6+1/7+1/8+1/9+1/10+1/11+1/12+1/13)-STDEV($C9:O9)/AVERAGE($C9:O9)*AVERAGE($C$3:O$12)</f>
        <v>0.89651774985303234</v>
      </c>
      <c r="P20">
        <f t="shared" si="9"/>
        <v>4</v>
      </c>
    </row>
    <row r="21" spans="1:16" x14ac:dyDescent="0.25">
      <c r="A21">
        <f t="shared" si="10"/>
        <v>2</v>
      </c>
      <c r="B21" t="s">
        <v>17</v>
      </c>
      <c r="C21">
        <f>INDEX(E$14:L$23,8,E$1-2)</f>
        <v>99.957876172449673</v>
      </c>
      <c r="D21">
        <f>INDEX(E$14:L$23,8,E$1-3)</f>
        <v>96.737159046456654</v>
      </c>
      <c r="E21">
        <f>(E10+D10/2+C10/3)/(1+1/2+1/3)-STDEV($C10:E10)/AVERAGE($C10:E10)*AVERAGE($C$3:E$12)</f>
        <v>85.689288581176001</v>
      </c>
      <c r="F21">
        <f>(F10+E10/2+D10/3+C10/4)/(1+1/2+1/3+1/4)-STDEV($C10:F10)/AVERAGE($C10:F10)*AVERAGE($C$3:F$12)</f>
        <v>89.379442880619806</v>
      </c>
      <c r="G21">
        <f>(G10+F10/2+E10/3+D10/4+C10/5)/(1+1/2+1/3+1/4+1/5)-STDEV($C10:G10)/AVERAGE($C10:G10)*AVERAGE($C$3:G$12)</f>
        <v>89.505986318840556</v>
      </c>
      <c r="H21">
        <f>(H10+G10/2+F10/3+E10/4+D10/5+C10/6)/(1+1/2+1/3+1/4+1/5+1/6)-STDEV($C10:H10)/AVERAGE($C10:H10)*AVERAGE($C$3:H$12)</f>
        <v>96.737159046456654</v>
      </c>
      <c r="I21">
        <f>(I10+H10/2+G10/3+F10/4+E10/5+D10/6+C10/7)/(1+1/2+1/3+1/4+1/5+1/6+1/7)-STDEV($C10:I10)/AVERAGE($C10:I10)*AVERAGE($C$3:I$12)</f>
        <v>99.957876172449673</v>
      </c>
      <c r="J21">
        <f>(J10+I10/2+H10/3+G10/4+F10/5+E10/6+D10/7+C10/8)/(1+1/2+1/3+1/4+1/5+1/6+1/7+1/8)-STDEV($C10:J10)/AVERAGE($C10:J10)*AVERAGE($C$3:J$12)</f>
        <v>54.887292543784596</v>
      </c>
      <c r="K21">
        <f>(K10+J10/2+I10/3+H10/4+G10/5+F10/6+E10/7+D10/8+C10/9)/(1+1/2+1/3+1/4+1/5+1/6+1/7+1/8+1/9)-STDEV($C10:K10)/AVERAGE($C10:K10)*AVERAGE($C$3:K$12)</f>
        <v>35.568129073178099</v>
      </c>
      <c r="L21">
        <f>(L10+K10/2+J10/3+I10/4+H10/5+G10/6+F10/7+E10/8+D10/9+C10/10)/(1+1/2+1/3+1/4+1/5+1/6+1/7+1/8+1/9+1/10)-STDEV($C10:L10)/AVERAGE($C10:L10)*AVERAGE($C$3:L$12)</f>
        <v>24.38077430428967</v>
      </c>
      <c r="M21">
        <f>(M10+L10/2+K10/3+J10/4+I10/5+H10/6+G10/7+F10/8+E10/9+D10/10+C10/11)/(1+1/2+1/3+1/4+1/5+1/6+1/7+1/8+1/9+1/10+1/11)-STDEV($C10:M10)/AVERAGE($C10:M10)*AVERAGE($C$3:M$12)</f>
        <v>16.999923263517797</v>
      </c>
      <c r="N21">
        <f>(N10+M10/2+L10/3+K10/4+J10/5+I10/6+H10/7+G10/8+F10/9+E10/10+D10/11+C10/12)/(1+1/2+1/3+1/4+1/5+1/6+1/7+1/8+1/9+1/10+1/11+1/12)-STDEV($C10:N10)/AVERAGE($C10:N10)*AVERAGE($C$3:N$12)</f>
        <v>11.748129374656926</v>
      </c>
      <c r="O21">
        <f>(O10+N10/2+M10/3+L10/4+K10/5+J10/6+I10/7+H10/8+G10/9+F10/10+E10/11+D10/12+C10/13)/(1+1/2+1/3+1/4+1/5+1/6+1/7+1/8+1/9+1/10+1/11+1/12+1/13)-STDEV($C10:O10)/AVERAGE($C10:O10)*AVERAGE($C$3:O$12)</f>
        <v>7.8183914803022567</v>
      </c>
      <c r="P21">
        <f t="shared" si="9"/>
        <v>2</v>
      </c>
    </row>
    <row r="22" spans="1:16" x14ac:dyDescent="0.25">
      <c r="A22">
        <f t="shared" si="10"/>
        <v>10</v>
      </c>
      <c r="B22" t="s">
        <v>18</v>
      </c>
      <c r="C22">
        <f>INDEX(E$14:L$23,9,E$1-2)</f>
        <v>71.090958052158285</v>
      </c>
      <c r="D22">
        <f>INDEX(E$14:L$23,9,E$1-3)</f>
        <v>63.042125349853606</v>
      </c>
      <c r="E22">
        <f>(E11+D11/2+C11/3)/(1+1/2+1/3)-STDEV($C11:E11)/AVERAGE($C11:E11)*AVERAGE($C$3:E$12)</f>
        <v>45.480838655882195</v>
      </c>
      <c r="F22">
        <f>(F11+E11/2+D11/3+C11/4)/(1+1/2+1/3+1/4)-STDEV($C11:F11)/AVERAGE($C11:F11)*AVERAGE($C$3:F$12)</f>
        <v>52.547608194650564</v>
      </c>
      <c r="G22">
        <f>(G11+F11/2+E11/3+D11/4+C11/5)/(1+1/2+1/3+1/4+1/5)-STDEV($C11:G11)/AVERAGE($C11:G11)*AVERAGE($C$3:G$12)</f>
        <v>55.026873789809073</v>
      </c>
      <c r="H22">
        <f>(H11+G11/2+F11/3+E11/4+D11/5+C11/6)/(1+1/2+1/3+1/4+1/5+1/6)-STDEV($C11:H11)/AVERAGE($C11:H11)*AVERAGE($C$3:H$12)</f>
        <v>63.042125349853606</v>
      </c>
      <c r="I22">
        <f>(I11+H11/2+G11/3+F11/4+E11/5+D11/6+C11/7)/(1+1/2+1/3+1/4+1/5+1/6+1/7)-STDEV($C11:I11)/AVERAGE($C11:I11)*AVERAGE($C$3:I$12)</f>
        <v>71.090958052158285</v>
      </c>
      <c r="J22">
        <f>(J11+I11/2+H11/3+G11/4+F11/5+E11/6+D11/7+C11/8)/(1+1/2+1/3+1/4+1/5+1/6+1/7+1/8)-STDEV($C11:J11)/AVERAGE($C11:J11)*AVERAGE($C$3:J$12)</f>
        <v>31.625801288004983</v>
      </c>
      <c r="K22">
        <f>(K11+J11/2+I11/3+H11/4+G11/5+F11/6+E11/7+D11/8+C11/9)/(1+1/2+1/3+1/4+1/5+1/6+1/7+1/8+1/9)-STDEV($C11:K11)/AVERAGE($C11:K11)*AVERAGE($C$3:K$12)</f>
        <v>15.348362121286545</v>
      </c>
      <c r="L22">
        <f>(L11+K11/2+J11/3+I11/4+H11/5+G11/6+F11/7+E11/8+D11/9+C11/10)/(1+1/2+1/3+1/4+1/5+1/6+1/7+1/8+1/9+1/10)-STDEV($C11:L11)/AVERAGE($C11:L11)*AVERAGE($C$3:L$12)</f>
        <v>6.0958309239462061</v>
      </c>
      <c r="M22">
        <f>(M11+L11/2+K11/3+J11/4+I11/5+H11/6+G11/7+F11/8+E11/9+D11/10+C11/11)/(1+1/2+1/3+1/4+1/5+1/6+1/7+1/8+1/9+1/10+1/11)-STDEV($C11:M11)/AVERAGE($C11:M11)*AVERAGE($C$3:M$12)</f>
        <v>5.6502173144121315E-2</v>
      </c>
      <c r="N22">
        <f>(N11+M11/2+L11/3+K11/4+J11/5+I11/6+H11/7+G11/8+F11/9+E11/10+D11/11+C11/12)/(1+1/2+1/3+1/4+1/5+1/6+1/7+1/8+1/9+1/10+1/11+1/12)-STDEV($C11:N11)/AVERAGE($C11:N11)*AVERAGE($C$3:N$12)</f>
        <v>-4.2113076704503634</v>
      </c>
      <c r="O22">
        <f>(O11+N11/2+M11/3+L11/4+K11/5+J11/6+I11/7+H11/8+G11/9+F11/10+E11/11+D11/12+C11/13)/(1+1/2+1/3+1/4+1/5+1/6+1/7+1/8+1/9+1/10+1/11+1/12+1/13)-STDEV($C11:O11)/AVERAGE($C11:O11)*AVERAGE($C$3:O$12)</f>
        <v>-7.3896623007191806</v>
      </c>
      <c r="P22">
        <f t="shared" si="9"/>
        <v>9</v>
      </c>
    </row>
    <row r="23" spans="1:16" x14ac:dyDescent="0.25">
      <c r="A23">
        <f t="shared" si="10"/>
        <v>7</v>
      </c>
      <c r="B23" t="s">
        <v>19</v>
      </c>
      <c r="C23">
        <f>INDEX(E$14:L$23,10,E$1-2)</f>
        <v>73.961351076001307</v>
      </c>
      <c r="D23">
        <f>INDEX(E$14:L$23,10,E$1-3)</f>
        <v>59.099808866595851</v>
      </c>
      <c r="E23">
        <f>(E12+D12/2+C12/3)/(1+1/2+1/3)-STDEV($C12:E12)/AVERAGE($C12:E12)*AVERAGE($C$3:E$12)</f>
        <v>85.747471322292867</v>
      </c>
      <c r="F23">
        <f>(F12+E12/2+D12/3+C12/4)/(1+1/2+1/3+1/4)-STDEV($C12:F12)/AVERAGE($C12:F12)*AVERAGE($C$3:F$12)</f>
        <v>81.317863301167108</v>
      </c>
      <c r="G23">
        <f>(G12+F12/2+E12/3+D12/4+C12/5)/(1+1/2+1/3+1/4+1/5)-STDEV($C12:G12)/AVERAGE($C12:G12)*AVERAGE($C$3:G$12)</f>
        <v>87.860208432586091</v>
      </c>
      <c r="H23">
        <f>(H12+G12/2+F12/3+E12/4+D12/5+C12/6)/(1+1/2+1/3+1/4+1/5+1/6)-STDEV($C12:H12)/AVERAGE($C12:H12)*AVERAGE($C$3:H$12)</f>
        <v>59.099808866595851</v>
      </c>
      <c r="I23">
        <f>(I12+H12/2+G12/3+F12/4+E12/5+D12/6+C12/7)/(1+1/2+1/3+1/4+1/5+1/6+1/7)-STDEV($C12:I12)/AVERAGE($C12:I12)*AVERAGE($C$3:I$12)</f>
        <v>73.961351076001307</v>
      </c>
      <c r="J23">
        <f>(J12+I12/2+H12/3+G12/4+F12/5+E12/6+D12/7+C12/8)/(1+1/2+1/3+1/4+1/5+1/6+1/7+1/8)-STDEV($C12:J12)/AVERAGE($C12:J12)*AVERAGE($C$3:J$12)</f>
        <v>37.683075306720887</v>
      </c>
      <c r="K23">
        <f>(K12+J12/2+I12/3+H12/4+G12/5+F12/6+E12/7+D12/8+C12/9)/(1+1/2+1/3+1/4+1/5+1/6+1/7+1/8+1/9)-STDEV($C12:K12)/AVERAGE($C12:K12)*AVERAGE($C$3:K$12)</f>
        <v>22.197692737686317</v>
      </c>
      <c r="L23">
        <f>(L12+K12/2+J12/3+I12/4+H12/5+G12/6+F12/7+E12/8+D12/9+C12/10)/(1+1/2+1/3+1/4+1/5+1/6+1/7+1/8+1/9+1/10)-STDEV($C12:L12)/AVERAGE($C12:L12)*AVERAGE($C$3:L$12)</f>
        <v>13.178450535574676</v>
      </c>
      <c r="M23">
        <f>(M12+L12/2+K12/3+J12/4+I12/5+H12/6+G12/7+F12/8+E12/9+D12/10+C12/11)/(1+1/2+1/3+1/4+1/5+1/6+1/7+1/8+1/9+1/10+1/11)-STDEV($C12:M12)/AVERAGE($C12:M12)*AVERAGE($C$3:M$12)</f>
        <v>7.1884721983365907</v>
      </c>
      <c r="N23">
        <f>(N12+M12/2+L12/3+K12/4+J12/5+I12/6+H12/7+G12/8+F12/9+E12/10+D12/11+C12/12)/(1+1/2+1/3+1/4+1/5+1/6+1/7+1/8+1/9+1/10+1/11+1/12)-STDEV($C12:N12)/AVERAGE($C12:N12)*AVERAGE($C$3:N$12)</f>
        <v>2.9010060147247607</v>
      </c>
      <c r="O23">
        <f>(O12+N12/2+M12/3+L12/4+K12/5+J12/6+I12/7+H12/8+G12/9+F12/10+E12/11+D12/12+C12/13)/(1+1/2+1/3+1/4+1/5+1/6+1/7+1/8+1/9+1/10+1/11+1/12+1/13)-STDEV($C12:O12)/AVERAGE($C12:O12)*AVERAGE($C$3:O$12)</f>
        <v>-0.32340772982338706</v>
      </c>
      <c r="P23">
        <f t="shared" si="9"/>
        <v>10</v>
      </c>
    </row>
    <row r="25" spans="1:16" x14ac:dyDescent="0.25">
      <c r="A25" t="s">
        <v>9</v>
      </c>
      <c r="D25">
        <v>3</v>
      </c>
      <c r="E25">
        <v>4</v>
      </c>
      <c r="F25">
        <v>5</v>
      </c>
      <c r="G25">
        <v>6</v>
      </c>
      <c r="H25">
        <v>7</v>
      </c>
      <c r="I25">
        <v>8</v>
      </c>
      <c r="J25">
        <v>9</v>
      </c>
      <c r="K25">
        <v>10</v>
      </c>
    </row>
    <row r="26" spans="1:16" x14ac:dyDescent="0.25">
      <c r="B26" s="14">
        <v>1</v>
      </c>
      <c r="C26" s="14" t="str">
        <f t="shared" ref="C26:C35" si="11">VLOOKUP($B26,$A$14:$K$23,2,FALSE)</f>
        <v>Avacado Seeds</v>
      </c>
      <c r="D26">
        <f>VLOOKUP($B26,$A$14:$M$23,5,FALSE)</f>
        <v>101.25144846627126</v>
      </c>
      <c r="E26">
        <f t="shared" ref="E26:E35" si="12">VLOOKUP($B26,$A$14:$K$23,6,FALSE)</f>
        <v>107.63787784209615</v>
      </c>
      <c r="F26">
        <f t="shared" ref="F26:F35" si="13">VLOOKUP($B26,$A$14:$K$23,7,FALSE)</f>
        <v>95.092655987025068</v>
      </c>
      <c r="G26">
        <f t="shared" ref="G26:G35" si="14">VLOOKUP($B26,$A$14:$K$23,8,FALSE)</f>
        <v>103.11139337381189</v>
      </c>
      <c r="H26">
        <f t="shared" ref="H26:H35" si="15">VLOOKUP($B26,$A$14:$K$23,9,FALSE)</f>
        <v>108.43515641243737</v>
      </c>
      <c r="I26">
        <f t="shared" ref="I26:I35" si="16">VLOOKUP($B26,$A$14:$K$23,10,FALSE)</f>
        <v>63.234511810884854</v>
      </c>
      <c r="J26">
        <f t="shared" ref="J26:J35" si="17">VLOOKUP($B26,$A$14:$K$23,11,FALSE)</f>
        <v>43.761138661894762</v>
      </c>
      <c r="K26">
        <f t="shared" ref="K26:K35" si="18">VLOOKUP($B26,$A$14:$L$23,12,FALSE)</f>
        <v>32.415871160514229</v>
      </c>
    </row>
    <row r="27" spans="1:16" x14ac:dyDescent="0.25">
      <c r="B27" s="14">
        <v>2</v>
      </c>
      <c r="C27" s="14" t="str">
        <f t="shared" si="11"/>
        <v>Rohit's Avocado Farm</v>
      </c>
      <c r="D27">
        <f t="shared" ref="D27:D35" si="19">VLOOKUP($B27,$A$14:$K$23,5,FALSE)</f>
        <v>85.689288581176001</v>
      </c>
      <c r="E27">
        <f t="shared" si="12"/>
        <v>89.379442880619806</v>
      </c>
      <c r="F27">
        <f t="shared" si="13"/>
        <v>89.505986318840556</v>
      </c>
      <c r="G27">
        <f t="shared" si="14"/>
        <v>96.737159046456654</v>
      </c>
      <c r="H27">
        <f t="shared" si="15"/>
        <v>99.957876172449673</v>
      </c>
      <c r="I27">
        <f t="shared" si="16"/>
        <v>54.887292543784596</v>
      </c>
      <c r="J27">
        <f t="shared" si="17"/>
        <v>35.568129073178099</v>
      </c>
      <c r="K27">
        <f t="shared" si="18"/>
        <v>24.38077430428967</v>
      </c>
    </row>
    <row r="28" spans="1:16" x14ac:dyDescent="0.25">
      <c r="B28" s="14">
        <v>3</v>
      </c>
      <c r="C28" s="14" t="str">
        <f t="shared" si="11"/>
        <v>All I Do is Winston</v>
      </c>
      <c r="D28">
        <f t="shared" si="19"/>
        <v>96.786258642855643</v>
      </c>
      <c r="E28">
        <f t="shared" si="12"/>
        <v>99.066843185260311</v>
      </c>
      <c r="F28">
        <f t="shared" si="13"/>
        <v>85.189861194465777</v>
      </c>
      <c r="G28">
        <f t="shared" si="14"/>
        <v>82.344432296699821</v>
      </c>
      <c r="H28">
        <f t="shared" si="15"/>
        <v>90.776234694752887</v>
      </c>
      <c r="I28">
        <f t="shared" si="16"/>
        <v>51.571940287292762</v>
      </c>
      <c r="J28">
        <f t="shared" si="17"/>
        <v>34.581304585437216</v>
      </c>
      <c r="K28">
        <f t="shared" si="18"/>
        <v>24.626029212207591</v>
      </c>
    </row>
    <row r="29" spans="1:16" x14ac:dyDescent="0.25">
      <c r="B29" s="14">
        <v>4</v>
      </c>
      <c r="C29" s="14" t="str">
        <f t="shared" si="11"/>
        <v>unBEATable at HOME</v>
      </c>
      <c r="D29">
        <f t="shared" si="19"/>
        <v>84.251451445455629</v>
      </c>
      <c r="E29">
        <f t="shared" si="12"/>
        <v>89.237509783867566</v>
      </c>
      <c r="F29">
        <f t="shared" si="13"/>
        <v>85.140775974329671</v>
      </c>
      <c r="G29">
        <f t="shared" si="14"/>
        <v>71.844532062210334</v>
      </c>
      <c r="H29">
        <f t="shared" si="15"/>
        <v>81.532029643026434</v>
      </c>
      <c r="I29">
        <f t="shared" si="16"/>
        <v>45.834669709924079</v>
      </c>
      <c r="J29">
        <f t="shared" si="17"/>
        <v>30.515555319201859</v>
      </c>
      <c r="K29">
        <f t="shared" si="18"/>
        <v>21.577064191190651</v>
      </c>
    </row>
    <row r="30" spans="1:16" x14ac:dyDescent="0.25">
      <c r="B30" s="14">
        <v>5</v>
      </c>
      <c r="C30" s="14" t="str">
        <f t="shared" si="11"/>
        <v>Los Angeles Butt Men</v>
      </c>
      <c r="D30">
        <f t="shared" si="19"/>
        <v>99.341015645451961</v>
      </c>
      <c r="E30">
        <f t="shared" si="12"/>
        <v>86.561931443849318</v>
      </c>
      <c r="F30">
        <f t="shared" si="13"/>
        <v>93.884102960667917</v>
      </c>
      <c r="G30">
        <f t="shared" si="14"/>
        <v>94.80140044530512</v>
      </c>
      <c r="H30">
        <f t="shared" si="15"/>
        <v>75.071780416606259</v>
      </c>
      <c r="I30">
        <f t="shared" si="16"/>
        <v>41.87588610133551</v>
      </c>
      <c r="J30">
        <f t="shared" si="17"/>
        <v>26.331159746574336</v>
      </c>
      <c r="K30">
        <f t="shared" si="18"/>
        <v>16.909242970611274</v>
      </c>
    </row>
    <row r="31" spans="1:16" x14ac:dyDescent="0.25">
      <c r="B31" s="14">
        <v>6</v>
      </c>
      <c r="C31" s="14" t="str">
        <f t="shared" si="11"/>
        <v>Fortune Favors The Bold</v>
      </c>
      <c r="D31">
        <f t="shared" si="19"/>
        <v>98.29688961992133</v>
      </c>
      <c r="E31">
        <f t="shared" si="12"/>
        <v>95.545835821780315</v>
      </c>
      <c r="F31">
        <f t="shared" si="13"/>
        <v>93.423875844542437</v>
      </c>
      <c r="G31">
        <f t="shared" si="14"/>
        <v>77.702629548358729</v>
      </c>
      <c r="H31">
        <f t="shared" si="15"/>
        <v>74.866235534338728</v>
      </c>
      <c r="I31">
        <f t="shared" si="16"/>
        <v>41.383447554190823</v>
      </c>
      <c r="J31">
        <f t="shared" si="17"/>
        <v>26.136124518416874</v>
      </c>
      <c r="K31">
        <f t="shared" si="18"/>
        <v>16.97224646330049</v>
      </c>
    </row>
    <row r="32" spans="1:16" x14ac:dyDescent="0.25">
      <c r="B32" s="14">
        <v>7</v>
      </c>
      <c r="C32" s="14" t="str">
        <f t="shared" si="11"/>
        <v>G - Lit</v>
      </c>
      <c r="D32">
        <f t="shared" si="19"/>
        <v>85.747471322292867</v>
      </c>
      <c r="E32">
        <f t="shared" si="12"/>
        <v>81.317863301167108</v>
      </c>
      <c r="F32">
        <f t="shared" si="13"/>
        <v>87.860208432586091</v>
      </c>
      <c r="G32">
        <f t="shared" si="14"/>
        <v>59.099808866595851</v>
      </c>
      <c r="H32">
        <f t="shared" si="15"/>
        <v>73.961351076001307</v>
      </c>
      <c r="I32">
        <f t="shared" si="16"/>
        <v>37.683075306720887</v>
      </c>
      <c r="J32">
        <f t="shared" si="17"/>
        <v>22.197692737686317</v>
      </c>
      <c r="K32">
        <f t="shared" si="18"/>
        <v>13.178450535574676</v>
      </c>
    </row>
    <row r="33" spans="2:11" x14ac:dyDescent="0.25">
      <c r="B33" s="14">
        <v>8</v>
      </c>
      <c r="C33" s="14" t="str">
        <f t="shared" si="11"/>
        <v>Elite Tostitos</v>
      </c>
      <c r="D33">
        <f t="shared" si="19"/>
        <v>67.268724955213614</v>
      </c>
      <c r="E33">
        <f t="shared" si="12"/>
        <v>72.09636564280062</v>
      </c>
      <c r="F33">
        <f t="shared" si="13"/>
        <v>81.905210624824022</v>
      </c>
      <c r="G33">
        <f t="shared" si="14"/>
        <v>83.066460177711349</v>
      </c>
      <c r="H33">
        <f t="shared" si="15"/>
        <v>73.939745523335162</v>
      </c>
      <c r="I33">
        <f t="shared" si="16"/>
        <v>42.221267347719241</v>
      </c>
      <c r="J33">
        <f t="shared" si="17"/>
        <v>27.824626223114024</v>
      </c>
      <c r="K33">
        <f t="shared" si="18"/>
        <v>19.229216989110633</v>
      </c>
    </row>
    <row r="34" spans="2:11" x14ac:dyDescent="0.25">
      <c r="B34" s="14">
        <v>9</v>
      </c>
      <c r="C34" s="14" t="str">
        <f t="shared" si="11"/>
        <v>My Cousin Vinatieri</v>
      </c>
      <c r="D34">
        <f t="shared" si="19"/>
        <v>96.822323866328105</v>
      </c>
      <c r="E34">
        <f t="shared" si="12"/>
        <v>70.529112918712741</v>
      </c>
      <c r="F34">
        <f t="shared" si="13"/>
        <v>82.270442217735166</v>
      </c>
      <c r="G34">
        <f t="shared" si="14"/>
        <v>92.171491524358132</v>
      </c>
      <c r="H34">
        <f t="shared" si="15"/>
        <v>73.886342912824347</v>
      </c>
      <c r="I34">
        <f t="shared" si="16"/>
        <v>40.137560862238466</v>
      </c>
      <c r="J34">
        <f t="shared" si="17"/>
        <v>24.561034072627535</v>
      </c>
      <c r="K34">
        <f t="shared" si="18"/>
        <v>15.207135036746131</v>
      </c>
    </row>
    <row r="35" spans="2:11" x14ac:dyDescent="0.25">
      <c r="B35" s="14">
        <v>10</v>
      </c>
      <c r="C35" s="14" t="str">
        <f t="shared" si="11"/>
        <v>21 Thicc Titans</v>
      </c>
      <c r="D35">
        <f t="shared" si="19"/>
        <v>45.480838655882195</v>
      </c>
      <c r="E35">
        <f t="shared" si="12"/>
        <v>52.547608194650564</v>
      </c>
      <c r="F35">
        <f t="shared" si="13"/>
        <v>55.026873789809073</v>
      </c>
      <c r="G35">
        <f t="shared" si="14"/>
        <v>63.042125349853606</v>
      </c>
      <c r="H35">
        <f t="shared" si="15"/>
        <v>71.090958052158285</v>
      </c>
      <c r="I35">
        <f t="shared" si="16"/>
        <v>31.625801288004983</v>
      </c>
      <c r="J35">
        <f t="shared" si="17"/>
        <v>15.348362121286545</v>
      </c>
      <c r="K35">
        <f t="shared" si="18"/>
        <v>6.0958309239462061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P14"/>
  <sheetViews>
    <sheetView workbookViewId="0">
      <selection activeCell="O10" sqref="O10"/>
    </sheetView>
  </sheetViews>
  <sheetFormatPr defaultRowHeight="27.75" customHeight="1" x14ac:dyDescent="0.25"/>
  <cols>
    <col min="1" max="1" width="9.140625" customWidth="1"/>
    <col min="2" max="2" width="22.7109375" customWidth="1"/>
    <col min="3" max="3" width="8" customWidth="1"/>
    <col min="4" max="4" width="2.85546875" style="5" customWidth="1"/>
    <col min="5" max="5" width="4.7109375" customWidth="1"/>
    <col min="6" max="6" width="9.140625" style="11"/>
    <col min="7" max="7" width="5.28515625" customWidth="1"/>
    <col min="14" max="16" width="9.140625" style="12"/>
  </cols>
  <sheetData>
    <row r="1" spans="1:16" ht="27.75" customHeight="1" x14ac:dyDescent="0.4">
      <c r="A1" s="38" t="str">
        <f>"Week "&amp;P1</f>
        <v>Week 7</v>
      </c>
      <c r="B1" s="39"/>
      <c r="C1" s="39"/>
      <c r="D1" s="39"/>
      <c r="E1" s="39"/>
      <c r="F1" s="39"/>
      <c r="G1" s="40"/>
      <c r="H1" s="7"/>
      <c r="I1" s="7"/>
      <c r="O1" s="12" t="s">
        <v>29</v>
      </c>
      <c r="P1" s="12">
        <f>Points2017!E1</f>
        <v>7</v>
      </c>
    </row>
    <row r="2" spans="1:16" ht="27.75" customHeight="1" x14ac:dyDescent="0.25">
      <c r="A2" s="1" t="s">
        <v>23</v>
      </c>
      <c r="B2" s="1" t="s">
        <v>24</v>
      </c>
      <c r="C2" s="1" t="s">
        <v>25</v>
      </c>
      <c r="D2" s="36" t="s">
        <v>26</v>
      </c>
      <c r="E2" s="37"/>
      <c r="F2" s="9" t="s">
        <v>27</v>
      </c>
      <c r="G2" s="13" t="s">
        <v>28</v>
      </c>
      <c r="H2" s="7"/>
      <c r="I2" s="7"/>
      <c r="O2" s="12" t="s">
        <v>20</v>
      </c>
    </row>
    <row r="3" spans="1:16" ht="27.75" customHeight="1" x14ac:dyDescent="0.25">
      <c r="A3" s="16">
        <v>1</v>
      </c>
      <c r="B3" s="16" t="str">
        <f>VLOOKUP(A3,Points2017!$A$14:$K$23,2,FALSE)</f>
        <v>Avacado Seeds</v>
      </c>
      <c r="C3" s="16">
        <f>VLOOKUP(A3,Points2017!$A$14:$P$23,16,FALSE)</f>
        <v>1</v>
      </c>
      <c r="D3" s="17">
        <f t="shared" ref="D3:D12" si="0">IF(C3&gt;A3,C3-A3,IF(C3&lt;A3,C3-A3,0))</f>
        <v>0</v>
      </c>
      <c r="E3" s="18" t="str">
        <f>IF(C3&gt;A3,"+"&amp;C3-A3,IF(C3&lt;A3,"-"&amp;A3-C3,"-"))</f>
        <v>-</v>
      </c>
      <c r="F3" s="19" t="str">
        <f>O3&amp;" - "&amp;($P$1-O3)</f>
        <v>6 - 1</v>
      </c>
      <c r="G3" s="20">
        <f>INDEX(Points2017!AG$3:AG$12,MATCH(Sheet1!B3,Points2017!R$3:R$12,0))</f>
        <v>0.41895600552862688</v>
      </c>
      <c r="H3" s="8"/>
      <c r="I3" s="7"/>
      <c r="J3" s="2">
        <v>2</v>
      </c>
      <c r="K3" s="2"/>
      <c r="O3" s="12">
        <f>INDEX(Points2017!P$3:P$12,MATCH(Sheet1!B3,Points2017!B$3:B$12,0),1)</f>
        <v>6</v>
      </c>
    </row>
    <row r="4" spans="1:16" ht="27.75" customHeight="1" x14ac:dyDescent="0.25">
      <c r="A4" s="16">
        <v>2</v>
      </c>
      <c r="B4" s="16" t="str">
        <f>VLOOKUP(A4,Points2017!$A$14:$K$23,2,FALSE)</f>
        <v>Rohit's Avocado Farm</v>
      </c>
      <c r="C4" s="16">
        <f>VLOOKUP(A4,Points2017!$A$14:$P$23,16,FALSE)</f>
        <v>2</v>
      </c>
      <c r="D4" s="17">
        <f t="shared" si="0"/>
        <v>0</v>
      </c>
      <c r="E4" s="18" t="str">
        <f t="shared" ref="E4:E12" si="1">IF(C4&gt;A4,"+"&amp;C4-A4,IF(C4&lt;A4,"-"&amp;A4-C4,"-"))</f>
        <v>-</v>
      </c>
      <c r="F4" s="19" t="str">
        <f t="shared" ref="F4:F12" si="2">O4&amp;" - "&amp;($P$1-O4)</f>
        <v>3 - 4</v>
      </c>
      <c r="G4" s="20">
        <f>INDEX(Points2017!AG$3:AG$12,MATCH(Sheet1!B4,Points2017!R$3:R$12,0))</f>
        <v>-0.62843400829294116</v>
      </c>
      <c r="H4" s="8"/>
      <c r="I4" s="7"/>
      <c r="J4" s="2">
        <v>2</v>
      </c>
      <c r="K4" s="2"/>
      <c r="O4" s="12">
        <f>INDEX(Points2017!P$3:P$12,MATCH(Sheet1!B4,Points2017!B$3:B$12,0),1)</f>
        <v>3</v>
      </c>
    </row>
    <row r="5" spans="1:16" ht="27.75" customHeight="1" x14ac:dyDescent="0.25">
      <c r="A5" s="31">
        <v>3</v>
      </c>
      <c r="B5" s="31" t="str">
        <f>VLOOKUP(A5,Points2017!$A$14:$K$23,2,FALSE)</f>
        <v>All I Do is Winston</v>
      </c>
      <c r="C5" s="31">
        <f>VLOOKUP(A5,Points2017!$A$14:$P$23,16,FALSE)</f>
        <v>6</v>
      </c>
      <c r="D5" s="32">
        <f t="shared" si="0"/>
        <v>3</v>
      </c>
      <c r="E5" s="33" t="str">
        <f t="shared" si="1"/>
        <v>+3</v>
      </c>
      <c r="F5" s="34" t="str">
        <f t="shared" si="2"/>
        <v>4 - 3</v>
      </c>
      <c r="G5" s="35">
        <f>INDEX(Points2017!AG$3:AG$12,MATCH(Sheet1!B5,Points2017!R$3:R$12,0))</f>
        <v>0.10473900138215693</v>
      </c>
      <c r="H5" s="8"/>
      <c r="I5" s="7"/>
      <c r="J5" s="2">
        <v>1</v>
      </c>
      <c r="K5" s="2"/>
      <c r="O5" s="12">
        <f>INDEX(Points2017!P$3:P$12,MATCH(Sheet1!B5,Points2017!B$3:B$12,0),1)</f>
        <v>4</v>
      </c>
    </row>
    <row r="6" spans="1:16" ht="27.75" customHeight="1" x14ac:dyDescent="0.25">
      <c r="A6" s="31">
        <v>4</v>
      </c>
      <c r="B6" s="31" t="str">
        <f>VLOOKUP(A6,Points2017!$A$14:$K$23,2,FALSE)</f>
        <v>unBEATable at HOME</v>
      </c>
      <c r="C6" s="31">
        <f>VLOOKUP(A6,Points2017!$A$14:$P$23,16,FALSE)</f>
        <v>8</v>
      </c>
      <c r="D6" s="32">
        <f t="shared" si="0"/>
        <v>4</v>
      </c>
      <c r="E6" s="33" t="str">
        <f t="shared" si="1"/>
        <v>+4</v>
      </c>
      <c r="F6" s="34" t="str">
        <f t="shared" si="2"/>
        <v>2 - 5</v>
      </c>
      <c r="G6" s="35">
        <f>INDEX(Points2017!AG$3:AG$12,MATCH(Sheet1!B6,Points2017!R$3:R$12,0))</f>
        <v>-0.73317300967509813</v>
      </c>
      <c r="H6" s="8"/>
      <c r="I6" s="7"/>
      <c r="J6" s="2">
        <v>1</v>
      </c>
      <c r="K6" s="2"/>
      <c r="O6" s="12">
        <f>INDEX(Points2017!P$3:P$12,MATCH(Sheet1!B6,Points2017!B$3:B$12,0),1)</f>
        <v>2</v>
      </c>
    </row>
    <row r="7" spans="1:16" ht="27.75" customHeight="1" x14ac:dyDescent="0.25">
      <c r="A7" s="26">
        <v>5</v>
      </c>
      <c r="B7" s="26" t="str">
        <f>VLOOKUP(A7,Points2017!$A$14:$K$23,2,FALSE)</f>
        <v>Los Angeles Butt Men</v>
      </c>
      <c r="C7" s="26">
        <f>VLOOKUP(A7,Points2017!$A$14:$P$23,16,FALSE)</f>
        <v>3</v>
      </c>
      <c r="D7" s="27">
        <f t="shared" si="0"/>
        <v>-2</v>
      </c>
      <c r="E7" s="28" t="str">
        <f t="shared" si="1"/>
        <v>-2</v>
      </c>
      <c r="F7" s="29" t="str">
        <f t="shared" si="2"/>
        <v>4 - 3</v>
      </c>
      <c r="G7" s="30">
        <f>INDEX(Points2017!AG$3:AG$12,MATCH(Sheet1!B7,Points2017!R$3:R$12,0))</f>
        <v>-0.20947800276431386</v>
      </c>
      <c r="H7" s="8"/>
      <c r="I7" s="7"/>
      <c r="J7" s="2">
        <v>3</v>
      </c>
      <c r="K7" s="2"/>
      <c r="O7" s="12">
        <f>INDEX(Points2017!P$3:P$12,MATCH(Sheet1!B7,Points2017!B$3:B$12,0),1)</f>
        <v>4</v>
      </c>
    </row>
    <row r="8" spans="1:16" ht="27.75" customHeight="1" x14ac:dyDescent="0.25">
      <c r="A8" s="26">
        <v>6</v>
      </c>
      <c r="B8" s="26" t="str">
        <f>VLOOKUP(A8,Points2017!$A$14:$K$23,2,FALSE)</f>
        <v>Fortune Favors The Bold</v>
      </c>
      <c r="C8" s="26">
        <f>VLOOKUP(A8,Points2017!$A$14:$P$23,16,FALSE)</f>
        <v>7</v>
      </c>
      <c r="D8" s="27">
        <f t="shared" si="0"/>
        <v>1</v>
      </c>
      <c r="E8" s="28" t="str">
        <f t="shared" si="1"/>
        <v>+1</v>
      </c>
      <c r="F8" s="29" t="str">
        <f t="shared" si="2"/>
        <v>4 - 3</v>
      </c>
      <c r="G8" s="30">
        <f>INDEX(Points2017!AG$3:AG$12,MATCH(Sheet1!B8,Points2017!R$3:R$12,0))</f>
        <v>0.20947800276431344</v>
      </c>
      <c r="H8" s="8"/>
      <c r="I8" s="7"/>
      <c r="J8" s="2">
        <v>3</v>
      </c>
      <c r="K8" s="2"/>
      <c r="O8" s="12">
        <f>INDEX(Points2017!P$3:P$12,MATCH(Sheet1!B8,Points2017!B$3:B$12,0),1)</f>
        <v>4</v>
      </c>
    </row>
    <row r="9" spans="1:16" ht="27.75" customHeight="1" x14ac:dyDescent="0.25">
      <c r="A9" s="26">
        <v>7</v>
      </c>
      <c r="B9" s="26" t="str">
        <f>VLOOKUP(A9,Points2017!$A$14:$K$23,2,FALSE)</f>
        <v>G - Lit</v>
      </c>
      <c r="C9" s="26">
        <f>VLOOKUP(A9,Points2017!$A$14:$P$23,16,FALSE)</f>
        <v>10</v>
      </c>
      <c r="D9" s="27">
        <f t="shared" si="0"/>
        <v>3</v>
      </c>
      <c r="E9" s="28" t="str">
        <f t="shared" si="1"/>
        <v>+3</v>
      </c>
      <c r="F9" s="29" t="str">
        <f t="shared" si="2"/>
        <v>2 - 5</v>
      </c>
      <c r="G9" s="30">
        <f>INDEX(Points2017!AG$3:AG$12,MATCH(Sheet1!B9,Points2017!R$3:R$12,0))</f>
        <v>-0.41895600552862772</v>
      </c>
      <c r="H9" s="8"/>
      <c r="I9" s="7"/>
      <c r="J9" s="2">
        <v>3</v>
      </c>
      <c r="K9" s="2"/>
      <c r="O9" s="12">
        <f>INDEX(Points2017!P$3:P$12,MATCH(Sheet1!B9,Points2017!B$3:B$12,0),1)</f>
        <v>2</v>
      </c>
    </row>
    <row r="10" spans="1:16" ht="27.75" customHeight="1" x14ac:dyDescent="0.25">
      <c r="A10" s="26">
        <v>8</v>
      </c>
      <c r="B10" s="26" t="str">
        <f>VLOOKUP(A10,Points2017!$A$14:$K$23,2,FALSE)</f>
        <v>Elite Tostitos</v>
      </c>
      <c r="C10" s="26">
        <f>VLOOKUP(A10,Points2017!$A$14:$P$23,16,FALSE)</f>
        <v>5</v>
      </c>
      <c r="D10" s="27">
        <f t="shared" si="0"/>
        <v>-3</v>
      </c>
      <c r="E10" s="28" t="str">
        <f t="shared" si="1"/>
        <v>-3</v>
      </c>
      <c r="F10" s="29" t="str">
        <f t="shared" si="2"/>
        <v>4 - 3</v>
      </c>
      <c r="G10" s="30">
        <f>INDEX(Points2017!AG$3:AG$12,MATCH(Sheet1!B10,Points2017!R$3:R$12,0))</f>
        <v>1.0473900138215684</v>
      </c>
      <c r="H10" s="8"/>
      <c r="I10" s="7"/>
      <c r="J10" s="2">
        <v>3</v>
      </c>
      <c r="K10" s="2"/>
      <c r="O10" s="12">
        <f>INDEX(Points2017!P$3:P$12,MATCH(Sheet1!B10,Points2017!B$3:B$12,0),1)</f>
        <v>4</v>
      </c>
    </row>
    <row r="11" spans="1:16" ht="27.75" customHeight="1" x14ac:dyDescent="0.25">
      <c r="A11" s="26">
        <v>9</v>
      </c>
      <c r="B11" s="26" t="str">
        <f>VLOOKUP(A11,Points2017!$A$14:$K$23,2,FALSE)</f>
        <v>My Cousin Vinatieri</v>
      </c>
      <c r="C11" s="26">
        <f>VLOOKUP(A11,Points2017!$A$14:$P$23,16,FALSE)</f>
        <v>4</v>
      </c>
      <c r="D11" s="27">
        <f t="shared" si="0"/>
        <v>-5</v>
      </c>
      <c r="E11" s="28" t="str">
        <f t="shared" si="1"/>
        <v>-5</v>
      </c>
      <c r="F11" s="29" t="str">
        <f t="shared" si="2"/>
        <v>3 - 4</v>
      </c>
      <c r="G11" s="30">
        <f>INDEX(Points2017!AG$3:AG$12,MATCH(Sheet1!B11,Points2017!R$3:R$12,0))</f>
        <v>-0.83791201105725499</v>
      </c>
      <c r="H11" s="8"/>
      <c r="I11" s="7"/>
      <c r="J11" s="2">
        <v>3</v>
      </c>
      <c r="K11" s="2"/>
      <c r="O11" s="12">
        <f>INDEX(Points2017!P$3:P$12,MATCH(Sheet1!B11,Points2017!B$3:B$12,0),1)</f>
        <v>3</v>
      </c>
    </row>
    <row r="12" spans="1:16" ht="27.75" customHeight="1" x14ac:dyDescent="0.25">
      <c r="A12" s="21">
        <v>10</v>
      </c>
      <c r="B12" s="21" t="str">
        <f>VLOOKUP(A12,Points2017!$A$14:$K$23,2,FALSE)</f>
        <v>21 Thicc Titans</v>
      </c>
      <c r="C12" s="21">
        <f>VLOOKUP(A12,Points2017!$A$14:$P$23,16,FALSE)</f>
        <v>9</v>
      </c>
      <c r="D12" s="22">
        <f t="shared" si="0"/>
        <v>-1</v>
      </c>
      <c r="E12" s="23" t="str">
        <f t="shared" si="1"/>
        <v>-1</v>
      </c>
      <c r="F12" s="24" t="str">
        <f t="shared" si="2"/>
        <v>3 - 4</v>
      </c>
      <c r="G12" s="25">
        <f>INDEX(Points2017!AG$3:AG$12,MATCH(Sheet1!B12,Points2017!R$3:R$12,0))</f>
        <v>1.1521290152037258</v>
      </c>
      <c r="H12" s="8"/>
      <c r="I12" s="7"/>
      <c r="J12" s="2">
        <v>4</v>
      </c>
      <c r="K12" s="2"/>
      <c r="O12" s="12">
        <f>INDEX(Points2017!P$3:P$12,MATCH(Sheet1!B12,Points2017!B$3:B$12,0),1)</f>
        <v>3</v>
      </c>
    </row>
    <row r="13" spans="1:16" ht="27.75" customHeight="1" x14ac:dyDescent="0.25">
      <c r="A13" s="2"/>
      <c r="B13" s="2"/>
      <c r="C13" s="2"/>
      <c r="D13" s="6"/>
      <c r="E13" s="3"/>
      <c r="F13" s="10"/>
    </row>
    <row r="14" spans="1:16" ht="27.75" customHeight="1" x14ac:dyDescent="0.25">
      <c r="A14" s="2"/>
      <c r="B14" s="2"/>
      <c r="C14" s="2"/>
      <c r="D14" s="4"/>
      <c r="E14" s="4"/>
      <c r="F14" s="10"/>
    </row>
  </sheetData>
  <mergeCells count="2">
    <mergeCell ref="D2:E2"/>
    <mergeCell ref="A1:G1"/>
  </mergeCells>
  <conditionalFormatting sqref="E3">
    <cfRule type="iconSet" priority="5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6" id="{2813E411-CC6E-4D3A-B28E-257D0A23F910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E3:E12</xm:sqref>
        </x14:conditionalFormatting>
        <x14:conditionalFormatting xmlns:xm="http://schemas.microsoft.com/office/excel/2006/main">
          <x14:cfRule type="iconSet" priority="2" id="{FBB50CCA-8718-4C4B-9EA7-9F6A88946150}">
            <x14:iconSet iconSet="3Triangles">
              <x14:cfvo type="percent">
                <xm:f>0</xm:f>
              </x14:cfvo>
              <x14:cfvo type="num">
                <xm:f>-0.5</xm:f>
              </x14:cfvo>
              <x14:cfvo type="num">
                <xm:f>0.5</xm:f>
              </x14:cfvo>
            </x14:iconSet>
          </x14:cfRule>
          <xm:sqref>D3:D12</xm:sqref>
        </x14:conditionalFormatting>
        <x14:conditionalFormatting xmlns:xm="http://schemas.microsoft.com/office/excel/2006/main">
          <x14:cfRule type="iconSet" priority="1" id="{A9C0EED6-8E36-4EF1-B2F9-68D1D6542A4D}">
            <x14:iconSet iconSet="5Quarters" custom="1">
              <x14:cfvo type="percent">
                <xm:f>0</xm:f>
              </x14:cfvo>
              <x14:cfvo type="num">
                <xm:f>-2</xm:f>
              </x14:cfvo>
              <x14:cfvo type="num">
                <xm:f>-1</xm:f>
              </x14:cfvo>
              <x14:cfvo type="num">
                <xm:f>1</xm:f>
              </x14:cfvo>
              <x14:cfvo type="num">
                <xm:f>2</xm:f>
              </x14:cfvo>
              <x14:cfIcon iconSet="4RedToBlack" iconId="3"/>
              <x14:cfIcon iconSet="4RedToBlack" iconId="2"/>
              <x14:cfIcon iconSet="5Quarters" iconId="0"/>
              <x14:cfIcon iconSet="3Stars" iconId="1"/>
              <x14:cfIcon iconSet="3Stars" iconId="2"/>
            </x14:iconSet>
          </x14:cfRule>
          <xm:sqref>G3:G12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Points2017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Rohit G</dc:creator>
  <cp:lastModifiedBy>Rohit</cp:lastModifiedBy>
  <dcterms:created xsi:type="dcterms:W3CDTF">2016-11-07T05:01:26Z</dcterms:created>
  <dcterms:modified xsi:type="dcterms:W3CDTF">2017-10-24T04:15:39Z</dcterms:modified>
</cp:coreProperties>
</file>