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hit\Documents\GitHub\FantasyFootball\2018\"/>
    </mc:Choice>
  </mc:AlternateContent>
  <bookViews>
    <workbookView xWindow="0" yWindow="0" windowWidth="20490" windowHeight="7530" activeTab="1"/>
  </bookViews>
  <sheets>
    <sheet name="Points2018" sheetId="1" r:id="rId1"/>
    <sheet name="List" sheetId="2" r:id="rId2"/>
    <sheet name="probwin" sheetId="3" r:id="rId3"/>
  </sheets>
  <calcPr calcId="162913"/>
</workbook>
</file>

<file path=xl/calcChain.xml><?xml version="1.0" encoding="utf-8"?>
<calcChain xmlns="http://schemas.openxmlformats.org/spreadsheetml/2006/main">
  <c r="P27" i="1" l="1"/>
  <c r="P28" i="1"/>
  <c r="P29" i="1"/>
  <c r="P30" i="1"/>
  <c r="P31" i="1"/>
  <c r="P32" i="1"/>
  <c r="P33" i="1"/>
  <c r="P34" i="1"/>
  <c r="P35" i="1"/>
  <c r="P26" i="1"/>
  <c r="O26" i="1"/>
  <c r="N28" i="1"/>
  <c r="M28" i="1"/>
  <c r="Q15" i="1" l="1"/>
  <c r="N3" i="3" l="1"/>
  <c r="K14" i="1" l="1"/>
  <c r="C14" i="1" s="1"/>
  <c r="O14" i="1"/>
  <c r="S3" i="1"/>
  <c r="M14" i="1" l="1"/>
  <c r="L14" i="1"/>
  <c r="D38" i="3" l="1"/>
  <c r="E38" i="3"/>
  <c r="F38" i="3"/>
  <c r="G38" i="3"/>
  <c r="H38" i="3"/>
  <c r="I38" i="3"/>
  <c r="J38" i="3"/>
  <c r="K38" i="3"/>
  <c r="L38" i="3"/>
  <c r="C38" i="3"/>
  <c r="F15" i="3"/>
  <c r="F27" i="3" s="1"/>
  <c r="H15" i="3"/>
  <c r="H27" i="3" s="1"/>
  <c r="J15" i="3"/>
  <c r="J27" i="3" s="1"/>
  <c r="K15" i="3"/>
  <c r="K27" i="3" s="1"/>
  <c r="L15" i="3"/>
  <c r="D16" i="3"/>
  <c r="D28" i="3" s="1"/>
  <c r="F16" i="3"/>
  <c r="I16" i="3"/>
  <c r="I28" i="3" s="1"/>
  <c r="J16" i="3"/>
  <c r="J28" i="3" s="1"/>
  <c r="E17" i="3"/>
  <c r="E29" i="3" s="1"/>
  <c r="G17" i="3"/>
  <c r="G29" i="3" s="1"/>
  <c r="H17" i="3"/>
  <c r="I17" i="3"/>
  <c r="I29" i="3" s="1"/>
  <c r="K17" i="3"/>
  <c r="K29" i="3" s="1"/>
  <c r="D18" i="3"/>
  <c r="F18" i="3"/>
  <c r="F30" i="3" s="1"/>
  <c r="H18" i="3"/>
  <c r="H30" i="3" s="1"/>
  <c r="J18" i="3"/>
  <c r="J30" i="3" s="1"/>
  <c r="E19" i="3"/>
  <c r="E31" i="3" s="1"/>
  <c r="G19" i="3"/>
  <c r="G31" i="3" s="1"/>
  <c r="I19" i="3"/>
  <c r="I31" i="3" s="1"/>
  <c r="K19" i="3"/>
  <c r="K31" i="3" s="1"/>
  <c r="L19" i="3"/>
  <c r="L31" i="3" s="1"/>
  <c r="E20" i="3"/>
  <c r="F20" i="3"/>
  <c r="F32" i="3" s="1"/>
  <c r="H20" i="3"/>
  <c r="H32" i="3" s="1"/>
  <c r="L20" i="3"/>
  <c r="L32" i="3" s="1"/>
  <c r="D21" i="3"/>
  <c r="D33" i="3" s="1"/>
  <c r="E21" i="3"/>
  <c r="E33" i="3" s="1"/>
  <c r="G21" i="3"/>
  <c r="G33" i="3" s="1"/>
  <c r="I21" i="3"/>
  <c r="I33" i="3" s="1"/>
  <c r="L21" i="3"/>
  <c r="L33" i="3" s="1"/>
  <c r="D22" i="3"/>
  <c r="D34" i="3" s="1"/>
  <c r="F22" i="3"/>
  <c r="F34" i="3" s="1"/>
  <c r="J22" i="3"/>
  <c r="J34" i="3" s="1"/>
  <c r="E23" i="3"/>
  <c r="E35" i="3" s="1"/>
  <c r="G23" i="3"/>
  <c r="G35" i="3" s="1"/>
  <c r="G24" i="3"/>
  <c r="G36" i="3" s="1"/>
  <c r="H24" i="3"/>
  <c r="H36" i="3" s="1"/>
  <c r="I24" i="3"/>
  <c r="I36" i="3" s="1"/>
  <c r="C18" i="3"/>
  <c r="C30" i="3" s="1"/>
  <c r="C20" i="3"/>
  <c r="C32" i="3" s="1"/>
  <c r="C22" i="3"/>
  <c r="C34" i="3" s="1"/>
  <c r="C23" i="3"/>
  <c r="C35" i="3" s="1"/>
  <c r="C24" i="3"/>
  <c r="C36" i="3" s="1"/>
  <c r="C15" i="3"/>
  <c r="C27" i="3" s="1"/>
  <c r="P27" i="3" s="1"/>
  <c r="Q34" i="3" l="1"/>
  <c r="S32" i="3"/>
  <c r="P30" i="3"/>
  <c r="V36" i="3"/>
  <c r="W34" i="3"/>
  <c r="Y33" i="3"/>
  <c r="T33" i="3"/>
  <c r="T31" i="3"/>
  <c r="S30" i="3"/>
  <c r="V29" i="3"/>
  <c r="X27" i="3"/>
  <c r="P32" i="3"/>
  <c r="T35" i="3"/>
  <c r="Y32" i="3"/>
  <c r="R29" i="3"/>
  <c r="S27" i="3"/>
  <c r="R35" i="3"/>
  <c r="R33" i="3"/>
  <c r="Y31" i="3"/>
  <c r="W30" i="3"/>
  <c r="W28" i="3"/>
  <c r="W27" i="3"/>
  <c r="V31" i="3"/>
  <c r="X29" i="3"/>
  <c r="P35" i="3"/>
  <c r="U36" i="3"/>
  <c r="P34" i="3"/>
  <c r="T36" i="3"/>
  <c r="S34" i="3"/>
  <c r="V33" i="3"/>
  <c r="Q33" i="3"/>
  <c r="U32" i="3"/>
  <c r="X31" i="3"/>
  <c r="R31" i="3"/>
  <c r="T29" i="3"/>
  <c r="V28" i="3"/>
  <c r="Q28" i="3"/>
  <c r="U27" i="3"/>
  <c r="T3" i="1"/>
  <c r="U3" i="1"/>
  <c r="V3" i="1"/>
  <c r="W3" i="1"/>
  <c r="X3" i="1"/>
  <c r="Y3" i="1"/>
  <c r="Z3" i="1"/>
  <c r="AA3" i="1"/>
  <c r="AB3" i="1"/>
  <c r="AC3" i="1"/>
  <c r="AD3" i="1"/>
  <c r="AE3" i="1"/>
  <c r="T4" i="1"/>
  <c r="U4" i="1"/>
  <c r="V4" i="1"/>
  <c r="W4" i="1"/>
  <c r="X4" i="1"/>
  <c r="Y4" i="1"/>
  <c r="Z4" i="1"/>
  <c r="AA4" i="1"/>
  <c r="AB4" i="1"/>
  <c r="AC4" i="1"/>
  <c r="AD4" i="1"/>
  <c r="AE4" i="1"/>
  <c r="T5" i="1"/>
  <c r="U5" i="1"/>
  <c r="V5" i="1"/>
  <c r="W5" i="1"/>
  <c r="X5" i="1"/>
  <c r="Y5" i="1"/>
  <c r="Z5" i="1"/>
  <c r="AA5" i="1"/>
  <c r="AB5" i="1"/>
  <c r="AC5" i="1"/>
  <c r="AD5" i="1"/>
  <c r="AE5" i="1"/>
  <c r="T6" i="1"/>
  <c r="U6" i="1"/>
  <c r="V6" i="1"/>
  <c r="W6" i="1"/>
  <c r="X6" i="1"/>
  <c r="Y6" i="1"/>
  <c r="Z6" i="1"/>
  <c r="AA6" i="1"/>
  <c r="AB6" i="1"/>
  <c r="AC6" i="1"/>
  <c r="AD6" i="1"/>
  <c r="AE6" i="1"/>
  <c r="T7" i="1"/>
  <c r="U7" i="1"/>
  <c r="V7" i="1"/>
  <c r="W7" i="1"/>
  <c r="X7" i="1"/>
  <c r="Y7" i="1"/>
  <c r="Z7" i="1"/>
  <c r="AA7" i="1"/>
  <c r="AB7" i="1"/>
  <c r="AC7" i="1"/>
  <c r="AD7" i="1"/>
  <c r="AE7" i="1"/>
  <c r="T8" i="1"/>
  <c r="U8" i="1"/>
  <c r="V8" i="1"/>
  <c r="W8" i="1"/>
  <c r="X8" i="1"/>
  <c r="Y8" i="1"/>
  <c r="Z8" i="1"/>
  <c r="AA8" i="1"/>
  <c r="AB8" i="1"/>
  <c r="AC8" i="1"/>
  <c r="AD8" i="1"/>
  <c r="AE8" i="1"/>
  <c r="T9" i="1"/>
  <c r="U9" i="1"/>
  <c r="V9" i="1"/>
  <c r="W9" i="1"/>
  <c r="X9" i="1"/>
  <c r="Y9" i="1"/>
  <c r="Z9" i="1"/>
  <c r="AA9" i="1"/>
  <c r="AB9" i="1"/>
  <c r="AC9" i="1"/>
  <c r="AD9" i="1"/>
  <c r="AE9" i="1"/>
  <c r="T10" i="1"/>
  <c r="U10" i="1"/>
  <c r="V10" i="1"/>
  <c r="W10" i="1"/>
  <c r="X10" i="1"/>
  <c r="Y10" i="1"/>
  <c r="Z10" i="1"/>
  <c r="AA10" i="1"/>
  <c r="AB10" i="1"/>
  <c r="AC10" i="1"/>
  <c r="AD10" i="1"/>
  <c r="AE10" i="1"/>
  <c r="T11" i="1"/>
  <c r="U11" i="1"/>
  <c r="V11" i="1"/>
  <c r="W11" i="1"/>
  <c r="X11" i="1"/>
  <c r="Y11" i="1"/>
  <c r="Z11" i="1"/>
  <c r="AA11" i="1"/>
  <c r="AB11" i="1"/>
  <c r="AC11" i="1"/>
  <c r="AD11" i="1"/>
  <c r="AE11" i="1"/>
  <c r="T12" i="1"/>
  <c r="U12" i="1"/>
  <c r="V12" i="1"/>
  <c r="W12" i="1"/>
  <c r="X12" i="1"/>
  <c r="Y12" i="1"/>
  <c r="Z12" i="1"/>
  <c r="AA12" i="1"/>
  <c r="AB12" i="1"/>
  <c r="AC12" i="1"/>
  <c r="AD12" i="1"/>
  <c r="AE12" i="1"/>
  <c r="S4" i="1"/>
  <c r="S5" i="1"/>
  <c r="S6" i="1"/>
  <c r="S7" i="1"/>
  <c r="S8" i="1"/>
  <c r="S9" i="1"/>
  <c r="S10" i="1"/>
  <c r="S11" i="1"/>
  <c r="S12" i="1"/>
  <c r="E15" i="1" l="1"/>
  <c r="F15" i="1"/>
  <c r="G15" i="1"/>
  <c r="H15" i="1"/>
  <c r="I15" i="1"/>
  <c r="J15" i="1"/>
  <c r="K15" i="1"/>
  <c r="C15" i="1" s="1"/>
  <c r="L15" i="1"/>
  <c r="M15" i="1"/>
  <c r="N15" i="1"/>
  <c r="O15" i="1"/>
  <c r="E16" i="1"/>
  <c r="F16" i="1"/>
  <c r="G16" i="1"/>
  <c r="H16" i="1"/>
  <c r="I16" i="1"/>
  <c r="J16" i="1"/>
  <c r="K16" i="1"/>
  <c r="C16" i="1" s="1"/>
  <c r="L16" i="1"/>
  <c r="M16" i="1"/>
  <c r="N16" i="1"/>
  <c r="O16" i="1"/>
  <c r="E17" i="1"/>
  <c r="F17" i="1"/>
  <c r="G17" i="1"/>
  <c r="H17" i="1"/>
  <c r="I17" i="1"/>
  <c r="J17" i="1"/>
  <c r="K17" i="1"/>
  <c r="C17" i="1" s="1"/>
  <c r="L17" i="1"/>
  <c r="M17" i="1"/>
  <c r="N17" i="1"/>
  <c r="O17" i="1"/>
  <c r="E18" i="1"/>
  <c r="F18" i="1"/>
  <c r="G18" i="1"/>
  <c r="H18" i="1"/>
  <c r="I18" i="1"/>
  <c r="J18" i="1"/>
  <c r="K18" i="1"/>
  <c r="C18" i="1" s="1"/>
  <c r="L18" i="1"/>
  <c r="M18" i="1"/>
  <c r="N18" i="1"/>
  <c r="O18" i="1"/>
  <c r="E19" i="1"/>
  <c r="F19" i="1"/>
  <c r="G19" i="1"/>
  <c r="H19" i="1"/>
  <c r="I19" i="1"/>
  <c r="J19" i="1"/>
  <c r="K19" i="1"/>
  <c r="C19" i="1" s="1"/>
  <c r="L19" i="1"/>
  <c r="M19" i="1"/>
  <c r="N19" i="1"/>
  <c r="O19" i="1"/>
  <c r="E20" i="1"/>
  <c r="F20" i="1"/>
  <c r="G20" i="1"/>
  <c r="H20" i="1"/>
  <c r="I20" i="1"/>
  <c r="J20" i="1"/>
  <c r="K20" i="1"/>
  <c r="C20" i="1" s="1"/>
  <c r="L20" i="1"/>
  <c r="M20" i="1"/>
  <c r="N20" i="1"/>
  <c r="O20" i="1"/>
  <c r="E21" i="1"/>
  <c r="F21" i="1"/>
  <c r="G21" i="1"/>
  <c r="H21" i="1"/>
  <c r="I21" i="1"/>
  <c r="J21" i="1"/>
  <c r="K21" i="1"/>
  <c r="C21" i="1" s="1"/>
  <c r="L21" i="1"/>
  <c r="M21" i="1"/>
  <c r="N21" i="1"/>
  <c r="O21" i="1"/>
  <c r="E22" i="1"/>
  <c r="F22" i="1"/>
  <c r="G22" i="1"/>
  <c r="H22" i="1"/>
  <c r="I22" i="1"/>
  <c r="J22" i="1"/>
  <c r="K22" i="1"/>
  <c r="C22" i="1" s="1"/>
  <c r="L22" i="1"/>
  <c r="M22" i="1"/>
  <c r="N22" i="1"/>
  <c r="O22" i="1"/>
  <c r="E23" i="1"/>
  <c r="F23" i="1"/>
  <c r="G23" i="1"/>
  <c r="H23" i="1"/>
  <c r="I23" i="1"/>
  <c r="J23" i="1"/>
  <c r="K23" i="1"/>
  <c r="C23" i="1" s="1"/>
  <c r="L23" i="1"/>
  <c r="M23" i="1"/>
  <c r="N23" i="1"/>
  <c r="O23" i="1"/>
  <c r="N14" i="1"/>
  <c r="J14" i="1"/>
  <c r="D14" i="1" s="1"/>
  <c r="I14" i="1"/>
  <c r="H14" i="1"/>
  <c r="G14" i="1"/>
  <c r="F14" i="1"/>
  <c r="E14" i="1"/>
  <c r="K18" i="3" l="1"/>
  <c r="K20" i="3"/>
  <c r="K23" i="3"/>
  <c r="K35" i="3" s="1"/>
  <c r="X35" i="3" s="1"/>
  <c r="K22" i="3"/>
  <c r="G16" i="3"/>
  <c r="G18" i="3"/>
  <c r="H21" i="3"/>
  <c r="H23" i="3"/>
  <c r="D15" i="3"/>
  <c r="A14" i="1"/>
  <c r="D17" i="3"/>
  <c r="D19" i="3"/>
  <c r="C16" i="3"/>
  <c r="L17" i="3"/>
  <c r="L22" i="3"/>
  <c r="L24" i="3"/>
  <c r="L36" i="3" s="1"/>
  <c r="Y36" i="3" s="1"/>
  <c r="I20" i="3"/>
  <c r="I22" i="3"/>
  <c r="E24" i="3"/>
  <c r="E16" i="3"/>
  <c r="J24" i="3"/>
  <c r="J21" i="3"/>
  <c r="J23" i="3"/>
  <c r="F23" i="3"/>
  <c r="F19" i="3"/>
  <c r="D15" i="1"/>
  <c r="D20" i="1"/>
  <c r="D16" i="1"/>
  <c r="D22" i="1"/>
  <c r="D18" i="1"/>
  <c r="D23" i="1"/>
  <c r="D19" i="1"/>
  <c r="D21" i="1"/>
  <c r="D17" i="1"/>
  <c r="P13" i="1"/>
  <c r="U1" i="2"/>
  <c r="A1" i="2" s="1"/>
  <c r="P18" i="1" l="1"/>
  <c r="P20" i="1"/>
  <c r="P22" i="1"/>
  <c r="P23" i="1"/>
  <c r="P21" i="1"/>
  <c r="P16" i="1"/>
  <c r="P19" i="1"/>
  <c r="P15" i="1"/>
  <c r="P14" i="1"/>
  <c r="P17" i="1"/>
  <c r="I23" i="3"/>
  <c r="I18" i="3"/>
  <c r="I15" i="3"/>
  <c r="G22" i="3"/>
  <c r="G15" i="3"/>
  <c r="G20" i="3"/>
  <c r="J19" i="3"/>
  <c r="C17" i="3"/>
  <c r="C21" i="3"/>
  <c r="C19" i="3"/>
  <c r="H22" i="3"/>
  <c r="H19" i="3"/>
  <c r="H16" i="3"/>
  <c r="H28" i="3" s="1"/>
  <c r="J20" i="3"/>
  <c r="L18" i="3"/>
  <c r="L30" i="3" s="1"/>
  <c r="L23" i="3"/>
  <c r="L35" i="3" s="1"/>
  <c r="L16" i="3"/>
  <c r="D23" i="3"/>
  <c r="D35" i="3" s="1"/>
  <c r="D24" i="3"/>
  <c r="D20" i="3"/>
  <c r="D32" i="3" s="1"/>
  <c r="E18" i="3"/>
  <c r="E22" i="3"/>
  <c r="E34" i="3" s="1"/>
  <c r="E15" i="3"/>
  <c r="J17" i="3"/>
  <c r="J29" i="3" s="1"/>
  <c r="F24" i="3"/>
  <c r="F36" i="3" s="1"/>
  <c r="F17" i="3"/>
  <c r="F21" i="3"/>
  <c r="K16" i="3"/>
  <c r="K28" i="3" s="1"/>
  <c r="K24" i="3"/>
  <c r="K36" i="3" s="1"/>
  <c r="K21" i="3"/>
  <c r="AF12" i="1"/>
  <c r="AF11" i="1"/>
  <c r="AF10" i="1"/>
  <c r="AF9" i="1"/>
  <c r="AF8" i="1"/>
  <c r="AF7" i="1"/>
  <c r="AF6" i="1"/>
  <c r="AF5" i="1"/>
  <c r="AF4" i="1"/>
  <c r="AF3" i="1"/>
  <c r="A23" i="1"/>
  <c r="A22" i="1"/>
  <c r="A20" i="1"/>
  <c r="A18" i="1"/>
  <c r="A16" i="1"/>
  <c r="A21" i="1"/>
  <c r="A19" i="1"/>
  <c r="A17" i="1"/>
  <c r="A15" i="1"/>
  <c r="E34" i="1" l="1"/>
  <c r="H34" i="1"/>
  <c r="I34" i="1"/>
  <c r="J34" i="1"/>
  <c r="M34" i="1"/>
  <c r="L34" i="1"/>
  <c r="F34" i="1"/>
  <c r="D34" i="1"/>
  <c r="G34" i="1"/>
  <c r="N34" i="1"/>
  <c r="K34" i="1"/>
  <c r="C34" i="1"/>
  <c r="O34" i="1" s="1"/>
  <c r="E26" i="1"/>
  <c r="K27" i="1"/>
  <c r="G29" i="1"/>
  <c r="M30" i="1"/>
  <c r="I32" i="1"/>
  <c r="K35" i="1"/>
  <c r="J26" i="1"/>
  <c r="L31" i="1"/>
  <c r="D26" i="1"/>
  <c r="E27" i="1"/>
  <c r="K28" i="1"/>
  <c r="G30" i="1"/>
  <c r="M31" i="1"/>
  <c r="I33" i="1"/>
  <c r="E35" i="1"/>
  <c r="D33" i="1"/>
  <c r="J35" i="1"/>
  <c r="H29" i="1"/>
  <c r="H33" i="1"/>
  <c r="H26" i="1"/>
  <c r="N27" i="1"/>
  <c r="J29" i="1"/>
  <c r="F31" i="1"/>
  <c r="L32" i="1"/>
  <c r="N35" i="1"/>
  <c r="L29" i="1"/>
  <c r="I26" i="1"/>
  <c r="E28" i="1"/>
  <c r="K29" i="1"/>
  <c r="G31" i="1"/>
  <c r="M32" i="1"/>
  <c r="D27" i="1"/>
  <c r="L27" i="1"/>
  <c r="N32" i="1"/>
  <c r="F26" i="1"/>
  <c r="I27" i="1"/>
  <c r="E29" i="1"/>
  <c r="K30" i="1"/>
  <c r="G32" i="1"/>
  <c r="M33" i="1"/>
  <c r="I35" i="1"/>
  <c r="J33" i="1"/>
  <c r="D30" i="1"/>
  <c r="J30" i="1"/>
  <c r="L26" i="1"/>
  <c r="H28" i="1"/>
  <c r="N29" i="1"/>
  <c r="J31" i="1"/>
  <c r="F33" i="1"/>
  <c r="N30" i="1"/>
  <c r="D32" i="1"/>
  <c r="M26" i="1"/>
  <c r="I28" i="1"/>
  <c r="E30" i="1"/>
  <c r="K31" i="1"/>
  <c r="G33" i="1"/>
  <c r="D31" i="1"/>
  <c r="G26" i="1"/>
  <c r="M27" i="1"/>
  <c r="I29" i="1"/>
  <c r="E31" i="1"/>
  <c r="K32" i="1"/>
  <c r="M35" i="1"/>
  <c r="N26" i="1"/>
  <c r="H31" i="1"/>
  <c r="H35" i="1"/>
  <c r="F27" i="1"/>
  <c r="L28" i="1"/>
  <c r="H30" i="1"/>
  <c r="N31" i="1"/>
  <c r="N33" i="1"/>
  <c r="H27" i="1"/>
  <c r="J32" i="1"/>
  <c r="G27" i="1"/>
  <c r="I30" i="1"/>
  <c r="E32" i="1"/>
  <c r="K33" i="1"/>
  <c r="G35" i="1"/>
  <c r="D35" i="1"/>
  <c r="F30" i="1"/>
  <c r="L35" i="1"/>
  <c r="K26" i="1"/>
  <c r="G28" i="1"/>
  <c r="M29" i="1"/>
  <c r="I31" i="1"/>
  <c r="E33" i="1"/>
  <c r="D29" i="1"/>
  <c r="F35" i="1"/>
  <c r="F28" i="1"/>
  <c r="F32" i="1"/>
  <c r="D28" i="1"/>
  <c r="J27" i="1"/>
  <c r="F29" i="1"/>
  <c r="L30" i="1"/>
  <c r="H32" i="1"/>
  <c r="J28" i="1"/>
  <c r="L33" i="1"/>
  <c r="O14" i="3"/>
  <c r="C27" i="1"/>
  <c r="O27" i="1" s="1"/>
  <c r="C31" i="1"/>
  <c r="O31" i="1" s="1"/>
  <c r="C28" i="1"/>
  <c r="O28" i="1" s="1"/>
  <c r="C30" i="1"/>
  <c r="O30" i="1" s="1"/>
  <c r="C32" i="1"/>
  <c r="O32" i="1" s="1"/>
  <c r="C33" i="1"/>
  <c r="O33" i="1" s="1"/>
  <c r="C26" i="1"/>
  <c r="C29" i="1"/>
  <c r="O29" i="1" s="1"/>
  <c r="C35" i="1"/>
  <c r="O35" i="1" s="1"/>
  <c r="O15" i="3"/>
  <c r="AG6" i="1"/>
  <c r="AG10" i="1"/>
  <c r="AG3" i="1"/>
  <c r="AG5" i="1"/>
  <c r="AG9" i="1"/>
  <c r="AG7" i="1"/>
  <c r="AG11" i="1"/>
  <c r="AG4" i="1"/>
  <c r="AG8" i="1"/>
  <c r="AG12" i="1"/>
  <c r="AF14" i="1"/>
  <c r="C4" i="2"/>
  <c r="C8" i="2"/>
  <c r="C12" i="2"/>
  <c r="C5" i="2"/>
  <c r="C9" i="2"/>
  <c r="C3" i="2"/>
  <c r="C6" i="2"/>
  <c r="C10" i="2"/>
  <c r="B3" i="2"/>
  <c r="C7" i="2"/>
  <c r="C11" i="2"/>
  <c r="B4" i="2"/>
  <c r="K4" i="2" s="1"/>
  <c r="B8" i="2"/>
  <c r="K8" i="2" s="1"/>
  <c r="B12" i="2"/>
  <c r="K12" i="2" s="1"/>
  <c r="B9" i="2"/>
  <c r="K9" i="2" s="1"/>
  <c r="B5" i="2"/>
  <c r="K5" i="2" s="1"/>
  <c r="B6" i="2"/>
  <c r="K6" i="2" s="1"/>
  <c r="B10" i="2"/>
  <c r="K10" i="2" s="1"/>
  <c r="B7" i="2"/>
  <c r="K7" i="2" s="1"/>
  <c r="B11" i="2"/>
  <c r="K11" i="2" s="1"/>
  <c r="C31" i="3" l="1"/>
  <c r="P31" i="3" s="1"/>
  <c r="E28" i="3"/>
  <c r="D29" i="3"/>
  <c r="Q29" i="3" s="1"/>
  <c r="H29" i="3"/>
  <c r="U29" i="3" s="1"/>
  <c r="L29" i="3"/>
  <c r="Y29" i="3" s="1"/>
  <c r="G30" i="3"/>
  <c r="K30" i="3"/>
  <c r="X30" i="3" s="1"/>
  <c r="F31" i="3"/>
  <c r="S31" i="3" s="1"/>
  <c r="J31" i="3"/>
  <c r="W31" i="3" s="1"/>
  <c r="E32" i="3"/>
  <c r="I32" i="3"/>
  <c r="V32" i="3" s="1"/>
  <c r="H33" i="3"/>
  <c r="U33" i="3" s="1"/>
  <c r="G34" i="3"/>
  <c r="T34" i="3" s="1"/>
  <c r="F35" i="3"/>
  <c r="E36" i="3"/>
  <c r="R36" i="3" s="1"/>
  <c r="C28" i="3"/>
  <c r="P28" i="3" s="1"/>
  <c r="G27" i="3"/>
  <c r="T27" i="3" s="1"/>
  <c r="F28" i="3"/>
  <c r="D30" i="3"/>
  <c r="Q30" i="3" s="1"/>
  <c r="J32" i="3"/>
  <c r="W32" i="3" s="1"/>
  <c r="H34" i="3"/>
  <c r="U34" i="3" s="1"/>
  <c r="L34" i="3"/>
  <c r="J36" i="3"/>
  <c r="W36" i="3" s="1"/>
  <c r="F33" i="3"/>
  <c r="S33" i="3" s="1"/>
  <c r="C29" i="3"/>
  <c r="C33" i="3"/>
  <c r="D27" i="3"/>
  <c r="Q27" i="3" s="1"/>
  <c r="L27" i="3"/>
  <c r="Y27" i="3" s="1"/>
  <c r="G28" i="3"/>
  <c r="T28" i="3" s="1"/>
  <c r="F29" i="3"/>
  <c r="E30" i="3"/>
  <c r="R30" i="3" s="1"/>
  <c r="I30" i="3"/>
  <c r="V30" i="3" s="1"/>
  <c r="D31" i="3"/>
  <c r="Q31" i="3" s="1"/>
  <c r="H31" i="3"/>
  <c r="G32" i="3"/>
  <c r="T32" i="3" s="1"/>
  <c r="K32" i="3"/>
  <c r="X32" i="3" s="1"/>
  <c r="J33" i="3"/>
  <c r="W33" i="3" s="1"/>
  <c r="I34" i="3"/>
  <c r="V34" i="3" s="1"/>
  <c r="H35" i="3"/>
  <c r="U35" i="3" s="1"/>
  <c r="E27" i="3"/>
  <c r="R27" i="3" s="1"/>
  <c r="I27" i="3"/>
  <c r="L28" i="3"/>
  <c r="K33" i="3"/>
  <c r="X33" i="3" s="1"/>
  <c r="I35" i="3"/>
  <c r="V35" i="3" s="1"/>
  <c r="D36" i="3"/>
  <c r="Q36" i="3" s="1"/>
  <c r="K34" i="3"/>
  <c r="J35" i="3"/>
  <c r="W35" i="3" s="1"/>
  <c r="K3" i="2"/>
  <c r="K14" i="2" s="1"/>
  <c r="L6" i="2" s="1"/>
  <c r="G3" i="2"/>
  <c r="U30" i="3"/>
  <c r="T30" i="3"/>
  <c r="X34" i="3"/>
  <c r="S28" i="3"/>
  <c r="S35" i="3"/>
  <c r="P36" i="3"/>
  <c r="P33" i="3"/>
  <c r="U28" i="3"/>
  <c r="Y34" i="3"/>
  <c r="R28" i="3"/>
  <c r="R32" i="3"/>
  <c r="Q32" i="3"/>
  <c r="X36" i="3"/>
  <c r="S29" i="3"/>
  <c r="Y35" i="3"/>
  <c r="Y28" i="3"/>
  <c r="S36" i="3"/>
  <c r="R34" i="3"/>
  <c r="U31" i="3"/>
  <c r="Y30" i="3"/>
  <c r="W29" i="3"/>
  <c r="Q35" i="3"/>
  <c r="AG14" i="1"/>
  <c r="K17" i="2" l="1"/>
  <c r="O9" i="2" s="1"/>
  <c r="K16" i="2"/>
  <c r="N8" i="2" s="1"/>
  <c r="K15" i="2"/>
  <c r="M10" i="2" s="1"/>
  <c r="L7" i="2"/>
  <c r="O3" i="2"/>
  <c r="L8" i="2"/>
  <c r="N9" i="2"/>
  <c r="L5" i="2"/>
  <c r="L12" i="2"/>
  <c r="L9" i="2"/>
  <c r="M5" i="2"/>
  <c r="L11" i="2"/>
  <c r="L3" i="2"/>
  <c r="L4" i="2"/>
  <c r="L10" i="2"/>
  <c r="C39" i="3"/>
  <c r="K39" i="3"/>
  <c r="X28" i="3"/>
  <c r="X38" i="3" s="1"/>
  <c r="AA34" i="3"/>
  <c r="AA31" i="3"/>
  <c r="AA36" i="3"/>
  <c r="J39" i="3"/>
  <c r="S38" i="3"/>
  <c r="H39" i="3"/>
  <c r="E39" i="3"/>
  <c r="AA33" i="3"/>
  <c r="L39" i="3"/>
  <c r="T38" i="3"/>
  <c r="D39" i="3"/>
  <c r="W38" i="3"/>
  <c r="Y38" i="3"/>
  <c r="G39" i="3"/>
  <c r="AA30" i="3"/>
  <c r="R38" i="3"/>
  <c r="P29" i="3"/>
  <c r="P38" i="3" s="1"/>
  <c r="F39" i="3"/>
  <c r="AA32" i="3"/>
  <c r="Q38" i="3"/>
  <c r="V27" i="3"/>
  <c r="V38" i="3" s="1"/>
  <c r="I39" i="3"/>
  <c r="AA35" i="3"/>
  <c r="U38" i="3"/>
  <c r="G8" i="2"/>
  <c r="G4" i="2"/>
  <c r="G11" i="2"/>
  <c r="G7" i="2"/>
  <c r="G5" i="2"/>
  <c r="G9" i="2"/>
  <c r="T9" i="2"/>
  <c r="F9" i="2" s="1"/>
  <c r="T6" i="2"/>
  <c r="F6" i="2" s="1"/>
  <c r="G6" i="2"/>
  <c r="T12" i="2"/>
  <c r="F12" i="2" s="1"/>
  <c r="G12" i="2"/>
  <c r="G10" i="2"/>
  <c r="T4" i="2"/>
  <c r="F4" i="2" s="1"/>
  <c r="D11" i="2"/>
  <c r="E9" i="2"/>
  <c r="D5" i="2"/>
  <c r="D12" i="2"/>
  <c r="D10" i="2"/>
  <c r="T8" i="2"/>
  <c r="F8" i="2" s="1"/>
  <c r="T5" i="2"/>
  <c r="F5" i="2" s="1"/>
  <c r="T10" i="2"/>
  <c r="F10" i="2" s="1"/>
  <c r="T3" i="2"/>
  <c r="F3" i="2" s="1"/>
  <c r="E7" i="2"/>
  <c r="E8" i="2"/>
  <c r="E6" i="2"/>
  <c r="E4" i="2"/>
  <c r="D3" i="2"/>
  <c r="T7" i="2"/>
  <c r="F7" i="2" s="1"/>
  <c r="T11" i="2"/>
  <c r="F11" i="2" s="1"/>
  <c r="O12" i="2" l="1"/>
  <c r="O11" i="2"/>
  <c r="M4" i="2"/>
  <c r="O6" i="2"/>
  <c r="N10" i="2"/>
  <c r="O8" i="2"/>
  <c r="O10" i="2"/>
  <c r="O7" i="2"/>
  <c r="O5" i="2"/>
  <c r="M9" i="2"/>
  <c r="O4" i="2"/>
  <c r="M7" i="2"/>
  <c r="N5" i="2"/>
  <c r="M3" i="2"/>
  <c r="M12" i="2"/>
  <c r="M6" i="2"/>
  <c r="M8" i="2"/>
  <c r="N11" i="2"/>
  <c r="M11" i="2"/>
  <c r="N12" i="2"/>
  <c r="N7" i="2"/>
  <c r="N4" i="2"/>
  <c r="N6" i="2"/>
  <c r="N3" i="2"/>
  <c r="P3" i="2" s="1"/>
  <c r="Q3" i="2" s="1"/>
  <c r="H3" i="2" s="1"/>
  <c r="AB36" i="3"/>
  <c r="AB32" i="3"/>
  <c r="Y39" i="3"/>
  <c r="U39" i="3"/>
  <c r="Q39" i="3"/>
  <c r="AB34" i="3"/>
  <c r="W39" i="3"/>
  <c r="S39" i="3"/>
  <c r="AB33" i="3"/>
  <c r="V39" i="3"/>
  <c r="R39" i="3"/>
  <c r="AB35" i="3"/>
  <c r="AB31" i="3"/>
  <c r="X39" i="3"/>
  <c r="T39" i="3"/>
  <c r="P39" i="3"/>
  <c r="AB30" i="3"/>
  <c r="AA27" i="3"/>
  <c r="AB27" i="3" s="1"/>
  <c r="P5" i="2"/>
  <c r="Q5" i="2" s="1"/>
  <c r="H5" i="2" s="1"/>
  <c r="P9" i="2"/>
  <c r="Q9" i="2" s="1"/>
  <c r="H9" i="2" s="1"/>
  <c r="P8" i="2"/>
  <c r="Q8" i="2" s="1"/>
  <c r="H8" i="2" s="1"/>
  <c r="P4" i="2"/>
  <c r="Q4" i="2" s="1"/>
  <c r="H4" i="2" s="1"/>
  <c r="P11" i="2"/>
  <c r="Q11" i="2" s="1"/>
  <c r="H11" i="2" s="1"/>
  <c r="AA28" i="3"/>
  <c r="AB28" i="3" s="1"/>
  <c r="G40" i="3"/>
  <c r="J40" i="3"/>
  <c r="H40" i="3"/>
  <c r="F40" i="3"/>
  <c r="C40" i="3"/>
  <c r="D40" i="3"/>
  <c r="K40" i="3"/>
  <c r="AA29" i="3"/>
  <c r="AB29" i="3" s="1"/>
  <c r="I40" i="3"/>
  <c r="L40" i="3"/>
  <c r="E40" i="3"/>
  <c r="D4" i="2"/>
  <c r="E12" i="2"/>
  <c r="D9" i="2"/>
  <c r="D6" i="2"/>
  <c r="E10" i="2"/>
  <c r="E3" i="2"/>
  <c r="D7" i="2"/>
  <c r="E11" i="2"/>
  <c r="D8" i="2"/>
  <c r="E5" i="2"/>
  <c r="P10" i="2" l="1"/>
  <c r="Q10" i="2" s="1"/>
  <c r="H10" i="2" s="1"/>
  <c r="P7" i="2"/>
  <c r="Q7" i="2" s="1"/>
  <c r="H7" i="2" s="1"/>
  <c r="P12" i="2"/>
  <c r="Q12" i="2" s="1"/>
  <c r="H12" i="2" s="1"/>
  <c r="P6" i="2"/>
  <c r="Q6" i="2" s="1"/>
  <c r="H6" i="2" s="1"/>
  <c r="AC36" i="3"/>
  <c r="AC31" i="3"/>
  <c r="AC28" i="3"/>
  <c r="AC30" i="3"/>
  <c r="AC33" i="3"/>
  <c r="AC29" i="3"/>
  <c r="AC35" i="3"/>
  <c r="AC27" i="3"/>
  <c r="AC34" i="3"/>
  <c r="AC32" i="3"/>
  <c r="P40" i="3"/>
  <c r="AC37" i="3" l="1"/>
</calcChain>
</file>

<file path=xl/sharedStrings.xml><?xml version="1.0" encoding="utf-8"?>
<sst xmlns="http://schemas.openxmlformats.org/spreadsheetml/2006/main" count="155" uniqueCount="47">
  <si>
    <t>Team</t>
  </si>
  <si>
    <t>Week1</t>
  </si>
  <si>
    <t>Week2</t>
  </si>
  <si>
    <t>Week3</t>
  </si>
  <si>
    <t>Week4</t>
  </si>
  <si>
    <t>week5</t>
  </si>
  <si>
    <t>week6</t>
  </si>
  <si>
    <t>POWER SCORES</t>
  </si>
  <si>
    <t>REAL SCORES</t>
  </si>
  <si>
    <t>POWER SCORES SORTED</t>
  </si>
  <si>
    <t>Wins</t>
  </si>
  <si>
    <t>Prob of winning</t>
  </si>
  <si>
    <t>Expected wins</t>
  </si>
  <si>
    <t>Rank</t>
  </si>
  <si>
    <t>Teams</t>
  </si>
  <si>
    <t>Last Wk</t>
  </si>
  <si>
    <t>CHG</t>
  </si>
  <si>
    <t>RCRD</t>
  </si>
  <si>
    <t>Luck</t>
  </si>
  <si>
    <t>Week</t>
  </si>
  <si>
    <t>This Wk</t>
  </si>
  <si>
    <t>Week:</t>
  </si>
  <si>
    <t>&lt;-last wk ranks</t>
  </si>
  <si>
    <t>Current wins</t>
  </si>
  <si>
    <t>Expected win</t>
  </si>
  <si>
    <t>Curse of the Commish</t>
  </si>
  <si>
    <t>Rolls Royces</t>
  </si>
  <si>
    <t>Edison 4ever</t>
  </si>
  <si>
    <t>Akshay's Team</t>
  </si>
  <si>
    <t>Belee Dat</t>
  </si>
  <si>
    <t>Fly Iggles Fly</t>
  </si>
  <si>
    <t>Team ATAC</t>
  </si>
  <si>
    <t>Pranay's Team</t>
  </si>
  <si>
    <t>Galit's Team</t>
  </si>
  <si>
    <t>Broncos Forever</t>
  </si>
  <si>
    <t>min</t>
  </si>
  <si>
    <t>20th</t>
  </si>
  <si>
    <t>40th</t>
  </si>
  <si>
    <t>60th</t>
  </si>
  <si>
    <t>80th</t>
  </si>
  <si>
    <t>20th%</t>
  </si>
  <si>
    <t>40th%</t>
  </si>
  <si>
    <t>60th%</t>
  </si>
  <si>
    <t>80th%</t>
  </si>
  <si>
    <t>kmeans</t>
  </si>
  <si>
    <t>TIER</t>
  </si>
  <si>
    <t>expected finish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</si>
</sst>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34" borderId="0" xfId="0" applyFill="1"/>
    <xf numFmtId="49" fontId="0" fillId="33" borderId="0" xfId="0" applyNumberFormat="1" applyFill="1" applyBorder="1" applyAlignment="1">
      <alignment horizontal="left"/>
    </xf>
    <xf numFmtId="0" fontId="0" fillId="35" borderId="0" xfId="0" applyFill="1"/>
    <xf numFmtId="0" fontId="0" fillId="36" borderId="0" xfId="0" applyFill="1"/>
    <xf numFmtId="0" fontId="0" fillId="35" borderId="0" xfId="0" applyFill="1" applyBorder="1" applyAlignment="1">
      <alignment horizontal="center"/>
    </xf>
    <xf numFmtId="0" fontId="0" fillId="35" borderId="0" xfId="0" quotePrefix="1" applyFill="1" applyBorder="1" applyAlignment="1">
      <alignment horizontal="center" vertical="center"/>
    </xf>
    <xf numFmtId="0" fontId="17" fillId="35" borderId="0" xfId="0" applyFont="1" applyFill="1" applyBorder="1"/>
    <xf numFmtId="0" fontId="0" fillId="37" borderId="0" xfId="0" applyFill="1" applyBorder="1" applyAlignment="1">
      <alignment horizontal="center"/>
    </xf>
    <xf numFmtId="0" fontId="0" fillId="37" borderId="0" xfId="0" quotePrefix="1" applyFill="1" applyBorder="1" applyAlignment="1">
      <alignment horizontal="center" vertical="center"/>
    </xf>
    <xf numFmtId="0" fontId="17" fillId="37" borderId="0" xfId="0" applyFont="1" applyFill="1" applyBorder="1"/>
    <xf numFmtId="0" fontId="0" fillId="36" borderId="0" xfId="0" applyFill="1" applyBorder="1" applyAlignment="1">
      <alignment horizontal="center"/>
    </xf>
    <xf numFmtId="0" fontId="0" fillId="36" borderId="0" xfId="0" quotePrefix="1" applyFill="1" applyBorder="1" applyAlignment="1">
      <alignment horizontal="center" vertical="center"/>
    </xf>
    <xf numFmtId="0" fontId="17" fillId="36" borderId="0" xfId="0" applyFont="1" applyFill="1" applyBorder="1"/>
    <xf numFmtId="0" fontId="0" fillId="38" borderId="0" xfId="0" applyFill="1" applyBorder="1" applyAlignment="1">
      <alignment horizontal="center"/>
    </xf>
    <xf numFmtId="0" fontId="0" fillId="38" borderId="0" xfId="0" quotePrefix="1" applyFill="1" applyBorder="1" applyAlignment="1">
      <alignment horizontal="center" vertical="center"/>
    </xf>
    <xf numFmtId="0" fontId="17" fillId="38" borderId="0" xfId="0" applyFont="1" applyFill="1" applyBorder="1"/>
    <xf numFmtId="0" fontId="0" fillId="33" borderId="0" xfId="0" applyFill="1" applyBorder="1" applyAlignment="1">
      <alignment horizontal="center"/>
    </xf>
    <xf numFmtId="0" fontId="0" fillId="36" borderId="0" xfId="0" quotePrefix="1" applyFill="1"/>
    <xf numFmtId="0" fontId="0" fillId="0" borderId="0" xfId="0" applyBorder="1"/>
    <xf numFmtId="0" fontId="0" fillId="34" borderId="0" xfId="0" applyFill="1" applyBorder="1"/>
    <xf numFmtId="0" fontId="0" fillId="35" borderId="0" xfId="0" applyFill="1" applyBorder="1" applyAlignment="1">
      <alignment horizontal="center" vertical="center"/>
    </xf>
    <xf numFmtId="0" fontId="0" fillId="38" borderId="0" xfId="0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33" borderId="0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Strength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Points2018!$C$26</c:f>
              <c:strCache>
                <c:ptCount val="1"/>
                <c:pt idx="0">
                  <c:v>Edison 4ever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Points2018!$D$25:$N$25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Points2018!$D$26:$N$26</c:f>
              <c:numCache>
                <c:formatCode>General</c:formatCode>
                <c:ptCount val="11"/>
                <c:pt idx="0">
                  <c:v>75.126277084950274</c:v>
                </c:pt>
                <c:pt idx="1">
                  <c:v>80.612329514866559</c:v>
                </c:pt>
                <c:pt idx="2">
                  <c:v>91.983319359243893</c:v>
                </c:pt>
                <c:pt idx="3">
                  <c:v>89.524542547548791</c:v>
                </c:pt>
                <c:pt idx="4">
                  <c:v>92.552834932086739</c:v>
                </c:pt>
                <c:pt idx="5">
                  <c:v>99.674308626069688</c:v>
                </c:pt>
                <c:pt idx="6">
                  <c:v>94.28370811799968</c:v>
                </c:pt>
                <c:pt idx="7">
                  <c:v>97.778398159048194</c:v>
                </c:pt>
                <c:pt idx="8">
                  <c:v>98.311033877863068</c:v>
                </c:pt>
                <c:pt idx="9">
                  <c:v>95.822710207306102</c:v>
                </c:pt>
                <c:pt idx="10">
                  <c:v>89.858339435629361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B-4189-A8FF-F37D9312986B}"/>
            </c:ext>
          </c:extLst>
        </c:ser>
        <c:ser>
          <c:idx val="1"/>
          <c:order val="1"/>
          <c:tx>
            <c:strRef>
              <c:f>Points2018!$C$27</c:f>
              <c:strCache>
                <c:ptCount val="1"/>
                <c:pt idx="0">
                  <c:v>Broncos Forever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Points2018!$D$25:$N$25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Points2018!$D$27:$N$27</c:f>
              <c:numCache>
                <c:formatCode>General</c:formatCode>
                <c:ptCount val="11"/>
                <c:pt idx="0">
                  <c:v>90.383241473766603</c:v>
                </c:pt>
                <c:pt idx="1">
                  <c:v>92.642111461436471</c:v>
                </c:pt>
                <c:pt idx="2">
                  <c:v>92.193025530354475</c:v>
                </c:pt>
                <c:pt idx="3">
                  <c:v>94.226483999938964</c:v>
                </c:pt>
                <c:pt idx="4">
                  <c:v>99.728810293183955</c:v>
                </c:pt>
                <c:pt idx="5">
                  <c:v>98.984607762017617</c:v>
                </c:pt>
                <c:pt idx="6">
                  <c:v>98.212342796808642</c:v>
                </c:pt>
                <c:pt idx="7">
                  <c:v>79.301196096209139</c:v>
                </c:pt>
                <c:pt idx="8">
                  <c:v>89.474505004166133</c:v>
                </c:pt>
                <c:pt idx="9">
                  <c:v>88.396981371522656</c:v>
                </c:pt>
                <c:pt idx="10">
                  <c:v>86.072870679265023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B-4189-A8FF-F37D9312986B}"/>
            </c:ext>
          </c:extLst>
        </c:ser>
        <c:ser>
          <c:idx val="2"/>
          <c:order val="2"/>
          <c:tx>
            <c:strRef>
              <c:f>Points2018!$C$28</c:f>
              <c:strCache>
                <c:ptCount val="1"/>
                <c:pt idx="0">
                  <c:v>Belee Dat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Points2018!$D$25:$N$25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Points2018!$D$28:$N$28</c:f>
              <c:numCache>
                <c:formatCode>General</c:formatCode>
                <c:ptCount val="11"/>
                <c:pt idx="0">
                  <c:v>109.11860882271502</c:v>
                </c:pt>
                <c:pt idx="1">
                  <c:v>111.43925463433807</c:v>
                </c:pt>
                <c:pt idx="2">
                  <c:v>101.44425181286884</c:v>
                </c:pt>
                <c:pt idx="3">
                  <c:v>82.050056475757785</c:v>
                </c:pt>
                <c:pt idx="4">
                  <c:v>75.963177361731013</c:v>
                </c:pt>
                <c:pt idx="5">
                  <c:v>83.020326413713107</c:v>
                </c:pt>
                <c:pt idx="6">
                  <c:v>84.507979239974659</c:v>
                </c:pt>
                <c:pt idx="7">
                  <c:v>93.957431537171388</c:v>
                </c:pt>
                <c:pt idx="8">
                  <c:v>89.545925472995336</c:v>
                </c:pt>
                <c:pt idx="9">
                  <c:v>96.594579018749826</c:v>
                </c:pt>
                <c:pt idx="10">
                  <c:v>85.719500312519187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B-4189-A8FF-F37D9312986B}"/>
            </c:ext>
          </c:extLst>
        </c:ser>
        <c:ser>
          <c:idx val="3"/>
          <c:order val="3"/>
          <c:tx>
            <c:strRef>
              <c:f>Points2018!$C$29</c:f>
              <c:strCache>
                <c:ptCount val="1"/>
                <c:pt idx="0">
                  <c:v>Team ATAC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Points2018!$D$25:$N$25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Points2018!$D$29:$N$29</c:f>
              <c:numCache>
                <c:formatCode>General</c:formatCode>
                <c:ptCount val="11"/>
                <c:pt idx="0">
                  <c:v>65.983150353120408</c:v>
                </c:pt>
                <c:pt idx="1">
                  <c:v>78.874900682324039</c:v>
                </c:pt>
                <c:pt idx="2">
                  <c:v>59.700248757908589</c:v>
                </c:pt>
                <c:pt idx="3">
                  <c:v>58.414754986579524</c:v>
                </c:pt>
                <c:pt idx="4">
                  <c:v>66.523756655331141</c:v>
                </c:pt>
                <c:pt idx="5">
                  <c:v>71.991989152864676</c:v>
                </c:pt>
                <c:pt idx="6">
                  <c:v>74.966396903847254</c:v>
                </c:pt>
                <c:pt idx="7">
                  <c:v>81.079844139043601</c:v>
                </c:pt>
                <c:pt idx="8">
                  <c:v>78.297735804164915</c:v>
                </c:pt>
                <c:pt idx="9">
                  <c:v>87.912456417696731</c:v>
                </c:pt>
                <c:pt idx="10">
                  <c:v>83.81594911384687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1B-4189-A8FF-F37D9312986B}"/>
            </c:ext>
          </c:extLst>
        </c:ser>
        <c:ser>
          <c:idx val="4"/>
          <c:order val="4"/>
          <c:tx>
            <c:strRef>
              <c:f>Points2018!$C$30</c:f>
              <c:strCache>
                <c:ptCount val="1"/>
                <c:pt idx="0">
                  <c:v>Pranay's Team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Points2018!$D$25:$N$25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Points2018!$D$30:$N$30</c:f>
              <c:numCache>
                <c:formatCode>General</c:formatCode>
                <c:ptCount val="11"/>
                <c:pt idx="0">
                  <c:v>87.623426758890631</c:v>
                </c:pt>
                <c:pt idx="1">
                  <c:v>86.631659720504587</c:v>
                </c:pt>
                <c:pt idx="2">
                  <c:v>95.224855324352816</c:v>
                </c:pt>
                <c:pt idx="3">
                  <c:v>99.34287710482235</c:v>
                </c:pt>
                <c:pt idx="4">
                  <c:v>95.667750214907841</c:v>
                </c:pt>
                <c:pt idx="5">
                  <c:v>86.008066512724412</c:v>
                </c:pt>
                <c:pt idx="6">
                  <c:v>88.310182786684109</c:v>
                </c:pt>
                <c:pt idx="7">
                  <c:v>79.149247641771296</c:v>
                </c:pt>
                <c:pt idx="8">
                  <c:v>85.594136924218446</c:v>
                </c:pt>
                <c:pt idx="9">
                  <c:v>81.267649431428211</c:v>
                </c:pt>
                <c:pt idx="10">
                  <c:v>80.995955747395527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1B-4189-A8FF-F37D9312986B}"/>
            </c:ext>
          </c:extLst>
        </c:ser>
        <c:ser>
          <c:idx val="5"/>
          <c:order val="5"/>
          <c:tx>
            <c:strRef>
              <c:f>Points2018!$C$31</c:f>
              <c:strCache>
                <c:ptCount val="1"/>
                <c:pt idx="0">
                  <c:v>Rolls Royces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Points2018!$D$25:$N$25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Points2018!$D$31:$N$31</c:f>
              <c:numCache>
                <c:formatCode>General</c:formatCode>
                <c:ptCount val="11"/>
                <c:pt idx="0">
                  <c:v>69.525074981237211</c:v>
                </c:pt>
                <c:pt idx="1">
                  <c:v>80.880705426349778</c:v>
                </c:pt>
                <c:pt idx="2">
                  <c:v>64.623397281629977</c:v>
                </c:pt>
                <c:pt idx="3">
                  <c:v>64.629203113696079</c:v>
                </c:pt>
                <c:pt idx="4">
                  <c:v>60.961699915591232</c:v>
                </c:pt>
                <c:pt idx="5">
                  <c:v>62.779920027210252</c:v>
                </c:pt>
                <c:pt idx="6">
                  <c:v>73.937858393291648</c:v>
                </c:pt>
                <c:pt idx="7">
                  <c:v>80.795703466117232</c:v>
                </c:pt>
                <c:pt idx="8">
                  <c:v>88.391675635038311</c:v>
                </c:pt>
                <c:pt idx="9">
                  <c:v>86.69153310162153</c:v>
                </c:pt>
                <c:pt idx="10">
                  <c:v>72.914717839534347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1B-4189-A8FF-F37D9312986B}"/>
            </c:ext>
          </c:extLst>
        </c:ser>
        <c:ser>
          <c:idx val="6"/>
          <c:order val="6"/>
          <c:tx>
            <c:strRef>
              <c:f>Points2018!$C$32</c:f>
              <c:strCache>
                <c:ptCount val="1"/>
                <c:pt idx="0">
                  <c:v>Curse of the Commish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Points2018!$D$25:$N$25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Points2018!$D$32:$N$32</c:f>
              <c:numCache>
                <c:formatCode>General</c:formatCode>
                <c:ptCount val="11"/>
                <c:pt idx="0">
                  <c:v>59.808993240381639</c:v>
                </c:pt>
                <c:pt idx="1">
                  <c:v>60.756363974885744</c:v>
                </c:pt>
                <c:pt idx="2">
                  <c:v>54.720607733268174</c:v>
                </c:pt>
                <c:pt idx="3">
                  <c:v>64.796562118111439</c:v>
                </c:pt>
                <c:pt idx="4">
                  <c:v>74.472765357234394</c:v>
                </c:pt>
                <c:pt idx="5">
                  <c:v>75.591840688310882</c:v>
                </c:pt>
                <c:pt idx="6">
                  <c:v>66.815357441074397</c:v>
                </c:pt>
                <c:pt idx="7">
                  <c:v>69.507614618389823</c:v>
                </c:pt>
                <c:pt idx="8">
                  <c:v>71.296110451963301</c:v>
                </c:pt>
                <c:pt idx="9">
                  <c:v>68.661267519715167</c:v>
                </c:pt>
                <c:pt idx="10">
                  <c:v>70.670492792338507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1B-4189-A8FF-F37D9312986B}"/>
            </c:ext>
          </c:extLst>
        </c:ser>
        <c:ser>
          <c:idx val="7"/>
          <c:order val="7"/>
          <c:tx>
            <c:strRef>
              <c:f>Points2018!$C$33</c:f>
              <c:strCache>
                <c:ptCount val="1"/>
                <c:pt idx="0">
                  <c:v>Akshay's Team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Points2018!$D$25:$N$25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Points2018!$D$33:$N$33</c:f>
              <c:numCache>
                <c:formatCode>General</c:formatCode>
                <c:ptCount val="11"/>
                <c:pt idx="0">
                  <c:v>68.435853449654019</c:v>
                </c:pt>
                <c:pt idx="1">
                  <c:v>71.753969222317778</c:v>
                </c:pt>
                <c:pt idx="2">
                  <c:v>80.504394713371184</c:v>
                </c:pt>
                <c:pt idx="3">
                  <c:v>82.711975181564782</c:v>
                </c:pt>
                <c:pt idx="4">
                  <c:v>70.477302940763522</c:v>
                </c:pt>
                <c:pt idx="5">
                  <c:v>71.262338075977937</c:v>
                </c:pt>
                <c:pt idx="6">
                  <c:v>46.331199825706769</c:v>
                </c:pt>
                <c:pt idx="7">
                  <c:v>55.243029640877253</c:v>
                </c:pt>
                <c:pt idx="8">
                  <c:v>51.179229524964349</c:v>
                </c:pt>
                <c:pt idx="9">
                  <c:v>59.502898225548428</c:v>
                </c:pt>
                <c:pt idx="10">
                  <c:v>68.371397731121618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1B-4189-A8FF-F37D9312986B}"/>
            </c:ext>
          </c:extLst>
        </c:ser>
        <c:ser>
          <c:idx val="8"/>
          <c:order val="8"/>
          <c:tx>
            <c:strRef>
              <c:f>Points2018!$C$34</c:f>
              <c:strCache>
                <c:ptCount val="1"/>
                <c:pt idx="0">
                  <c:v>Galit's Team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Points2018!$D$25:$N$25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Points2018!$D$34:$N$34</c:f>
              <c:numCache>
                <c:formatCode>General</c:formatCode>
                <c:ptCount val="11"/>
                <c:pt idx="0">
                  <c:v>76.961964427267617</c:v>
                </c:pt>
                <c:pt idx="1">
                  <c:v>90.744831926661334</c:v>
                </c:pt>
                <c:pt idx="2">
                  <c:v>77.025899335914914</c:v>
                </c:pt>
                <c:pt idx="3">
                  <c:v>93.881136550201305</c:v>
                </c:pt>
                <c:pt idx="4">
                  <c:v>97.162957863596844</c:v>
                </c:pt>
                <c:pt idx="5">
                  <c:v>78.328739015014079</c:v>
                </c:pt>
                <c:pt idx="6">
                  <c:v>78.315020367634261</c:v>
                </c:pt>
                <c:pt idx="7">
                  <c:v>83.135689783957957</c:v>
                </c:pt>
                <c:pt idx="8">
                  <c:v>90.425026891449889</c:v>
                </c:pt>
                <c:pt idx="9">
                  <c:v>83.966370203788728</c:v>
                </c:pt>
                <c:pt idx="10">
                  <c:v>67.78880616063816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1B-4189-A8FF-F37D9312986B}"/>
            </c:ext>
          </c:extLst>
        </c:ser>
        <c:ser>
          <c:idx val="9"/>
          <c:order val="9"/>
          <c:tx>
            <c:strRef>
              <c:f>Points2018!$C$35</c:f>
              <c:strCache>
                <c:ptCount val="1"/>
                <c:pt idx="0">
                  <c:v>Fly Iggles Fly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Points2018!$D$25:$N$25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Points2018!$D$35:$N$35</c:f>
              <c:numCache>
                <c:formatCode>General</c:formatCode>
                <c:ptCount val="11"/>
                <c:pt idx="0">
                  <c:v>55.259444006496238</c:v>
                </c:pt>
                <c:pt idx="1">
                  <c:v>67.931395348355153</c:v>
                </c:pt>
                <c:pt idx="2">
                  <c:v>75.515391305328066</c:v>
                </c:pt>
                <c:pt idx="3">
                  <c:v>78.113809669940707</c:v>
                </c:pt>
                <c:pt idx="4">
                  <c:v>78.973386349170696</c:v>
                </c:pt>
                <c:pt idx="5">
                  <c:v>78.753072429577642</c:v>
                </c:pt>
                <c:pt idx="6">
                  <c:v>67.494333666442131</c:v>
                </c:pt>
                <c:pt idx="7">
                  <c:v>68.67551224427703</c:v>
                </c:pt>
                <c:pt idx="8">
                  <c:v>51.471868935927048</c:v>
                </c:pt>
                <c:pt idx="9">
                  <c:v>52.751112726611083</c:v>
                </c:pt>
                <c:pt idx="10">
                  <c:v>47.43681665370849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9-4891-9DCB-684A968A5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99232"/>
        <c:axId val="370501856"/>
      </c:scatterChart>
      <c:valAx>
        <c:axId val="370499232"/>
        <c:scaling>
          <c:orientation val="minMax"/>
          <c:max val="13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01856"/>
        <c:crosses val="autoZero"/>
        <c:crossBetween val="midCat"/>
        <c:majorUnit val="1"/>
      </c:valAx>
      <c:valAx>
        <c:axId val="370501856"/>
        <c:scaling>
          <c:orientation val="minMax"/>
          <c:max val="11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285751</xdr:colOff>
      <xdr:row>20</xdr:row>
      <xdr:rowOff>54429</xdr:rowOff>
    </xdr:from>
    <xdr:to>
      <xdr:col>30</xdr:col>
      <xdr:colOff>176893</xdr:colOff>
      <xdr:row>45</xdr:row>
      <xdr:rowOff>12111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0</xdr:row>
      <xdr:rowOff>265112</xdr:rowOff>
    </xdr:from>
    <xdr:to>
      <xdr:col>6</xdr:col>
      <xdr:colOff>1409699</xdr:colOff>
      <xdr:row>2</xdr:row>
      <xdr:rowOff>0</xdr:rowOff>
    </xdr:to>
    <xdr:grpSp>
      <xdr:nvGrpSpPr>
        <xdr:cNvPr id="97" name="Group 96"/>
        <xdr:cNvGrpSpPr/>
      </xdr:nvGrpSpPr>
      <xdr:grpSpPr>
        <a:xfrm>
          <a:off x="3962400" y="265112"/>
          <a:ext cx="1085849" cy="439738"/>
          <a:chOff x="4114801" y="628649"/>
          <a:chExt cx="1096093" cy="486833"/>
        </a:xfrm>
        <a:solidFill>
          <a:schemeClr val="accent1">
            <a:lumMod val="60000"/>
            <a:lumOff val="40000"/>
          </a:schemeClr>
        </a:solidFill>
      </xdr:grpSpPr>
      <xdr:grpSp>
        <xdr:nvGrpSpPr>
          <xdr:cNvPr id="95" name="Group 94"/>
          <xdr:cNvGrpSpPr/>
        </xdr:nvGrpSpPr>
        <xdr:grpSpPr>
          <a:xfrm>
            <a:off x="4114801" y="628649"/>
            <a:ext cx="1096093" cy="486833"/>
            <a:chOff x="4257677" y="571499"/>
            <a:chExt cx="1106337" cy="486833"/>
          </a:xfrm>
          <a:grpFill/>
        </xdr:grpSpPr>
        <xdr:sp macro="" textlink="">
          <xdr:nvSpPr>
            <xdr:cNvPr id="92" name="TextBox 91"/>
            <xdr:cNvSpPr txBox="1"/>
          </xdr:nvSpPr>
          <xdr:spPr>
            <a:xfrm>
              <a:off x="4257677" y="571499"/>
              <a:ext cx="1106337" cy="486833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   Star=lucky</a:t>
              </a:r>
            </a:p>
            <a:p>
              <a:r>
                <a:rPr lang="en-US" sz="1100"/>
                <a:t>   Red=unlucky</a:t>
              </a:r>
            </a:p>
          </xdr:txBody>
        </xdr:sp>
        <xdr:pic>
          <xdr:nvPicPr>
            <xdr:cNvPr id="93" name="Picture 92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rcRect l="6371" t="2" r="-2" b="6878"/>
            <a:stretch/>
          </xdr:blipFill>
          <xdr:spPr>
            <a:xfrm>
              <a:off x="4269808" y="798277"/>
              <a:ext cx="178344" cy="186240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</xdr:pic>
      </xdr:grpSp>
      <xdr:pic>
        <xdr:nvPicPr>
          <xdr:cNvPr id="96" name="Picture 95"/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 l="5048" t="2" b="-2"/>
          <a:stretch/>
        </xdr:blipFill>
        <xdr:spPr>
          <a:xfrm>
            <a:off x="4124416" y="675059"/>
            <a:ext cx="180859" cy="17142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5"/>
  <sheetViews>
    <sheetView topLeftCell="A22" zoomScaleNormal="100" workbookViewId="0">
      <selection activeCell="AF39" sqref="AF39"/>
    </sheetView>
  </sheetViews>
  <sheetFormatPr defaultRowHeight="15" x14ac:dyDescent="0.25"/>
  <cols>
    <col min="3" max="11" width="9.140625" customWidth="1"/>
    <col min="19" max="31" width="9.140625" customWidth="1"/>
    <col min="32" max="32" width="13.85546875" bestFit="1" customWidth="1"/>
  </cols>
  <sheetData>
    <row r="1" spans="1:33" x14ac:dyDescent="0.25">
      <c r="A1" t="s">
        <v>8</v>
      </c>
      <c r="D1" t="s">
        <v>21</v>
      </c>
      <c r="E1" s="12">
        <v>13</v>
      </c>
      <c r="R1" t="s">
        <v>11</v>
      </c>
    </row>
    <row r="2" spans="1:3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 t="s">
        <v>10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X2" t="s">
        <v>6</v>
      </c>
      <c r="Y2">
        <v>7</v>
      </c>
      <c r="Z2">
        <v>8</v>
      </c>
      <c r="AA2">
        <v>9</v>
      </c>
      <c r="AB2">
        <v>10</v>
      </c>
      <c r="AC2">
        <v>11</v>
      </c>
      <c r="AD2">
        <v>12</v>
      </c>
      <c r="AE2">
        <v>13</v>
      </c>
      <c r="AF2" t="s">
        <v>12</v>
      </c>
    </row>
    <row r="3" spans="1:33" x14ac:dyDescent="0.25">
      <c r="B3" t="s">
        <v>25</v>
      </c>
      <c r="C3" s="12">
        <v>121.82</v>
      </c>
      <c r="D3" s="12">
        <v>84.74</v>
      </c>
      <c r="E3" s="12">
        <v>89.48</v>
      </c>
      <c r="F3" s="12">
        <v>89.28</v>
      </c>
      <c r="G3" s="12">
        <v>76.819999999999993</v>
      </c>
      <c r="H3" s="12">
        <v>111.2</v>
      </c>
      <c r="I3" s="12">
        <v>155.69999999999999</v>
      </c>
      <c r="J3" s="12">
        <v>128.54</v>
      </c>
      <c r="K3" s="12">
        <v>92.11</v>
      </c>
      <c r="L3" s="12">
        <v>110.14</v>
      </c>
      <c r="M3" s="12">
        <v>111.5</v>
      </c>
      <c r="N3" s="12">
        <v>98.28</v>
      </c>
      <c r="O3" s="12">
        <v>107.36</v>
      </c>
      <c r="P3" s="12">
        <v>3</v>
      </c>
      <c r="R3" t="s">
        <v>25</v>
      </c>
      <c r="S3">
        <f>IFERROR((RANK(C3,C$3:C$12,1)-1)/9,0)</f>
        <v>0.44444444444444442</v>
      </c>
      <c r="T3">
        <f t="shared" ref="T3:T12" si="0">IFERROR((RANK(D3,D$3:D$12,1)-1)/9,0)</f>
        <v>0.22222222222222221</v>
      </c>
      <c r="U3">
        <f t="shared" ref="U3:U12" si="1">IFERROR((RANK(E3,E$3:E$12,1)-1)/9,0)</f>
        <v>0.1111111111111111</v>
      </c>
      <c r="V3">
        <f t="shared" ref="V3:V12" si="2">IFERROR((RANK(F3,F$3:F$12,1)-1)/9,0)</f>
        <v>0</v>
      </c>
      <c r="W3">
        <f t="shared" ref="W3:W12" si="3">IFERROR((RANK(G3,G$3:G$12,1)-1)/9,0)</f>
        <v>0.1111111111111111</v>
      </c>
      <c r="X3">
        <f t="shared" ref="X3:X12" si="4">IFERROR((RANK(H3,H$3:H$12,1)-1)/9,0)</f>
        <v>0.33333333333333331</v>
      </c>
      <c r="Y3">
        <f t="shared" ref="Y3:AE12" si="5">IFERROR((RANK(I3,I$3:I$12,1)-1)/9,0)</f>
        <v>1</v>
      </c>
      <c r="Z3">
        <f t="shared" si="5"/>
        <v>0.77777777777777779</v>
      </c>
      <c r="AA3">
        <f t="shared" si="5"/>
        <v>0.22222222222222221</v>
      </c>
      <c r="AB3">
        <f t="shared" si="5"/>
        <v>0.44444444444444442</v>
      </c>
      <c r="AC3">
        <f t="shared" si="5"/>
        <v>0.33333333333333331</v>
      </c>
      <c r="AD3">
        <f t="shared" si="5"/>
        <v>0.1111111111111111</v>
      </c>
      <c r="AE3">
        <f t="shared" si="5"/>
        <v>0.66666666666666663</v>
      </c>
      <c r="AF3">
        <f>SUM(S3:AE3)</f>
        <v>4.7777777777777777</v>
      </c>
      <c r="AG3">
        <f>(P3-AF3)/_xlfn.STDEV.S(AF$3:AF$12)</f>
        <v>-1.0100228287904589</v>
      </c>
    </row>
    <row r="4" spans="1:33" x14ac:dyDescent="0.25">
      <c r="B4" t="s">
        <v>26</v>
      </c>
      <c r="C4" s="12">
        <v>69.44</v>
      </c>
      <c r="D4" s="12">
        <v>129.4</v>
      </c>
      <c r="E4" s="12">
        <v>128.86000000000001</v>
      </c>
      <c r="F4" s="12">
        <v>141.06</v>
      </c>
      <c r="G4" s="12">
        <v>87.9</v>
      </c>
      <c r="H4" s="12">
        <v>99.6</v>
      </c>
      <c r="I4" s="12">
        <v>90.66</v>
      </c>
      <c r="J4" s="12">
        <v>98.66</v>
      </c>
      <c r="K4" s="12">
        <v>134.9</v>
      </c>
      <c r="L4" s="12">
        <v>143.4</v>
      </c>
      <c r="M4" s="12">
        <v>162.84</v>
      </c>
      <c r="N4" s="12">
        <v>134.88</v>
      </c>
      <c r="O4" s="12">
        <v>85.9</v>
      </c>
      <c r="P4" s="12">
        <v>6</v>
      </c>
      <c r="R4" t="s">
        <v>26</v>
      </c>
      <c r="S4">
        <f t="shared" ref="S4:S12" si="6">IFERROR((RANK(C4,C$3:C$12,1)-1)/9,0)</f>
        <v>0</v>
      </c>
      <c r="T4">
        <f t="shared" si="0"/>
        <v>0.77777777777777779</v>
      </c>
      <c r="U4">
        <f t="shared" si="1"/>
        <v>0.88888888888888884</v>
      </c>
      <c r="V4">
        <f t="shared" si="2"/>
        <v>0.77777777777777779</v>
      </c>
      <c r="W4">
        <f t="shared" si="3"/>
        <v>0.22222222222222221</v>
      </c>
      <c r="X4">
        <f t="shared" si="4"/>
        <v>0.22222222222222221</v>
      </c>
      <c r="Y4">
        <f t="shared" si="5"/>
        <v>0.1111111111111111</v>
      </c>
      <c r="Z4">
        <f t="shared" si="5"/>
        <v>0.1111111111111111</v>
      </c>
      <c r="AA4">
        <f t="shared" si="5"/>
        <v>1</v>
      </c>
      <c r="AB4">
        <f t="shared" si="5"/>
        <v>0.88888888888888884</v>
      </c>
      <c r="AC4">
        <f t="shared" si="5"/>
        <v>1</v>
      </c>
      <c r="AD4">
        <f t="shared" si="5"/>
        <v>0.77777777777777779</v>
      </c>
      <c r="AE4">
        <f t="shared" si="5"/>
        <v>0.22222222222222221</v>
      </c>
      <c r="AF4">
        <f t="shared" ref="AF4:AF12" si="7">SUM(S4:AE4)</f>
        <v>7</v>
      </c>
      <c r="AG4">
        <f t="shared" ref="AG4:AG11" si="8">(P4-AF4)/_xlfn.STDEV.S(AF$3:AF$12)</f>
        <v>-0.56813784119463318</v>
      </c>
    </row>
    <row r="5" spans="1:33" x14ac:dyDescent="0.25">
      <c r="B5" t="s">
        <v>27</v>
      </c>
      <c r="C5" s="12">
        <v>127.78</v>
      </c>
      <c r="D5" s="12">
        <v>132.26</v>
      </c>
      <c r="E5" s="12">
        <v>92.72</v>
      </c>
      <c r="F5" s="12">
        <v>113.26</v>
      </c>
      <c r="G5" s="12">
        <v>146.02000000000001</v>
      </c>
      <c r="H5" s="12">
        <v>120.2</v>
      </c>
      <c r="I5" s="12">
        <v>129.38</v>
      </c>
      <c r="J5" s="12">
        <v>153.6</v>
      </c>
      <c r="K5" s="12">
        <v>119.86</v>
      </c>
      <c r="L5" s="12">
        <v>137.69999999999999</v>
      </c>
      <c r="M5" s="12">
        <v>133.1</v>
      </c>
      <c r="N5" s="12">
        <v>121.92</v>
      </c>
      <c r="O5" s="12">
        <v>105.78</v>
      </c>
      <c r="P5" s="12">
        <v>8</v>
      </c>
      <c r="R5" t="s">
        <v>27</v>
      </c>
      <c r="S5">
        <f t="shared" si="6"/>
        <v>0.66666666666666663</v>
      </c>
      <c r="T5">
        <f t="shared" si="0"/>
        <v>0.88888888888888884</v>
      </c>
      <c r="U5">
        <f t="shared" si="1"/>
        <v>0.22222222222222221</v>
      </c>
      <c r="V5">
        <f t="shared" si="2"/>
        <v>0.33333333333333331</v>
      </c>
      <c r="W5">
        <f t="shared" si="3"/>
        <v>1</v>
      </c>
      <c r="X5">
        <f t="shared" si="4"/>
        <v>0.55555555555555558</v>
      </c>
      <c r="Y5">
        <f t="shared" si="5"/>
        <v>0.66666666666666663</v>
      </c>
      <c r="Z5">
        <f t="shared" si="5"/>
        <v>1</v>
      </c>
      <c r="AA5">
        <f t="shared" si="5"/>
        <v>0.77777777777777779</v>
      </c>
      <c r="AB5">
        <f t="shared" si="5"/>
        <v>0.77777777777777779</v>
      </c>
      <c r="AC5">
        <f t="shared" si="5"/>
        <v>0.66666666666666663</v>
      </c>
      <c r="AD5">
        <f t="shared" si="5"/>
        <v>0.66666666666666663</v>
      </c>
      <c r="AE5">
        <f t="shared" si="5"/>
        <v>0.44444444444444442</v>
      </c>
      <c r="AF5">
        <f t="shared" si="7"/>
        <v>8.6666666666666679</v>
      </c>
      <c r="AG5">
        <f t="shared" si="8"/>
        <v>-0.37875856079642278</v>
      </c>
    </row>
    <row r="6" spans="1:33" x14ac:dyDescent="0.25">
      <c r="B6" t="s">
        <v>28</v>
      </c>
      <c r="C6" s="12">
        <v>107.12</v>
      </c>
      <c r="D6" s="12">
        <v>77.180000000000007</v>
      </c>
      <c r="E6" s="12">
        <v>117.94</v>
      </c>
      <c r="F6" s="12">
        <v>106.74</v>
      </c>
      <c r="G6" s="12">
        <v>135.24</v>
      </c>
      <c r="H6" s="12">
        <v>124.82</v>
      </c>
      <c r="I6" s="12">
        <v>87.4</v>
      </c>
      <c r="J6" s="12">
        <v>100.94</v>
      </c>
      <c r="K6" s="12">
        <v>47.6</v>
      </c>
      <c r="L6" s="12">
        <v>100.1</v>
      </c>
      <c r="M6" s="12">
        <v>78.239999999999995</v>
      </c>
      <c r="N6" s="12">
        <v>111.64</v>
      </c>
      <c r="O6" s="12">
        <v>133.44</v>
      </c>
      <c r="P6" s="12">
        <v>3</v>
      </c>
      <c r="R6" t="s">
        <v>28</v>
      </c>
      <c r="S6">
        <f t="shared" si="6"/>
        <v>0.22222222222222221</v>
      </c>
      <c r="T6">
        <f t="shared" si="0"/>
        <v>0</v>
      </c>
      <c r="U6">
        <f t="shared" si="1"/>
        <v>0.66666666666666663</v>
      </c>
      <c r="V6">
        <f t="shared" si="2"/>
        <v>0.1111111111111111</v>
      </c>
      <c r="W6">
        <f t="shared" si="3"/>
        <v>0.77777777777777779</v>
      </c>
      <c r="X6">
        <f t="shared" si="4"/>
        <v>0.66666666666666663</v>
      </c>
      <c r="Y6">
        <f t="shared" si="5"/>
        <v>0</v>
      </c>
      <c r="Z6">
        <f t="shared" si="5"/>
        <v>0.33333333333333331</v>
      </c>
      <c r="AA6">
        <f t="shared" si="5"/>
        <v>0</v>
      </c>
      <c r="AB6">
        <f t="shared" si="5"/>
        <v>0.33333333333333331</v>
      </c>
      <c r="AC6">
        <f t="shared" si="5"/>
        <v>0.1111111111111111</v>
      </c>
      <c r="AD6">
        <f t="shared" si="5"/>
        <v>0.44444444444444442</v>
      </c>
      <c r="AE6">
        <f t="shared" si="5"/>
        <v>1</v>
      </c>
      <c r="AF6">
        <f t="shared" si="7"/>
        <v>4.666666666666667</v>
      </c>
      <c r="AG6">
        <f t="shared" si="8"/>
        <v>-0.9468964019910554</v>
      </c>
    </row>
    <row r="7" spans="1:33" x14ac:dyDescent="0.25">
      <c r="B7" t="s">
        <v>29</v>
      </c>
      <c r="C7" s="12">
        <v>140.26</v>
      </c>
      <c r="D7" s="12">
        <v>124.12</v>
      </c>
      <c r="E7" s="12">
        <v>144.34</v>
      </c>
      <c r="F7" s="12">
        <v>142.38</v>
      </c>
      <c r="G7" s="12">
        <v>118.72</v>
      </c>
      <c r="H7" s="12">
        <v>91.84</v>
      </c>
      <c r="I7" s="12">
        <v>96.08</v>
      </c>
      <c r="J7" s="12">
        <v>122.9</v>
      </c>
      <c r="K7" s="12">
        <v>117.84</v>
      </c>
      <c r="L7" s="12">
        <v>152.1</v>
      </c>
      <c r="M7" s="12">
        <v>117.72</v>
      </c>
      <c r="N7" s="12">
        <v>150.54</v>
      </c>
      <c r="O7" s="12">
        <v>99.28</v>
      </c>
      <c r="P7" s="12">
        <v>10</v>
      </c>
      <c r="R7" t="s">
        <v>29</v>
      </c>
      <c r="S7">
        <f t="shared" si="6"/>
        <v>1</v>
      </c>
      <c r="T7">
        <f t="shared" si="0"/>
        <v>0.44444444444444442</v>
      </c>
      <c r="U7">
        <f t="shared" si="1"/>
        <v>1</v>
      </c>
      <c r="V7">
        <f t="shared" si="2"/>
        <v>0.88888888888888884</v>
      </c>
      <c r="W7">
        <f t="shared" si="3"/>
        <v>0.44444444444444442</v>
      </c>
      <c r="X7">
        <f t="shared" si="4"/>
        <v>0.1111111111111111</v>
      </c>
      <c r="Y7">
        <f t="shared" si="5"/>
        <v>0.22222222222222221</v>
      </c>
      <c r="Z7">
        <f t="shared" si="5"/>
        <v>0.66666666666666663</v>
      </c>
      <c r="AA7">
        <f t="shared" si="5"/>
        <v>0.66666666666666663</v>
      </c>
      <c r="AB7">
        <f t="shared" si="5"/>
        <v>1</v>
      </c>
      <c r="AC7">
        <f t="shared" si="5"/>
        <v>0.44444444444444442</v>
      </c>
      <c r="AD7">
        <f t="shared" si="5"/>
        <v>0.88888888888888884</v>
      </c>
      <c r="AE7">
        <f t="shared" si="5"/>
        <v>0.33333333333333331</v>
      </c>
      <c r="AF7">
        <f t="shared" si="7"/>
        <v>8.1111111111111125</v>
      </c>
      <c r="AG7">
        <f t="shared" si="8"/>
        <v>1.0731492555898619</v>
      </c>
    </row>
    <row r="8" spans="1:33" x14ac:dyDescent="0.25">
      <c r="B8" t="s">
        <v>30</v>
      </c>
      <c r="C8" s="12">
        <v>128.24</v>
      </c>
      <c r="D8" s="12">
        <v>77.44</v>
      </c>
      <c r="E8" s="12">
        <v>93</v>
      </c>
      <c r="F8" s="12">
        <v>116.22</v>
      </c>
      <c r="G8" s="12">
        <v>122.48</v>
      </c>
      <c r="H8" s="12">
        <v>117.5</v>
      </c>
      <c r="I8" s="12">
        <v>113.42</v>
      </c>
      <c r="J8" s="12">
        <v>109.04</v>
      </c>
      <c r="K8" s="12">
        <v>79.86</v>
      </c>
      <c r="L8" s="12">
        <v>96.66</v>
      </c>
      <c r="M8" s="12">
        <v>55.68</v>
      </c>
      <c r="N8" s="12">
        <v>81.42</v>
      </c>
      <c r="O8" s="12">
        <v>67.02</v>
      </c>
      <c r="P8" s="12">
        <v>2</v>
      </c>
      <c r="R8" t="s">
        <v>30</v>
      </c>
      <c r="S8">
        <f t="shared" si="6"/>
        <v>0.77777777777777779</v>
      </c>
      <c r="T8">
        <f t="shared" si="0"/>
        <v>0.1111111111111111</v>
      </c>
      <c r="U8">
        <f t="shared" si="1"/>
        <v>0.33333333333333331</v>
      </c>
      <c r="V8">
        <f t="shared" si="2"/>
        <v>0.44444444444444442</v>
      </c>
      <c r="W8">
        <f t="shared" si="3"/>
        <v>0.55555555555555558</v>
      </c>
      <c r="X8">
        <f t="shared" si="4"/>
        <v>0.44444444444444442</v>
      </c>
      <c r="Y8">
        <f t="shared" si="5"/>
        <v>0.44444444444444442</v>
      </c>
      <c r="Z8">
        <f t="shared" si="5"/>
        <v>0.44444444444444442</v>
      </c>
      <c r="AA8">
        <f t="shared" si="5"/>
        <v>0.1111111111111111</v>
      </c>
      <c r="AB8">
        <f t="shared" si="5"/>
        <v>0.22222222222222221</v>
      </c>
      <c r="AC8">
        <f t="shared" si="5"/>
        <v>0</v>
      </c>
      <c r="AD8">
        <f t="shared" si="5"/>
        <v>0</v>
      </c>
      <c r="AE8">
        <f t="shared" si="5"/>
        <v>0</v>
      </c>
      <c r="AF8">
        <f t="shared" si="7"/>
        <v>3.8888888888888897</v>
      </c>
      <c r="AG8">
        <f t="shared" si="8"/>
        <v>-1.0731492555898632</v>
      </c>
    </row>
    <row r="9" spans="1:33" x14ac:dyDescent="0.25">
      <c r="B9" t="s">
        <v>31</v>
      </c>
      <c r="C9" s="12">
        <v>103.56</v>
      </c>
      <c r="D9" s="12">
        <v>127.6</v>
      </c>
      <c r="E9" s="12">
        <v>86.04</v>
      </c>
      <c r="F9" s="12">
        <v>126.38</v>
      </c>
      <c r="G9" s="12">
        <v>75.84</v>
      </c>
      <c r="H9" s="12">
        <v>86.82</v>
      </c>
      <c r="I9" s="12">
        <v>110.74</v>
      </c>
      <c r="J9" s="12">
        <v>116.86</v>
      </c>
      <c r="K9" s="12">
        <v>115.74</v>
      </c>
      <c r="L9" s="12">
        <v>135.68</v>
      </c>
      <c r="M9" s="12">
        <v>110.38</v>
      </c>
      <c r="N9" s="12">
        <v>163.38</v>
      </c>
      <c r="O9" s="12">
        <v>120.44</v>
      </c>
      <c r="P9" s="12">
        <v>8</v>
      </c>
      <c r="R9" t="s">
        <v>31</v>
      </c>
      <c r="S9">
        <f t="shared" si="6"/>
        <v>0.1111111111111111</v>
      </c>
      <c r="T9">
        <f t="shared" si="0"/>
        <v>0.66666666666666663</v>
      </c>
      <c r="U9">
        <f t="shared" si="1"/>
        <v>0</v>
      </c>
      <c r="V9">
        <f t="shared" si="2"/>
        <v>0.55555555555555558</v>
      </c>
      <c r="W9">
        <f t="shared" si="3"/>
        <v>0</v>
      </c>
      <c r="X9">
        <f t="shared" si="4"/>
        <v>0</v>
      </c>
      <c r="Y9">
        <f t="shared" si="5"/>
        <v>0.33333333333333331</v>
      </c>
      <c r="Z9">
        <f t="shared" si="5"/>
        <v>0.55555555555555558</v>
      </c>
      <c r="AA9">
        <f t="shared" si="5"/>
        <v>0.44444444444444442</v>
      </c>
      <c r="AB9">
        <f t="shared" si="5"/>
        <v>0.66666666666666663</v>
      </c>
      <c r="AC9">
        <f t="shared" si="5"/>
        <v>0.22222222222222221</v>
      </c>
      <c r="AD9">
        <f t="shared" si="5"/>
        <v>1</v>
      </c>
      <c r="AE9">
        <f t="shared" si="5"/>
        <v>0.88888888888888884</v>
      </c>
      <c r="AF9">
        <f t="shared" si="7"/>
        <v>5.4444444444444446</v>
      </c>
      <c r="AG9">
        <f t="shared" si="8"/>
        <v>1.4519078163862846</v>
      </c>
    </row>
    <row r="10" spans="1:33" x14ac:dyDescent="0.25">
      <c r="B10" t="s">
        <v>32</v>
      </c>
      <c r="C10" s="12">
        <v>126.2</v>
      </c>
      <c r="D10" s="12">
        <v>127.54</v>
      </c>
      <c r="E10" s="12">
        <v>105.66</v>
      </c>
      <c r="F10" s="12">
        <v>109.76</v>
      </c>
      <c r="G10" s="12">
        <v>141.22</v>
      </c>
      <c r="H10" s="12">
        <v>142.88</v>
      </c>
      <c r="I10" s="12">
        <v>121.52</v>
      </c>
      <c r="J10" s="12">
        <v>100.32</v>
      </c>
      <c r="K10" s="12">
        <v>117.5</v>
      </c>
      <c r="L10" s="12">
        <v>91.96</v>
      </c>
      <c r="M10" s="12">
        <v>124.82</v>
      </c>
      <c r="N10" s="12">
        <v>101.98</v>
      </c>
      <c r="O10" s="12">
        <v>106.34</v>
      </c>
      <c r="P10" s="12">
        <v>6</v>
      </c>
      <c r="R10" t="s">
        <v>32</v>
      </c>
      <c r="S10">
        <f t="shared" si="6"/>
        <v>0.55555555555555558</v>
      </c>
      <c r="T10">
        <f t="shared" si="0"/>
        <v>0.55555555555555558</v>
      </c>
      <c r="U10">
        <f t="shared" si="1"/>
        <v>0.55555555555555558</v>
      </c>
      <c r="V10">
        <f t="shared" si="2"/>
        <v>0.22222222222222221</v>
      </c>
      <c r="W10">
        <f t="shared" si="3"/>
        <v>0.88888888888888884</v>
      </c>
      <c r="X10">
        <f t="shared" si="4"/>
        <v>0.88888888888888884</v>
      </c>
      <c r="Y10">
        <f t="shared" si="5"/>
        <v>0.55555555555555558</v>
      </c>
      <c r="Z10">
        <f t="shared" si="5"/>
        <v>0.22222222222222221</v>
      </c>
      <c r="AA10">
        <f t="shared" si="5"/>
        <v>0.55555555555555558</v>
      </c>
      <c r="AB10">
        <f t="shared" si="5"/>
        <v>0.1111111111111111</v>
      </c>
      <c r="AC10">
        <f t="shared" si="5"/>
        <v>0.55555555555555558</v>
      </c>
      <c r="AD10">
        <f t="shared" si="5"/>
        <v>0.22222222222222221</v>
      </c>
      <c r="AE10">
        <f t="shared" si="5"/>
        <v>0.55555555555555558</v>
      </c>
      <c r="AF10">
        <f t="shared" si="7"/>
        <v>6.4444444444444438</v>
      </c>
      <c r="AG10">
        <f t="shared" si="8"/>
        <v>-0.25250570719761434</v>
      </c>
    </row>
    <row r="11" spans="1:33" x14ac:dyDescent="0.25">
      <c r="B11" t="s">
        <v>33</v>
      </c>
      <c r="C11" s="12">
        <v>135.36000000000001</v>
      </c>
      <c r="D11" s="12">
        <v>111.36</v>
      </c>
      <c r="E11" s="12">
        <v>99.36</v>
      </c>
      <c r="F11" s="12">
        <v>143.76</v>
      </c>
      <c r="G11" s="26">
        <v>96.2</v>
      </c>
      <c r="H11" s="12">
        <v>173.74</v>
      </c>
      <c r="I11" s="12">
        <v>152.96</v>
      </c>
      <c r="J11" s="12">
        <v>91.56</v>
      </c>
      <c r="K11" s="12">
        <v>111.14</v>
      </c>
      <c r="L11" s="12">
        <v>127.9</v>
      </c>
      <c r="M11" s="12">
        <v>147.08000000000001</v>
      </c>
      <c r="N11" s="12">
        <v>110.62</v>
      </c>
      <c r="O11" s="12">
        <v>71.12</v>
      </c>
      <c r="P11" s="12">
        <v>9</v>
      </c>
      <c r="R11" t="s">
        <v>33</v>
      </c>
      <c r="S11">
        <f t="shared" si="6"/>
        <v>0.88888888888888884</v>
      </c>
      <c r="T11">
        <f t="shared" si="0"/>
        <v>0.33333333333333331</v>
      </c>
      <c r="U11">
        <f t="shared" si="1"/>
        <v>0.44444444444444442</v>
      </c>
      <c r="V11">
        <f t="shared" si="2"/>
        <v>1</v>
      </c>
      <c r="W11">
        <f t="shared" si="3"/>
        <v>0.33333333333333331</v>
      </c>
      <c r="X11">
        <f t="shared" si="4"/>
        <v>1</v>
      </c>
      <c r="Y11">
        <f t="shared" si="5"/>
        <v>0.88888888888888884</v>
      </c>
      <c r="Z11">
        <f t="shared" si="5"/>
        <v>0</v>
      </c>
      <c r="AA11">
        <f t="shared" si="5"/>
        <v>0.33333333333333331</v>
      </c>
      <c r="AB11">
        <f t="shared" si="5"/>
        <v>0.55555555555555558</v>
      </c>
      <c r="AC11">
        <f t="shared" si="5"/>
        <v>0.88888888888888884</v>
      </c>
      <c r="AD11">
        <f t="shared" si="5"/>
        <v>0.33333333333333331</v>
      </c>
      <c r="AE11">
        <f t="shared" si="5"/>
        <v>0.1111111111111111</v>
      </c>
      <c r="AF11">
        <f t="shared" si="7"/>
        <v>7.1111111111111098</v>
      </c>
      <c r="AG11">
        <f t="shared" si="8"/>
        <v>1.0731492555898634</v>
      </c>
    </row>
    <row r="12" spans="1:33" x14ac:dyDescent="0.25">
      <c r="B12" t="s">
        <v>34</v>
      </c>
      <c r="C12" s="12">
        <v>117.84</v>
      </c>
      <c r="D12" s="12">
        <v>170.3</v>
      </c>
      <c r="E12" s="12">
        <v>118.2</v>
      </c>
      <c r="F12" s="12">
        <v>128.1</v>
      </c>
      <c r="G12" s="12">
        <v>123.58</v>
      </c>
      <c r="H12" s="12">
        <v>128.30000000000001</v>
      </c>
      <c r="I12" s="12">
        <v>141.96</v>
      </c>
      <c r="J12" s="12">
        <v>130.36000000000001</v>
      </c>
      <c r="K12" s="12">
        <v>126.88</v>
      </c>
      <c r="L12" s="12">
        <v>81.319999999999993</v>
      </c>
      <c r="M12" s="12">
        <v>137.88</v>
      </c>
      <c r="N12" s="12">
        <v>119.64</v>
      </c>
      <c r="O12" s="12">
        <v>111.7</v>
      </c>
      <c r="P12" s="12">
        <v>10</v>
      </c>
      <c r="R12" t="s">
        <v>34</v>
      </c>
      <c r="S12">
        <f t="shared" si="6"/>
        <v>0.33333333333333331</v>
      </c>
      <c r="T12">
        <f t="shared" si="0"/>
        <v>1</v>
      </c>
      <c r="U12">
        <f t="shared" si="1"/>
        <v>0.77777777777777779</v>
      </c>
      <c r="V12">
        <f t="shared" si="2"/>
        <v>0.66666666666666663</v>
      </c>
      <c r="W12">
        <f t="shared" si="3"/>
        <v>0.66666666666666663</v>
      </c>
      <c r="X12">
        <f t="shared" si="4"/>
        <v>0.77777777777777779</v>
      </c>
      <c r="Y12">
        <f t="shared" si="5"/>
        <v>0.77777777777777779</v>
      </c>
      <c r="Z12">
        <f t="shared" si="5"/>
        <v>0.88888888888888884</v>
      </c>
      <c r="AA12">
        <f t="shared" si="5"/>
        <v>0.88888888888888884</v>
      </c>
      <c r="AB12">
        <f t="shared" si="5"/>
        <v>0</v>
      </c>
      <c r="AC12">
        <f t="shared" si="5"/>
        <v>0.77777777777777779</v>
      </c>
      <c r="AD12">
        <f t="shared" si="5"/>
        <v>0.55555555555555558</v>
      </c>
      <c r="AE12">
        <f t="shared" si="5"/>
        <v>0.77777777777777779</v>
      </c>
      <c r="AF12">
        <f t="shared" si="7"/>
        <v>8.8888888888888911</v>
      </c>
      <c r="AG12">
        <f>(P12-AF12)/_xlfn.STDEV.S(AF$3:AF$12)</f>
        <v>0.63126426799403557</v>
      </c>
    </row>
    <row r="13" spans="1:33" x14ac:dyDescent="0.25">
      <c r="A13" t="s">
        <v>7</v>
      </c>
      <c r="C13" t="s">
        <v>20</v>
      </c>
      <c r="D13" t="s">
        <v>15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f>SUM(P3:P12)</f>
        <v>65</v>
      </c>
    </row>
    <row r="14" spans="1:33" x14ac:dyDescent="0.25">
      <c r="A14">
        <f>RANK(C14,$C$14:$C$23,FALSE)</f>
        <v>7</v>
      </c>
      <c r="B14" t="s">
        <v>25</v>
      </c>
      <c r="C14">
        <f>INDEX(E$14:O$23,1,E$1-2)</f>
        <v>83.643237672789269</v>
      </c>
      <c r="D14">
        <f>INDEX(E$14:O$23,1,E$1-3)</f>
        <v>81.265185668680019</v>
      </c>
      <c r="E14">
        <f>(E3+D3/2+C3/3)/(1+1/2+1/3)-STDEV($C3:E3)/AVERAGE($C3:E3)*AVERAGE($C$3:E$12)</f>
        <v>70.787929147111157</v>
      </c>
      <c r="F14">
        <f>(F3+E3/2+D3/3+C3/4)/(1+1/2+1/3+1/4)-STDEV($C3:F3)/AVERAGE($C3:F3)*AVERAGE($C$3:F$12)</f>
        <v>71.909205543799345</v>
      </c>
      <c r="G14">
        <f>(G3+F3/2+E3/3+D3/4+C3/5)/(1+1/2+1/3+1/4+1/5)-STDEV($C3:G3)/AVERAGE($C3:G3)*AVERAGE($C$3:G$12)</f>
        <v>64.765485811490208</v>
      </c>
      <c r="H14">
        <f>(H3+G3/2+F3/3+E3/4+D3/5+C3/6)/(1+1/2+1/3+1/4+1/5+1/6)-STDEV($C3:H3)/AVERAGE($C3:H3)*AVERAGE($C$3:H$12)</f>
        <v>76.691049283477142</v>
      </c>
      <c r="I14">
        <f>(I3+H3/2+G3/3+F3/4+E3/5+D3/6+C3/7)/(1+1/2+1/3+1/4+1/5+1/6+1/7)-STDEV($C3:I3)/AVERAGE($C3:I3)*AVERAGE($C$3:I$12)</f>
        <v>88.143480635249432</v>
      </c>
      <c r="J14">
        <f>(J3+I3/2+H3/3+G3/4+F3/5+E3/6+D3/7+C3/8)/(1+1/2+1/3+1/4+1/5+1/6+1/7+1/8)-STDEV($C3:J3)/AVERAGE($C3:J3)*AVERAGE($C$3:J$12)</f>
        <v>89.4679808643059</v>
      </c>
      <c r="K14">
        <f>(K3+J3/2+I3/3+H3/4+G3/5+F3/6+E3/7+D3/8+C3/9)/(1+1/2+1/3+1/4+1/5+1/6+1/7+1/8+1/9)-STDEV($C3:K3)/AVERAGE($C3:K3)*AVERAGE($C$3:K$12)</f>
        <v>79.08042807990762</v>
      </c>
      <c r="L14">
        <f>(L3+K3/2+J3/3+I3/4+H3/5+G3/6+F3/7+E3/8+D3/9+C3/10)/(1+1/2+1/3+1/4+1/5+1/6+1/7+1/8+1/9+1/10)-STDEV($C3:L3)/AVERAGE($C3:L3)*AVERAGE($C$3:L$12)</f>
        <v>82.266893860189825</v>
      </c>
      <c r="M14">
        <f>(M3+L3/2+K3/3+J3/4+I3/5+H3/6+G3/7+F3/8+E3/9+D3/10+C3/11)/(1+1/2+1/3+1/4+1/5+1/6+1/7+1/8+1/9+1/10+1/11)-STDEV($C3:M3)/AVERAGE($C3:M3)*AVERAGE($C$3:M$12)</f>
        <v>84.38369786386302</v>
      </c>
      <c r="N14">
        <f>(N3+M3/2+L3/3+K3/4+J3/5+I3/6+H3/7+G3/8+F3/9+E3/10+D3/11+C3/12)/(1+1/2+1/3+1/4+1/5+1/6+1/7+1/8+1/9+1/10+1/11+1/12)-STDEV($C3:N3)/AVERAGE($C3:N3)*AVERAGE($C$3:N$12)</f>
        <v>81.265185668680019</v>
      </c>
      <c r="O14">
        <f>(O3+N3/2+M3/3+L3/4+K3/5+J3/6+I3/7+H3/8+G3/9+F3/10+E3/11+D3/12+C3/13)/(1+1/2+1/3+1/4+1/5+1/6+1/7+1/8+1/9+1/10+1/11+1/12+1/13)-STDEV($C3:O3)/AVERAGE($C3:O3)*AVERAGE($C$3:O$12)</f>
        <v>83.643237672789269</v>
      </c>
      <c r="P14">
        <f t="shared" ref="P14:P23" si="9">RANK(D14,$D$14:$D$23,FALSE)</f>
        <v>8</v>
      </c>
      <c r="Q14" t="s">
        <v>22</v>
      </c>
      <c r="AF14">
        <f>SUM(AF3:AF12)</f>
        <v>65</v>
      </c>
      <c r="AG14">
        <f>SUM(AG3:AG12)</f>
        <v>-2.3314683517128287E-15</v>
      </c>
    </row>
    <row r="15" spans="1:33" x14ac:dyDescent="0.25">
      <c r="A15">
        <f t="shared" ref="A15:A23" si="10">RANK(C15,$C$14:$C$23,FALSE)</f>
        <v>6</v>
      </c>
      <c r="B15" t="s">
        <v>26</v>
      </c>
      <c r="C15">
        <f>INDEX(E$14:O$23,2,E$1-2)</f>
        <v>86.299427570395011</v>
      </c>
      <c r="D15">
        <f>INDEX(E$14:O$23,2,E$1-3)</f>
        <v>102.60520651447214</v>
      </c>
      <c r="E15">
        <f>(E4+D4/2+C4/3)/(1+1/2+1/3)-STDEV($C4:E4)/AVERAGE($C4:E4)*AVERAGE($C$3:E$12)</f>
        <v>82.287559363171226</v>
      </c>
      <c r="F15">
        <f>(F4+E4/2+D4/3+C4/4)/(1+1/2+1/3+1/4)-STDEV($C4:F4)/AVERAGE($C4:F4)*AVERAGE($C$3:F$12)</f>
        <v>95.727704729581973</v>
      </c>
      <c r="G15">
        <f>(G4+F4/2+E4/3+D4/4+C4/5)/(1+1/2+1/3+1/4+1/5)-STDEV($C4:G4)/AVERAGE($C4:G4)*AVERAGE($C$3:G$12)</f>
        <v>76.486097159866674</v>
      </c>
      <c r="H15">
        <f>(H4+G4/2+F4/3+E4/4+D4/5+C4/6)/(1+1/2+1/3+1/4+1/5+1/6)-STDEV($C4:H4)/AVERAGE($C4:H4)*AVERAGE($C$3:H$12)</f>
        <v>76.492968749015205</v>
      </c>
      <c r="I15">
        <f>(I4+H4/2+G4/3+F4/4+E4/5+D4/6+C4/7)/(1+1/2+1/3+1/4+1/5+1/6+1/7)-STDEV($C4:I4)/AVERAGE($C4:I4)*AVERAGE($C$3:I$12)</f>
        <v>72.152234313128332</v>
      </c>
      <c r="J15">
        <f>(J4+I4/2+H4/3+G4/4+F4/5+E4/6+D4/7+C4/8)/(1+1/2+1/3+1/4+1/5+1/6+1/7+1/8)-STDEV($C4:J4)/AVERAGE($C4:J4)*AVERAGE($C$3:J$12)</f>
        <v>74.304218980682293</v>
      </c>
      <c r="K15">
        <f>(K4+J4/2+I4/3+H4/4+G4/5+F4/6+E4/7+D4/8+C4/9)/(1+1/2+1/3+1/4+1/5+1/6+1/7+1/8+1/9)-STDEV($C4:K4)/AVERAGE($C4:K4)*AVERAGE($C$3:K$12)</f>
        <v>87.51038259743946</v>
      </c>
      <c r="L15">
        <f>(L4+K4/2+J4/3+I4/4+H4/5+G4/6+F4/7+E4/8+D4/9+C4/10)/(1+1/2+1/3+1/4+1/5+1/6+1/7+1/8+1/9+1/10)-STDEV($C4:L4)/AVERAGE($C4:L4)*AVERAGE($C$3:L$12)</f>
        <v>95.627099245150504</v>
      </c>
      <c r="M15">
        <f>(M4+L4/2+K4/3+J4/4+I4/5+H4/6+G4/7+F4/8+E4/9+D4/10+C4/11)/(1+1/2+1/3+1/4+1/5+1/6+1/7+1/8+1/9+1/10+1/11)-STDEV($C4:M4)/AVERAGE($C4:M4)*AVERAGE($C$3:M$12)</f>
        <v>104.61743849958171</v>
      </c>
      <c r="N15">
        <f>(N4+M4/2+L4/3+K4/4+J4/5+I4/6+H4/7+G4/8+F4/9+E4/10+D4/11+C4/12)/(1+1/2+1/3+1/4+1/5+1/6+1/7+1/8+1/9+1/10+1/11+1/12)-STDEV($C4:N4)/AVERAGE($C4:N4)*AVERAGE($C$3:N$12)</f>
        <v>102.60520651447214</v>
      </c>
      <c r="O15">
        <f>(O4+N4/2+M4/3+L4/4+K4/5+J4/6+I4/7+H4/8+G4/9+F4/10+E4/11+D4/12+C4/13)/(1+1/2+1/3+1/4+1/5+1/6+1/7+1/8+1/9+1/10+1/11+1/12+1/13)-STDEV($C4:O4)/AVERAGE($C4:O4)*AVERAGE($C$3:O$12)</f>
        <v>86.299427570395011</v>
      </c>
      <c r="P15">
        <f t="shared" si="9"/>
        <v>5</v>
      </c>
      <c r="Q15">
        <f>AVERAGE(E14:J23)</f>
        <v>94.685331167643596</v>
      </c>
    </row>
    <row r="16" spans="1:33" x14ac:dyDescent="0.25">
      <c r="A16">
        <f t="shared" si="10"/>
        <v>1</v>
      </c>
      <c r="B16" t="s">
        <v>27</v>
      </c>
      <c r="C16">
        <f>INDEX(E$14:O$23,3,E$1-2)</f>
        <v>106.35333284546368</v>
      </c>
      <c r="D16">
        <f>INDEX(E$14:O$23,3,E$1-3)</f>
        <v>113.41256311699901</v>
      </c>
      <c r="E16">
        <f>(E5+D5/2+C5/3)/(1+1/2+1/3)-STDEV($C5:E5)/AVERAGE($C5:E5)*AVERAGE($C$3:E$12)</f>
        <v>88.916955314758383</v>
      </c>
      <c r="F16">
        <f>(F5+E5/2+D5/3+C5/4)/(1+1/2+1/3+1/4)-STDEV($C5:F5)/AVERAGE($C5:F5)*AVERAGE($C$3:F$12)</f>
        <v>95.410063953879387</v>
      </c>
      <c r="G16">
        <f>(G5+F5/2+E5/3+D5/4+C5/5)/(1+1/2+1/3+1/4+1/5)-STDEV($C5:G5)/AVERAGE($C5:G5)*AVERAGE($C$3:G$12)</f>
        <v>108.86838819286413</v>
      </c>
      <c r="H16">
        <f>(H5+G5/2+F5/3+E5/4+D5/5+C5/6)/(1+1/2+1/3+1/4+1/5+1/6)-STDEV($C5:H5)/AVERAGE($C5:H5)*AVERAGE($C$3:H$12)</f>
        <v>105.9582619843307</v>
      </c>
      <c r="I16">
        <f>(I5+H5/2+G5/3+F5/4+E5/5+D5/6+C5/7)/(1+1/2+1/3+1/4+1/5+1/6+1/7)-STDEV($C5:I5)/AVERAGE($C5:I5)*AVERAGE($C$3:I$12)</f>
        <v>109.54244782561108</v>
      </c>
      <c r="J16">
        <f>(J5+I5/2+H5/3+G5/4+F5/5+E5/6+D5/7+C5/8)/(1+1/2+1/3+1/4+1/5+1/6+1/7+1/8)-STDEV($C5:J5)/AVERAGE($C5:J5)*AVERAGE($C$3:J$12)</f>
        <v>117.97118651456654</v>
      </c>
      <c r="K16">
        <f>(K5+J5/2+I5/3+H5/4+G5/5+F5/6+E5/7+D5/8+C5/9)/(1+1/2+1/3+1/4+1/5+1/6+1/7+1/8+1/9)-STDEV($C5:K5)/AVERAGE($C5:K5)*AVERAGE($C$3:K$12)</f>
        <v>111.59105158582808</v>
      </c>
      <c r="L16">
        <f>(L5+K5/2+J5/3+I5/4+H5/5+G5/6+F5/7+E5/8+D5/9+C5/10)/(1+1/2+1/3+1/4+1/5+1/6+1/7+1/8+1/9+1/10)-STDEV($C5:L5)/AVERAGE($C5:L5)*AVERAGE($C$3:L$12)</f>
        <v>115.72725013413989</v>
      </c>
      <c r="M16">
        <f>(M5+L5/2+K5/3+J5/4+I5/5+H5/6+G5/7+F5/8+E5/9+D5/10+C5/11)/(1+1/2+1/3+1/4+1/5+1/6+1/7+1/8+1/9+1/10+1/11)-STDEV($C5:M5)/AVERAGE($C5:M5)*AVERAGE($C$3:M$12)</f>
        <v>116.35766000198618</v>
      </c>
      <c r="N16">
        <f>(N5+M5/2+L5/3+K5/4+J5/5+I5/6+H5/7+G5/8+F5/9+E5/10+D5/11+C5/12)/(1+1/2+1/3+1/4+1/5+1/6+1/7+1/8+1/9+1/10+1/11+1/12)-STDEV($C5:N5)/AVERAGE($C5:N5)*AVERAGE($C$3:N$12)</f>
        <v>113.41256311699901</v>
      </c>
      <c r="O16">
        <f>(O5+N5/2+M5/3+L5/4+K5/5+J5/6+I5/7+H5/8+G5/9+F5/10+E5/11+D5/12+C5/13)/(1+1/2+1/3+1/4+1/5+1/6+1/7+1/8+1/9+1/10+1/11+1/12+1/13)-STDEV($C5:O5)/AVERAGE($C5:O5)*AVERAGE($C$3:O$12)</f>
        <v>106.35333284546368</v>
      </c>
      <c r="P16">
        <f t="shared" si="9"/>
        <v>2</v>
      </c>
    </row>
    <row r="17" spans="1:16" x14ac:dyDescent="0.25">
      <c r="A17">
        <f t="shared" si="10"/>
        <v>8</v>
      </c>
      <c r="B17" t="s">
        <v>28</v>
      </c>
      <c r="C17">
        <f>INDEX(E$14:O$23,4,E$1-2)</f>
        <v>80.922105457074082</v>
      </c>
      <c r="D17">
        <f>INDEX(E$14:O$23,4,E$1-3)</f>
        <v>70.425645299008067</v>
      </c>
      <c r="E17">
        <f>(E6+D6/2+C6/3)/(1+1/2+1/3)-STDEV($C6:E6)/AVERAGE($C6:E6)*AVERAGE($C$3:E$12)</f>
        <v>80.998393095260184</v>
      </c>
      <c r="F17">
        <f>(F6+E6/2+D6/3+C6/4)/(1+1/2+1/3+1/4)-STDEV($C6:F6)/AVERAGE($C6:F6)*AVERAGE($C$3:F$12)</f>
        <v>84.925604230100816</v>
      </c>
      <c r="G17">
        <f>(G6+F6/2+E6/3+D6/4+C6/5)/(1+1/2+1/3+1/4+1/5)-STDEV($C6:G6)/AVERAGE($C6:G6)*AVERAGE($C$3:G$12)</f>
        <v>95.282315923578082</v>
      </c>
      <c r="H17">
        <f>(H6+G6/2+F6/3+E6/4+D6/5+C6/6)/(1+1/2+1/3+1/4+1/5+1/6)-STDEV($C6:H6)/AVERAGE($C6:H6)*AVERAGE($C$3:H$12)</f>
        <v>97.895134519954752</v>
      </c>
      <c r="I17">
        <f>(I6+H6/2+G6/3+F6/4+E6/5+D6/6+C6/7)/(1+1/2+1/3+1/4+1/5+1/6+1/7)-STDEV($C6:I6)/AVERAGE($C6:I6)*AVERAGE($C$3:I$12)</f>
        <v>83.414584609356709</v>
      </c>
      <c r="J17">
        <f>(J6+I6/2+H6/3+G6/4+F6/5+E6/6+D6/7+C6/8)/(1+1/2+1/3+1/4+1/5+1/6+1/7+1/8)-STDEV($C6:J6)/AVERAGE($C6:J6)*AVERAGE($C$3:J$12)</f>
        <v>84.343726006306866</v>
      </c>
      <c r="K17">
        <f>(K6+J6/2+I6/3+H6/4+G6/5+F6/6+E6/7+D6/8+C6/9)/(1+1/2+1/3+1/4+1/5+1/6+1/7+1/8+1/9)-STDEV($C6:K6)/AVERAGE($C6:K6)*AVERAGE($C$3:K$12)</f>
        <v>54.836062486141458</v>
      </c>
      <c r="L17">
        <f>(L6+K6/2+J6/3+I6/4+H6/5+G6/6+F6/7+E6/8+D6/9+C6/10)/(1+1/2+1/3+1/4+1/5+1/6+1/7+1/8+1/9+1/10)-STDEV($C6:L6)/AVERAGE($C6:L6)*AVERAGE($C$3:L$12)</f>
        <v>65.383806953130176</v>
      </c>
      <c r="M17">
        <f>(M6+L6/2+K6/3+J6/4+I6/5+H6/6+G6/7+F6/8+E6/9+D6/10+C6/11)/(1+1/2+1/3+1/4+1/5+1/6+1/7+1/8+1/9+1/10+1/11)-STDEV($C6:M6)/AVERAGE($C6:M6)*AVERAGE($C$3:M$12)</f>
        <v>60.57402870595115</v>
      </c>
      <c r="N17">
        <f>(N6+M6/2+L6/3+K6/4+J6/5+I6/6+H6/7+G6/8+F6/9+E6/10+D6/11+C6/12)/(1+1/2+1/3+1/4+1/5+1/6+1/7+1/8+1/9+1/10+1/11+1/12)-STDEV($C6:N6)/AVERAGE($C6:N6)*AVERAGE($C$3:N$12)</f>
        <v>70.425645299008067</v>
      </c>
      <c r="O17">
        <f>(O6+N6/2+M6/3+L6/4+K6/5+J6/6+I6/7+H6/8+G6/9+F6/10+E6/11+D6/12+C6/13)/(1+1/2+1/3+1/4+1/5+1/6+1/7+1/8+1/9+1/10+1/11+1/12+1/13)-STDEV($C6:O6)/AVERAGE($C6:O6)*AVERAGE($C$3:O$12)</f>
        <v>80.922105457074082</v>
      </c>
      <c r="P17">
        <f t="shared" si="9"/>
        <v>9</v>
      </c>
    </row>
    <row r="18" spans="1:16" x14ac:dyDescent="0.25">
      <c r="A18">
        <f t="shared" si="10"/>
        <v>3</v>
      </c>
      <c r="B18" t="s">
        <v>29</v>
      </c>
      <c r="C18">
        <f>INDEX(E$14:O$23,5,E$1-2)</f>
        <v>101.4547409326976</v>
      </c>
      <c r="D18">
        <f>INDEX(E$14:O$23,5,E$1-3)</f>
        <v>114.32612129236807</v>
      </c>
      <c r="E18">
        <f>(E7+D7/2+C7/3)/(1+1/2+1/3)-STDEV($C7:E7)/AVERAGE($C7:E7)*AVERAGE($C$3:E$12)</f>
        <v>129.1491451616416</v>
      </c>
      <c r="F18">
        <f>(F7+E7/2+D7/3+C7/4)/(1+1/2+1/3+1/4)-STDEV($C7:F7)/AVERAGE($C7:F7)*AVERAGE($C$3:F$12)</f>
        <v>131.89578412659577</v>
      </c>
      <c r="G18">
        <f>(G7+F7/2+E7/3+D7/4+C7/5)/(1+1/2+1/3+1/4+1/5)-STDEV($C7:G7)/AVERAGE($C7:G7)*AVERAGE($C$3:G$12)</f>
        <v>120.06603222444144</v>
      </c>
      <c r="H18">
        <f>(H7+G7/2+F7/3+E7/4+D7/5+C7/6)/(1+1/2+1/3+1/4+1/5+1/6)-STDEV($C7:H7)/AVERAGE($C7:H7)*AVERAGE($C$3:H$12)</f>
        <v>97.111709621637331</v>
      </c>
      <c r="I18">
        <f>(I7+H7/2+G7/3+F7/4+E7/5+D7/6+C7/7)/(1+1/2+1/3+1/4+1/5+1/6+1/7)-STDEV($C7:I7)/AVERAGE($C7:I7)*AVERAGE($C$3:I$12)</f>
        <v>89.907482563024345</v>
      </c>
      <c r="J18">
        <f>(J7+I7/2+H7/3+G7/4+F7/5+E7/6+D7/7+C7/8)/(1+1/2+1/3+1/4+1/5+1/6+1/7+1/8)-STDEV($C7:J7)/AVERAGE($C7:J7)*AVERAGE($C$3:J$12)</f>
        <v>98.260088751603689</v>
      </c>
      <c r="K18">
        <f>(K7+J7/2+I7/3+H7/4+G7/5+F7/6+E7/7+D7/8+C7/9)/(1+1/2+1/3+1/4+1/5+1/6+1/7+1/8+1/9)-STDEV($C7:K7)/AVERAGE($C7:K7)*AVERAGE($C$3:K$12)</f>
        <v>100.02082500806688</v>
      </c>
      <c r="L18">
        <f>(L7+K7/2+J7/3+I7/4+H7/5+G7/6+F7/7+E7/8+D7/9+C7/10)/(1+1/2+1/3+1/4+1/5+1/6+1/7+1/8+1/9+1/10)-STDEV($C7:L7)/AVERAGE($C7:L7)*AVERAGE($C$3:L$12)</f>
        <v>111.20488150947841</v>
      </c>
      <c r="M18">
        <f>(M7+L7/2+K7/3+J7/4+I7/5+H7/6+G7/7+F7/8+E7/9+D7/10+C7/11)/(1+1/2+1/3+1/4+1/5+1/6+1/7+1/8+1/9+1/10+1/11)-STDEV($C7:M7)/AVERAGE($C7:M7)*AVERAGE($C$3:M$12)</f>
        <v>105.98357010154621</v>
      </c>
      <c r="N18">
        <f>(N7+M7/2+L7/3+K7/4+J7/5+I7/6+H7/7+G7/8+F7/9+E7/10+D7/11+C7/12)/(1+1/2+1/3+1/4+1/5+1/6+1/7+1/8+1/9+1/10+1/11+1/12)-STDEV($C7:N7)/AVERAGE($C7:N7)*AVERAGE($C$3:N$12)</f>
        <v>114.32612129236807</v>
      </c>
      <c r="O18">
        <f>(O7+N7/2+M7/3+L7/4+K7/5+J7/6+I7/7+H7/8+G7/9+F7/10+E7/11+D7/12+C7/13)/(1+1/2+1/3+1/4+1/5+1/6+1/7+1/8+1/9+1/10+1/11+1/12+1/13)-STDEV($C7:O7)/AVERAGE($C7:O7)*AVERAGE($C$3:O$12)</f>
        <v>101.4547409326976</v>
      </c>
      <c r="P18">
        <f t="shared" si="9"/>
        <v>1</v>
      </c>
    </row>
    <row r="19" spans="1:16" x14ac:dyDescent="0.25">
      <c r="A19">
        <f t="shared" si="10"/>
        <v>10</v>
      </c>
      <c r="B19" t="s">
        <v>30</v>
      </c>
      <c r="C19">
        <f>INDEX(E$14:O$23,6,E$1-2)</f>
        <v>56.144633679939744</v>
      </c>
      <c r="D19">
        <f>INDEX(E$14:O$23,6,E$1-3)</f>
        <v>62.434457224760862</v>
      </c>
      <c r="E19">
        <f>(E8+D8/2+C8/3)/(1+1/2+1/3)-STDEV($C8:E8)/AVERAGE($C8:E8)*AVERAGE($C$3:E$12)</f>
        <v>65.403234448686931</v>
      </c>
      <c r="F19">
        <f>(F8+E8/2+D8/3+C8/4)/(1+1/2+1/3+1/4)-STDEV($C8:F8)/AVERAGE($C8:F8)*AVERAGE($C$3:F$12)</f>
        <v>80.40133331548914</v>
      </c>
      <c r="G19">
        <f>(G8+F8/2+E8/3+D8/4+C8/5)/(1+1/2+1/3+1/4+1/5)-STDEV($C8:G8)/AVERAGE($C8:G8)*AVERAGE($C$3:G$12)</f>
        <v>89.377497924989768</v>
      </c>
      <c r="H19">
        <f>(H8+G8/2+F8/3+E8/4+D8/5+C8/6)/(1+1/2+1/3+1/4+1/5+1/6)-STDEV($C8:H8)/AVERAGE($C8:H8)*AVERAGE($C$3:H$12)</f>
        <v>92.452899217057706</v>
      </c>
      <c r="I19">
        <f>(I8+H8/2+G8/3+F8/4+E8/5+D8/6+C8/7)/(1+1/2+1/3+1/4+1/5+1/6+1/7)-STDEV($C8:I8)/AVERAGE($C8:I8)*AVERAGE($C$3:I$12)</f>
        <v>93.47026549876864</v>
      </c>
      <c r="J19">
        <f>(J8+I8/2+H8/3+G8/4+F8/5+E8/6+D8/7+C8/8)/(1+1/2+1/3+1/4+1/5+1/6+1/7+1/8)-STDEV($C8:J8)/AVERAGE($C8:J8)*AVERAGE($C$3:J$12)</f>
        <v>93.209509293299774</v>
      </c>
      <c r="K19">
        <f>(K8+J8/2+I8/3+H8/4+G8/5+F8/6+E8/7+D8/8+C8/9)/(1+1/2+1/3+1/4+1/5+1/6+1/7+1/8+1/9)-STDEV($C8:K8)/AVERAGE($C8:K8)*AVERAGE($C$3:K$12)</f>
        <v>79.884041689331369</v>
      </c>
      <c r="L19">
        <f>(L8+K8/2+J8/3+I8/4+H8/5+G8/6+F8/7+E8/8+D8/9+C8/10)/(1+1/2+1/3+1/4+1/5+1/6+1/7+1/8+1/9+1/10)-STDEV($C8:L8)/AVERAGE($C8:L8)*AVERAGE($C$3:L$12)</f>
        <v>81.28204524946166</v>
      </c>
      <c r="M19">
        <f>(M8+L8/2+K8/3+J8/4+I8/5+H8/6+G8/7+F8/8+E8/9+D8/10+C8/11)/(1+1/2+1/3+1/4+1/5+1/6+1/7+1/8+1/9+1/10+1/11)-STDEV($C8:M8)/AVERAGE($C8:M8)*AVERAGE($C$3:M$12)</f>
        <v>60.920386950197496</v>
      </c>
      <c r="N19">
        <f>(N8+M8/2+L8/3+K8/4+J8/5+I8/6+H8/7+G8/8+F8/9+E8/10+D8/11+C8/12)/(1+1/2+1/3+1/4+1/5+1/6+1/7+1/8+1/9+1/10+1/11+1/12)-STDEV($C8:N8)/AVERAGE($C8:N8)*AVERAGE($C$3:N$12)</f>
        <v>62.434457224760862</v>
      </c>
      <c r="O19">
        <f>(O8+N8/2+M8/3+L8/4+K8/5+J8/6+I8/7+H8/8+G8/9+F8/10+E8/11+D8/12+C8/13)/(1+1/2+1/3+1/4+1/5+1/6+1/7+1/8+1/9+1/10+1/11+1/12+1/13)-STDEV($C8:O8)/AVERAGE($C8:O8)*AVERAGE($C$3:O$12)</f>
        <v>56.144633679939744</v>
      </c>
      <c r="P19">
        <f t="shared" si="9"/>
        <v>10</v>
      </c>
    </row>
    <row r="20" spans="1:16" x14ac:dyDescent="0.25">
      <c r="A20">
        <f t="shared" si="10"/>
        <v>4</v>
      </c>
      <c r="B20" t="s">
        <v>31</v>
      </c>
      <c r="C20">
        <f>INDEX(E$14:O$23,7,E$1-2)</f>
        <v>99.201761237186929</v>
      </c>
      <c r="D20">
        <f>INDEX(E$14:O$23,7,E$1-3)</f>
        <v>104.05025062088312</v>
      </c>
      <c r="E20">
        <f>(E9+D9/2+C9/3)/(1+1/2+1/3)-STDEV($C9:E9)/AVERAGE($C9:E9)*AVERAGE($C$3:E$12)</f>
        <v>78.095455533370313</v>
      </c>
      <c r="F20">
        <f>(F9+E9/2+D9/3+C9/4)/(1+1/2+1/3+1/4)-STDEV($C9:F9)/AVERAGE($C9:F9)*AVERAGE($C$3:F$12)</f>
        <v>93.353701149010618</v>
      </c>
      <c r="G20">
        <f>(G9+F9/2+E9/3+D9/4+C9/5)/(1+1/2+1/3+1/4+1/5)-STDEV($C9:G9)/AVERAGE($C9:G9)*AVERAGE($C$3:G$12)</f>
        <v>70.659222805415979</v>
      </c>
      <c r="H20">
        <f>(H9+G9/2+F9/3+E9/4+D9/5+C9/6)/(1+1/2+1/3+1/4+1/5+1/6)-STDEV($C9:H9)/AVERAGE($C9:H9)*AVERAGE($C$3:H$12)</f>
        <v>69.137755262263028</v>
      </c>
      <c r="I20">
        <f>(I9+H9/2+G9/3+F9/4+E9/5+D9/6+C9/7)/(1+1/2+1/3+1/4+1/5+1/6+1/7)-STDEV($C9:I9)/AVERAGE($C9:I9)*AVERAGE($C$3:I$12)</f>
        <v>78.735299117822052</v>
      </c>
      <c r="J20">
        <f>(J9+I9/2+H9/3+G9/4+F9/5+E9/6+D9/7+C9/8)/(1+1/2+1/3+1/4+1/5+1/6+1/7+1/8)-STDEV($C9:J9)/AVERAGE($C9:J9)*AVERAGE($C$3:J$12)</f>
        <v>85.207316679454976</v>
      </c>
      <c r="K20">
        <f>(K9+J9/2+I9/3+H9/4+G9/5+F9/6+E9/7+D9/8+C9/9)/(1+1/2+1/3+1/4+1/5+1/6+1/7+1/8+1/9)-STDEV($C9:K9)/AVERAGE($C9:K9)*AVERAGE($C$3:K$12)</f>
        <v>88.727726466072369</v>
      </c>
      <c r="L20">
        <f>(L9+K9/2+J9/3+I9/4+H9/5+G9/6+F9/7+E9/8+D9/9+C9/10)/(1+1/2+1/3+1/4+1/5+1/6+1/7+1/8+1/9+1/10)-STDEV($C9:L9)/AVERAGE($C9:L9)*AVERAGE($C$3:L$12)</f>
        <v>95.963398666578371</v>
      </c>
      <c r="M20">
        <f>(M9+L9/2+K9/3+J9/4+I9/5+H9/6+G9/7+F9/8+E9/9+D9/10+C9/11)/(1+1/2+1/3+1/4+1/5+1/6+1/7+1/8+1/9+1/10+1/11)-STDEV($C9:M9)/AVERAGE($C9:M9)*AVERAGE($C$3:M$12)</f>
        <v>92.67058805367526</v>
      </c>
      <c r="N20">
        <f>(N9+M9/2+L9/3+K9/4+J9/5+I9/6+H9/7+G9/8+F9/9+E9/10+D9/11+C9/12)/(1+1/2+1/3+1/4+1/5+1/6+1/7+1/8+1/9+1/10+1/11+1/12)-STDEV($C9:N9)/AVERAGE($C9:N9)*AVERAGE($C$3:N$12)</f>
        <v>104.05025062088312</v>
      </c>
      <c r="O20">
        <f>(O9+N9/2+M9/3+L9/4+K9/5+J9/6+I9/7+H9/8+G9/9+F9/10+E9/11+D9/12+C9/13)/(1+1/2+1/3+1/4+1/5+1/6+1/7+1/8+1/9+1/10+1/11+1/12+1/13)-STDEV($C9:O9)/AVERAGE($C9:O9)*AVERAGE($C$3:O$12)</f>
        <v>99.201761237186929</v>
      </c>
      <c r="P20">
        <f t="shared" si="9"/>
        <v>4</v>
      </c>
    </row>
    <row r="21" spans="1:16" x14ac:dyDescent="0.25">
      <c r="A21">
        <f t="shared" si="10"/>
        <v>5</v>
      </c>
      <c r="B21" t="s">
        <v>32</v>
      </c>
      <c r="C21">
        <f>INDEX(E$14:O$23,8,E$1-2)</f>
        <v>95.864111164774386</v>
      </c>
      <c r="D21">
        <f>INDEX(E$14:O$23,8,E$1-3)</f>
        <v>96.185678745384294</v>
      </c>
      <c r="E21">
        <f>(E10+D10/2+C10/3)/(1+1/2+1/3)-STDEV($C10:E10)/AVERAGE($C10:E10)*AVERAGE($C$3:E$12)</f>
        <v>103.70816475886653</v>
      </c>
      <c r="F21">
        <f>(F10+E10/2+D10/3+C10/4)/(1+1/2+1/3+1/4)-STDEV($C10:F10)/AVERAGE($C10:F10)*AVERAGE($C$3:F$12)</f>
        <v>102.53434237798234</v>
      </c>
      <c r="G21">
        <f>(G10+F10/2+E10/3+D10/4+C10/5)/(1+1/2+1/3+1/4+1/5)-STDEV($C10:G10)/AVERAGE($C10:G10)*AVERAGE($C$3:G$12)</f>
        <v>112.70496202221621</v>
      </c>
      <c r="H21">
        <f>(H10+G10/2+F10/3+E10/4+D10/5+C10/6)/(1+1/2+1/3+1/4+1/5+1/6)-STDEV($C10:H10)/AVERAGE($C10:H10)*AVERAGE($C$3:H$12)</f>
        <v>117.57891522270779</v>
      </c>
      <c r="I21">
        <f>(I10+H10/2+G10/3+F10/4+E10/5+D10/6+C10/7)/(1+1/2+1/3+1/4+1/5+1/6+1/7)-STDEV($C10:I10)/AVERAGE($C10:I10)*AVERAGE($C$3:I$12)</f>
        <v>113.22915763952444</v>
      </c>
      <c r="J21">
        <f>(J10+I10/2+H10/3+G10/4+F10/5+E10/6+D10/7+C10/8)/(1+1/2+1/3+1/4+1/5+1/6+1/7+1/8)-STDEV($C10:J10)/AVERAGE($C10:J10)*AVERAGE($C$3:J$12)</f>
        <v>101.79627826057536</v>
      </c>
      <c r="K21">
        <f>(K10+J10/2+I10/3+H10/4+G10/5+F10/6+E10/7+D10/8+C10/9)/(1+1/2+1/3+1/4+1/5+1/6+1/7+1/8+1/9)-STDEV($C10:K10)/AVERAGE($C10:K10)*AVERAGE($C$3:K$12)</f>
        <v>104.52098628290405</v>
      </c>
      <c r="L21">
        <f>(L10+K10/2+J10/3+I10/4+H10/5+G10/6+F10/7+E10/8+D10/9+C10/10)/(1+1/2+1/3+1/4+1/5+1/6+1/7+1/8+1/9+1/10)-STDEV($C10:L10)/AVERAGE($C10:L10)*AVERAGE($C$3:L$12)</f>
        <v>93.678409057886867</v>
      </c>
      <c r="M21">
        <f>(M10+L10/2+K10/3+J10/4+I10/5+H10/6+G10/7+F10/8+E10/9+D10/10+C10/11)/(1+1/2+1/3+1/4+1/5+1/6+1/7+1/8+1/9+1/10+1/11)-STDEV($C10:M10)/AVERAGE($C10:M10)*AVERAGE($C$3:M$12)</f>
        <v>101.30636500847818</v>
      </c>
      <c r="N21">
        <f>(N10+M10/2+L10/3+K10/4+J10/5+I10/6+H10/7+G10/8+F10/9+E10/10+D10/11+C10/12)/(1+1/2+1/3+1/4+1/5+1/6+1/7+1/8+1/9+1/10+1/11+1/12)-STDEV($C10:N10)/AVERAGE($C10:N10)*AVERAGE($C$3:N$12)</f>
        <v>96.185678745384294</v>
      </c>
      <c r="O21">
        <f>(O10+N10/2+M10/3+L10/4+K10/5+J10/6+I10/7+H10/8+G10/9+F10/10+E10/11+D10/12+C10/13)/(1+1/2+1/3+1/4+1/5+1/6+1/7+1/8+1/9+1/10+1/11+1/12+1/13)-STDEV($C10:O10)/AVERAGE($C10:O10)*AVERAGE($C$3:O$12)</f>
        <v>95.864111164774386</v>
      </c>
      <c r="P21">
        <f t="shared" si="9"/>
        <v>7</v>
      </c>
    </row>
    <row r="22" spans="1:16" x14ac:dyDescent="0.25">
      <c r="A22">
        <f t="shared" si="10"/>
        <v>9</v>
      </c>
      <c r="B22" t="s">
        <v>33</v>
      </c>
      <c r="C22">
        <f>INDEX(E$14:O$23,9,E$1-2)</f>
        <v>80.232569509740287</v>
      </c>
      <c r="D22">
        <f>INDEX(E$14:O$23,9,E$1-3)</f>
        <v>99.379794621133712</v>
      </c>
      <c r="E22">
        <f>(E11+D11/2+C11/3)/(1+1/2+1/3)-STDEV($C11:E11)/AVERAGE($C11:E11)*AVERAGE($C$3:E$12)</f>
        <v>91.089613613853004</v>
      </c>
      <c r="F22">
        <f>(F11+E11/2+D11/3+C11/4)/(1+1/2+1/3+1/4)-STDEV($C11:F11)/AVERAGE($C11:F11)*AVERAGE($C$3:F$12)</f>
        <v>107.40255578410108</v>
      </c>
      <c r="G22">
        <f>(G11+F11/2+E11/3+D11/4+C11/5)/(1+1/2+1/3+1/4+1/5)-STDEV($C11:G11)/AVERAGE($C11:G11)*AVERAGE($C$3:G$12)</f>
        <v>91.165284838833543</v>
      </c>
      <c r="H22">
        <f>(H11+G11/2+F11/3+E11/4+D11/5+C11/6)/(1+1/2+1/3+1/4+1/5+1/6)-STDEV($C11:H11)/AVERAGE($C11:H11)*AVERAGE($C$3:H$12)</f>
        <v>111.11458130813224</v>
      </c>
      <c r="I22">
        <f>(I11+H11/2+G11/3+F11/4+E11/5+D11/6+C11/7)/(1+1/2+1/3+1/4+1/5+1/6+1/7)-STDEV($C11:I11)/AVERAGE($C11:I11)*AVERAGE($C$3:I$12)</f>
        <v>114.99883553178086</v>
      </c>
      <c r="J22">
        <f>(J11+I11/2+H11/3+G11/4+F11/5+E11/6+D11/7+C11/8)/(1+1/2+1/3+1/4+1/5+1/6+1/7+1/8)-STDEV($C11:J11)/AVERAGE($C11:J11)*AVERAGE($C$3:J$12)</f>
        <v>92.707282419756666</v>
      </c>
      <c r="K22">
        <f>(K11+J11/2+I11/3+H11/4+G11/5+F11/6+E11/7+D11/8+C11/9)/(1+1/2+1/3+1/4+1/5+1/6+1/7+1/8+1/9)-STDEV($C11:K11)/AVERAGE($C11:K11)*AVERAGE($C$3:K$12)</f>
        <v>92.691045486377547</v>
      </c>
      <c r="L22">
        <f>(L11+K11/2+J11/3+I11/4+H11/5+G11/6+F11/7+E11/8+D11/9+C11/10)/(1+1/2+1/3+1/4+1/5+1/6+1/7+1/8+1/9+1/10)-STDEV($C11:L11)/AVERAGE($C11:L11)*AVERAGE($C$3:L$12)</f>
        <v>98.396628988056804</v>
      </c>
      <c r="M22">
        <f>(M11+L11/2+K11/3+J11/4+I11/5+H11/6+G11/7+F11/8+E11/9+D11/10+C11/11)/(1+1/2+1/3+1/4+1/5+1/6+1/7+1/8+1/9+1/10+1/11)-STDEV($C11:M11)/AVERAGE($C11:M11)*AVERAGE($C$3:M$12)</f>
        <v>107.02404521325013</v>
      </c>
      <c r="N22">
        <f>(N11+M11/2+L11/3+K11/4+J11/5+I11/6+H11/7+G11/8+F11/9+E11/10+D11/11+C11/12)/(1+1/2+1/3+1/4+1/5+1/6+1/7+1/8+1/9+1/10+1/11+1/12)-STDEV($C11:N11)/AVERAGE($C11:N11)*AVERAGE($C$3:N$12)</f>
        <v>99.379794621133712</v>
      </c>
      <c r="O22">
        <f>(O11+N11/2+M11/3+L11/4+K11/5+J11/6+I11/7+H11/8+G11/9+F11/10+E11/11+D11/12+C11/13)/(1+1/2+1/3+1/4+1/5+1/6+1/7+1/8+1/9+1/10+1/11+1/12+1/13)-STDEV($C11:O11)/AVERAGE($C11:O11)*AVERAGE($C$3:O$12)</f>
        <v>80.232569509740287</v>
      </c>
      <c r="P22">
        <f t="shared" si="9"/>
        <v>6</v>
      </c>
    </row>
    <row r="23" spans="1:16" x14ac:dyDescent="0.25">
      <c r="A23">
        <f t="shared" si="10"/>
        <v>2</v>
      </c>
      <c r="B23" t="s">
        <v>34</v>
      </c>
      <c r="C23">
        <f>INDEX(E$14:O$23,10,E$1-2)</f>
        <v>101.87297831019961</v>
      </c>
      <c r="D23">
        <f>INDEX(E$14:O$23,10,E$1-3)</f>
        <v>104.62371819228306</v>
      </c>
      <c r="E23">
        <f>(E12+D12/2+C12/3)/(1+1/2+1/3)-STDEV($C12:E12)/AVERAGE($C12:E12)*AVERAGE($C$3:E$12)</f>
        <v>106.97458938685863</v>
      </c>
      <c r="F23">
        <f>(F12+E12/2+D12/3+C12/4)/(1+1/2+1/3+1/4)-STDEV($C12:F12)/AVERAGE($C12:F12)*AVERAGE($C$3:F$12)</f>
        <v>109.64811254744829</v>
      </c>
      <c r="G23">
        <f>(G12+F12/2+E12/3+D12/4+C12/5)/(1+1/2+1/3+1/4+1/5)-STDEV($C12:G12)/AVERAGE($C12:G12)*AVERAGE($C$3:G$12)</f>
        <v>109.11658942110793</v>
      </c>
      <c r="H23">
        <f>(H12+G12/2+F12/3+E12/4+D12/5+C12/6)/(1+1/2+1/3+1/4+1/5+1/6)-STDEV($C12:H12)/AVERAGE($C12:H12)*AVERAGE($C$3:H$12)</f>
        <v>111.52332302871115</v>
      </c>
      <c r="I23">
        <f>(I12+H12/2+G12/3+F12/4+E12/5+D12/6+C12/7)/(1+1/2+1/3+1/4+1/5+1/6+1/7)-STDEV($C12:I12)/AVERAGE($C12:I12)*AVERAGE($C$3:I$12)</f>
        <v>118.03569286956534</v>
      </c>
      <c r="J23">
        <f>(J12+I12/2+H12/3+G12/4+F12/5+E12/6+D12/7+C12/8)/(1+1/2+1/3+1/4+1/5+1/6+1/7+1/8)-STDEV($C12:J12)/AVERAGE($C12:J12)*AVERAGE($C$3:J$12)</f>
        <v>117.15487958057429</v>
      </c>
      <c r="K23">
        <f>(K12+J12/2+I12/3+H12/4+G12/5+F12/6+E12/7+D12/8+C12/9)/(1+1/2+1/3+1/4+1/5+1/6+1/7+1/8+1/9)-STDEV($C12:K12)/AVERAGE($C12:K12)*AVERAGE($C$3:K$12)</f>
        <v>116.24085253082453</v>
      </c>
      <c r="L23">
        <f>(L12+K12/2+J12/3+I12/4+H12/5+G12/6+F12/7+E12/8+D12/9+C12/10)/(1+1/2+1/3+1/4+1/5+1/6+1/7+1/8+1/9+1/10)-STDEV($C12:L12)/AVERAGE($C12:L12)*AVERAGE($C$3:L$12)</f>
        <v>93.858250179497603</v>
      </c>
      <c r="M23">
        <f>(M12+L12/2+K12/3+J12/4+I12/5+H12/6+G12/7+F12/8+E12/9+D12/10+C12/11)/(1+1/2+1/3+1/4+1/5+1/6+1/7+1/8+1/9+1/10+1/11)-STDEV($C12:M12)/AVERAGE($C12:M12)*AVERAGE($C$3:M$12)</f>
        <v>105.89903921725568</v>
      </c>
      <c r="N23">
        <f>(N12+M12/2+L12/3+K12/4+J12/5+I12/6+H12/7+G12/8+F12/9+E12/10+D12/11+C12/12)/(1+1/2+1/3+1/4+1/5+1/6+1/7+1/8+1/9+1/10+1/11+1/12)-STDEV($C12:N12)/AVERAGE($C12:N12)*AVERAGE($C$3:N$12)</f>
        <v>104.62371819228306</v>
      </c>
      <c r="O23">
        <f>(O12+N12/2+M12/3+L12/4+K12/5+J12/6+I12/7+H12/8+G12/9+F12/10+E12/11+D12/12+C12/13)/(1+1/2+1/3+1/4+1/5+1/6+1/7+1/8+1/9+1/10+1/11+1/12+1/13)-STDEV($C12:O12)/AVERAGE($C12:O12)*AVERAGE($C$3:O$12)</f>
        <v>101.87297831019961</v>
      </c>
      <c r="P23">
        <f t="shared" si="9"/>
        <v>3</v>
      </c>
    </row>
    <row r="25" spans="1:16" x14ac:dyDescent="0.25">
      <c r="A25" t="s">
        <v>9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</row>
    <row r="26" spans="1:16" x14ac:dyDescent="0.25">
      <c r="B26" s="11">
        <v>1</v>
      </c>
      <c r="C26" s="11" t="str">
        <f>VLOOKUP($B26,$A$14:$N$23,2,FALSE)</f>
        <v>Edison 4ever</v>
      </c>
      <c r="D26">
        <f>(80/$Q$15)*VLOOKUP($B26,$A$14:$O$23,(D$25+2),FALSE)</f>
        <v>75.126277084950274</v>
      </c>
      <c r="E26">
        <f t="shared" ref="E26:N26" si="11">(80/$Q$15)*VLOOKUP($B26,$A$14:$O$23,(E$25+2),FALSE)</f>
        <v>80.612329514866559</v>
      </c>
      <c r="F26">
        <f t="shared" si="11"/>
        <v>91.983319359243893</v>
      </c>
      <c r="G26">
        <f t="shared" si="11"/>
        <v>89.524542547548791</v>
      </c>
      <c r="H26">
        <f t="shared" si="11"/>
        <v>92.552834932086739</v>
      </c>
      <c r="I26">
        <f t="shared" si="11"/>
        <v>99.674308626069688</v>
      </c>
      <c r="J26">
        <f t="shared" si="11"/>
        <v>94.28370811799968</v>
      </c>
      <c r="K26">
        <f t="shared" si="11"/>
        <v>97.778398159048194</v>
      </c>
      <c r="L26">
        <f t="shared" si="11"/>
        <v>98.311033877863068</v>
      </c>
      <c r="M26">
        <f t="shared" si="11"/>
        <v>95.822710207306102</v>
      </c>
      <c r="N26">
        <f t="shared" si="11"/>
        <v>89.858339435629361</v>
      </c>
      <c r="O26">
        <f>INDEX($R$3:$AF$12,MATCH(C26,$R$3:$R$12,0),15)</f>
        <v>8.6666666666666679</v>
      </c>
      <c r="P26">
        <f>INDEX($P$3:$AD$12,MATCH(C26,$R$3:$R$12,0),1)</f>
        <v>8</v>
      </c>
    </row>
    <row r="27" spans="1:16" x14ac:dyDescent="0.25">
      <c r="B27" s="11">
        <v>2</v>
      </c>
      <c r="C27" s="11" t="str">
        <f>VLOOKUP($B27,$A$14:$N$23,2,FALSE)</f>
        <v>Broncos Forever</v>
      </c>
      <c r="D27">
        <f t="shared" ref="D27:N35" si="12">(80/$Q$15)*VLOOKUP($B27,$A$14:$O$23,(D$25+2),FALSE)</f>
        <v>90.383241473766603</v>
      </c>
      <c r="E27">
        <f t="shared" si="12"/>
        <v>92.642111461436471</v>
      </c>
      <c r="F27">
        <f t="shared" si="12"/>
        <v>92.193025530354475</v>
      </c>
      <c r="G27">
        <f t="shared" si="12"/>
        <v>94.226483999938964</v>
      </c>
      <c r="H27">
        <f t="shared" si="12"/>
        <v>99.728810293183955</v>
      </c>
      <c r="I27">
        <f t="shared" si="12"/>
        <v>98.984607762017617</v>
      </c>
      <c r="J27">
        <f t="shared" si="12"/>
        <v>98.212342796808642</v>
      </c>
      <c r="K27">
        <f t="shared" si="12"/>
        <v>79.301196096209139</v>
      </c>
      <c r="L27">
        <f t="shared" si="12"/>
        <v>89.474505004166133</v>
      </c>
      <c r="M27">
        <f t="shared" si="12"/>
        <v>88.396981371522656</v>
      </c>
      <c r="N27">
        <f t="shared" si="12"/>
        <v>86.072870679265023</v>
      </c>
      <c r="O27">
        <f t="shared" ref="O27:O35" si="13">INDEX($R$3:$AF$12,MATCH(C27,$R$3:$R$12,0),15)</f>
        <v>8.8888888888888911</v>
      </c>
      <c r="P27">
        <f t="shared" ref="P27:P35" si="14">INDEX($P$3:$AD$12,MATCH(C27,$R$3:$R$12,0),1)</f>
        <v>10</v>
      </c>
    </row>
    <row r="28" spans="1:16" x14ac:dyDescent="0.25">
      <c r="B28" s="11">
        <v>3</v>
      </c>
      <c r="C28" s="11" t="str">
        <f t="shared" ref="C28:C35" si="15">VLOOKUP($B28,$A$14:$N$23,2,FALSE)</f>
        <v>Belee Dat</v>
      </c>
      <c r="D28">
        <f t="shared" si="12"/>
        <v>109.11860882271502</v>
      </c>
      <c r="E28">
        <f t="shared" si="12"/>
        <v>111.43925463433807</v>
      </c>
      <c r="F28">
        <f t="shared" si="12"/>
        <v>101.44425181286884</v>
      </c>
      <c r="G28">
        <f t="shared" si="12"/>
        <v>82.050056475757785</v>
      </c>
      <c r="H28">
        <f t="shared" si="12"/>
        <v>75.963177361731013</v>
      </c>
      <c r="I28">
        <f t="shared" si="12"/>
        <v>83.020326413713107</v>
      </c>
      <c r="J28">
        <f t="shared" si="12"/>
        <v>84.507979239974659</v>
      </c>
      <c r="K28">
        <f t="shared" si="12"/>
        <v>93.957431537171388</v>
      </c>
      <c r="L28">
        <f t="shared" si="12"/>
        <v>89.545925472995336</v>
      </c>
      <c r="M28">
        <f>(80/$Q$15)*VLOOKUP($B28,$A$14:$O$23,(M$25+2),FALSE)</f>
        <v>96.594579018749826</v>
      </c>
      <c r="N28">
        <f>(80/$Q$15)*VLOOKUP($B28,$A$14:$O$23,(N$25+2),FALSE)</f>
        <v>85.719500312519187</v>
      </c>
      <c r="O28">
        <f t="shared" si="13"/>
        <v>8.1111111111111125</v>
      </c>
      <c r="P28">
        <f t="shared" si="14"/>
        <v>10</v>
      </c>
    </row>
    <row r="29" spans="1:16" x14ac:dyDescent="0.25">
      <c r="B29" s="11">
        <v>4</v>
      </c>
      <c r="C29" s="11" t="str">
        <f t="shared" si="15"/>
        <v>Team ATAC</v>
      </c>
      <c r="D29">
        <f t="shared" si="12"/>
        <v>65.983150353120408</v>
      </c>
      <c r="E29">
        <f t="shared" si="12"/>
        <v>78.874900682324039</v>
      </c>
      <c r="F29">
        <f t="shared" si="12"/>
        <v>59.700248757908589</v>
      </c>
      <c r="G29">
        <f t="shared" si="12"/>
        <v>58.414754986579524</v>
      </c>
      <c r="H29">
        <f t="shared" si="12"/>
        <v>66.523756655331141</v>
      </c>
      <c r="I29">
        <f t="shared" si="12"/>
        <v>71.991989152864676</v>
      </c>
      <c r="J29">
        <f t="shared" si="12"/>
        <v>74.966396903847254</v>
      </c>
      <c r="K29">
        <f t="shared" si="12"/>
        <v>81.079844139043601</v>
      </c>
      <c r="L29">
        <f t="shared" si="12"/>
        <v>78.297735804164915</v>
      </c>
      <c r="M29">
        <f t="shared" si="12"/>
        <v>87.912456417696731</v>
      </c>
      <c r="N29">
        <f t="shared" si="12"/>
        <v>83.81594911384687</v>
      </c>
      <c r="O29">
        <f t="shared" si="13"/>
        <v>5.4444444444444446</v>
      </c>
      <c r="P29">
        <f t="shared" si="14"/>
        <v>8</v>
      </c>
    </row>
    <row r="30" spans="1:16" x14ac:dyDescent="0.25">
      <c r="B30" s="11">
        <v>5</v>
      </c>
      <c r="C30" s="11" t="str">
        <f t="shared" si="15"/>
        <v>Pranay's Team</v>
      </c>
      <c r="D30">
        <f t="shared" si="12"/>
        <v>87.623426758890631</v>
      </c>
      <c r="E30">
        <f t="shared" si="12"/>
        <v>86.631659720504587</v>
      </c>
      <c r="F30">
        <f t="shared" si="12"/>
        <v>95.224855324352816</v>
      </c>
      <c r="G30">
        <f t="shared" si="12"/>
        <v>99.34287710482235</v>
      </c>
      <c r="H30">
        <f t="shared" si="12"/>
        <v>95.667750214907841</v>
      </c>
      <c r="I30">
        <f t="shared" si="12"/>
        <v>86.008066512724412</v>
      </c>
      <c r="J30">
        <f t="shared" si="12"/>
        <v>88.310182786684109</v>
      </c>
      <c r="K30">
        <f t="shared" si="12"/>
        <v>79.149247641771296</v>
      </c>
      <c r="L30">
        <f t="shared" si="12"/>
        <v>85.594136924218446</v>
      </c>
      <c r="M30">
        <f t="shared" si="12"/>
        <v>81.267649431428211</v>
      </c>
      <c r="N30">
        <f t="shared" si="12"/>
        <v>80.995955747395527</v>
      </c>
      <c r="O30">
        <f t="shared" si="13"/>
        <v>6.4444444444444438</v>
      </c>
      <c r="P30">
        <f t="shared" si="14"/>
        <v>6</v>
      </c>
    </row>
    <row r="31" spans="1:16" x14ac:dyDescent="0.25">
      <c r="B31" s="11">
        <v>6</v>
      </c>
      <c r="C31" s="11" t="str">
        <f t="shared" si="15"/>
        <v>Rolls Royces</v>
      </c>
      <c r="D31">
        <f t="shared" si="12"/>
        <v>69.525074981237211</v>
      </c>
      <c r="E31">
        <f t="shared" si="12"/>
        <v>80.880705426349778</v>
      </c>
      <c r="F31">
        <f t="shared" si="12"/>
        <v>64.623397281629977</v>
      </c>
      <c r="G31">
        <f t="shared" si="12"/>
        <v>64.629203113696079</v>
      </c>
      <c r="H31">
        <f t="shared" si="12"/>
        <v>60.961699915591232</v>
      </c>
      <c r="I31">
        <f t="shared" si="12"/>
        <v>62.779920027210252</v>
      </c>
      <c r="J31">
        <f t="shared" si="12"/>
        <v>73.937858393291648</v>
      </c>
      <c r="K31">
        <f t="shared" si="12"/>
        <v>80.795703466117232</v>
      </c>
      <c r="L31">
        <f t="shared" si="12"/>
        <v>88.391675635038311</v>
      </c>
      <c r="M31">
        <f t="shared" si="12"/>
        <v>86.69153310162153</v>
      </c>
      <c r="N31">
        <f t="shared" si="12"/>
        <v>72.914717839534347</v>
      </c>
      <c r="O31">
        <f t="shared" si="13"/>
        <v>7</v>
      </c>
      <c r="P31">
        <f t="shared" si="14"/>
        <v>6</v>
      </c>
    </row>
    <row r="32" spans="1:16" x14ac:dyDescent="0.25">
      <c r="B32" s="11">
        <v>7</v>
      </c>
      <c r="C32" s="11" t="str">
        <f t="shared" si="15"/>
        <v>Curse of the Commish</v>
      </c>
      <c r="D32">
        <f t="shared" si="12"/>
        <v>59.808993240381639</v>
      </c>
      <c r="E32">
        <f t="shared" si="12"/>
        <v>60.756363974885744</v>
      </c>
      <c r="F32">
        <f t="shared" si="12"/>
        <v>54.720607733268174</v>
      </c>
      <c r="G32">
        <f t="shared" si="12"/>
        <v>64.796562118111439</v>
      </c>
      <c r="H32">
        <f t="shared" si="12"/>
        <v>74.472765357234394</v>
      </c>
      <c r="I32">
        <f t="shared" si="12"/>
        <v>75.591840688310882</v>
      </c>
      <c r="J32">
        <f t="shared" si="12"/>
        <v>66.815357441074397</v>
      </c>
      <c r="K32">
        <f t="shared" si="12"/>
        <v>69.507614618389823</v>
      </c>
      <c r="L32">
        <f t="shared" si="12"/>
        <v>71.296110451963301</v>
      </c>
      <c r="M32">
        <f t="shared" si="12"/>
        <v>68.661267519715167</v>
      </c>
      <c r="N32">
        <f t="shared" si="12"/>
        <v>70.670492792338507</v>
      </c>
      <c r="O32">
        <f t="shared" si="13"/>
        <v>4.7777777777777777</v>
      </c>
      <c r="P32">
        <f t="shared" si="14"/>
        <v>3</v>
      </c>
    </row>
    <row r="33" spans="2:16" x14ac:dyDescent="0.25">
      <c r="B33" s="11">
        <v>8</v>
      </c>
      <c r="C33" s="11" t="str">
        <f t="shared" si="15"/>
        <v>Akshay's Team</v>
      </c>
      <c r="D33">
        <f t="shared" si="12"/>
        <v>68.435853449654019</v>
      </c>
      <c r="E33">
        <f t="shared" si="12"/>
        <v>71.753969222317778</v>
      </c>
      <c r="F33">
        <f t="shared" si="12"/>
        <v>80.504394713371184</v>
      </c>
      <c r="G33">
        <f t="shared" si="12"/>
        <v>82.711975181564782</v>
      </c>
      <c r="H33">
        <f t="shared" si="12"/>
        <v>70.477302940763522</v>
      </c>
      <c r="I33">
        <f t="shared" si="12"/>
        <v>71.262338075977937</v>
      </c>
      <c r="J33">
        <f t="shared" si="12"/>
        <v>46.331199825706769</v>
      </c>
      <c r="K33">
        <f t="shared" si="12"/>
        <v>55.243029640877253</v>
      </c>
      <c r="L33">
        <f t="shared" si="12"/>
        <v>51.179229524964349</v>
      </c>
      <c r="M33">
        <f t="shared" si="12"/>
        <v>59.502898225548428</v>
      </c>
      <c r="N33">
        <f t="shared" si="12"/>
        <v>68.371397731121618</v>
      </c>
      <c r="O33">
        <f t="shared" si="13"/>
        <v>4.666666666666667</v>
      </c>
      <c r="P33">
        <f t="shared" si="14"/>
        <v>3</v>
      </c>
    </row>
    <row r="34" spans="2:16" x14ac:dyDescent="0.25">
      <c r="B34" s="11">
        <v>9</v>
      </c>
      <c r="C34" s="11" t="str">
        <f>VLOOKUP($B34,$A$14:$N$23,2,FALSE)</f>
        <v>Galit's Team</v>
      </c>
      <c r="D34">
        <f t="shared" si="12"/>
        <v>76.961964427267617</v>
      </c>
      <c r="E34">
        <f t="shared" si="12"/>
        <v>90.744831926661334</v>
      </c>
      <c r="F34">
        <f t="shared" si="12"/>
        <v>77.025899335914914</v>
      </c>
      <c r="G34">
        <f t="shared" si="12"/>
        <v>93.881136550201305</v>
      </c>
      <c r="H34">
        <f t="shared" si="12"/>
        <v>97.162957863596844</v>
      </c>
      <c r="I34">
        <f t="shared" si="12"/>
        <v>78.328739015014079</v>
      </c>
      <c r="J34">
        <f t="shared" si="12"/>
        <v>78.315020367634261</v>
      </c>
      <c r="K34">
        <f t="shared" si="12"/>
        <v>83.135689783957957</v>
      </c>
      <c r="L34">
        <f t="shared" si="12"/>
        <v>90.425026891449889</v>
      </c>
      <c r="M34">
        <f t="shared" si="12"/>
        <v>83.966370203788728</v>
      </c>
      <c r="N34">
        <f t="shared" si="12"/>
        <v>67.78880616063816</v>
      </c>
      <c r="O34">
        <f t="shared" si="13"/>
        <v>7.1111111111111098</v>
      </c>
      <c r="P34">
        <f t="shared" si="14"/>
        <v>9</v>
      </c>
    </row>
    <row r="35" spans="2:16" x14ac:dyDescent="0.25">
      <c r="B35" s="11">
        <v>10</v>
      </c>
      <c r="C35" s="11" t="str">
        <f t="shared" si="15"/>
        <v>Fly Iggles Fly</v>
      </c>
      <c r="D35">
        <f t="shared" si="12"/>
        <v>55.259444006496238</v>
      </c>
      <c r="E35">
        <f t="shared" si="12"/>
        <v>67.931395348355153</v>
      </c>
      <c r="F35">
        <f t="shared" si="12"/>
        <v>75.515391305328066</v>
      </c>
      <c r="G35">
        <f t="shared" si="12"/>
        <v>78.113809669940707</v>
      </c>
      <c r="H35">
        <f t="shared" si="12"/>
        <v>78.973386349170696</v>
      </c>
      <c r="I35">
        <f t="shared" si="12"/>
        <v>78.753072429577642</v>
      </c>
      <c r="J35">
        <f t="shared" si="12"/>
        <v>67.494333666442131</v>
      </c>
      <c r="K35">
        <f t="shared" si="12"/>
        <v>68.67551224427703</v>
      </c>
      <c r="L35">
        <f t="shared" si="12"/>
        <v>51.471868935927048</v>
      </c>
      <c r="M35">
        <f t="shared" si="12"/>
        <v>52.751112726611083</v>
      </c>
      <c r="N35">
        <f t="shared" si="12"/>
        <v>47.43681665370849</v>
      </c>
      <c r="O35">
        <f t="shared" si="13"/>
        <v>3.8888888888888897</v>
      </c>
      <c r="P35">
        <f t="shared" si="14"/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7"/>
  <sheetViews>
    <sheetView tabSelected="1" zoomScaleNormal="100" workbookViewId="0">
      <selection activeCell="J4" sqref="J4"/>
    </sheetView>
  </sheetViews>
  <sheetFormatPr defaultRowHeight="27.75" customHeight="1" x14ac:dyDescent="0.25"/>
  <cols>
    <col min="1" max="1" width="9.140625" customWidth="1"/>
    <col min="2" max="2" width="20.7109375" bestFit="1" customWidth="1"/>
    <col min="3" max="3" width="8" customWidth="1"/>
    <col min="4" max="4" width="2.85546875" style="4" customWidth="1"/>
    <col min="5" max="5" width="4.7109375" customWidth="1"/>
    <col min="6" max="6" width="9.140625" style="8"/>
    <col min="7" max="7" width="31.7109375" customWidth="1"/>
    <col min="8" max="8" width="4.7109375" bestFit="1" customWidth="1"/>
    <col min="9" max="9" width="9.140625" style="9"/>
    <col min="19" max="21" width="9.140625" style="9"/>
  </cols>
  <sheetData>
    <row r="1" spans="1:21" ht="27.75" customHeight="1" x14ac:dyDescent="0.4">
      <c r="A1" s="35" t="str">
        <f>"Week "&amp;U1</f>
        <v>Week 13</v>
      </c>
      <c r="B1" s="36"/>
      <c r="C1" s="36"/>
      <c r="D1" s="36"/>
      <c r="E1" s="36"/>
      <c r="F1" s="36"/>
      <c r="G1" s="37"/>
      <c r="H1" s="27"/>
      <c r="I1" s="28"/>
      <c r="J1" s="27" t="s">
        <v>44</v>
      </c>
      <c r="T1" s="9" t="s">
        <v>19</v>
      </c>
      <c r="U1" s="9">
        <f>Points2018!E1</f>
        <v>13</v>
      </c>
    </row>
    <row r="2" spans="1:21" ht="27.75" customHeight="1" x14ac:dyDescent="0.25">
      <c r="A2" s="25" t="s">
        <v>13</v>
      </c>
      <c r="B2" s="25" t="s">
        <v>14</v>
      </c>
      <c r="C2" s="25" t="s">
        <v>15</v>
      </c>
      <c r="D2" s="33" t="s">
        <v>16</v>
      </c>
      <c r="E2" s="34"/>
      <c r="F2" s="6" t="s">
        <v>17</v>
      </c>
      <c r="G2" s="10" t="s">
        <v>18</v>
      </c>
      <c r="H2" s="27" t="s">
        <v>45</v>
      </c>
      <c r="I2" s="28"/>
      <c r="J2" s="27"/>
      <c r="L2" t="s">
        <v>40</v>
      </c>
      <c r="M2" t="s">
        <v>41</v>
      </c>
      <c r="N2" t="s">
        <v>42</v>
      </c>
      <c r="O2" t="s">
        <v>43</v>
      </c>
      <c r="P2" t="s">
        <v>35</v>
      </c>
      <c r="T2" s="9" t="s">
        <v>10</v>
      </c>
    </row>
    <row r="3" spans="1:21" ht="27.75" customHeight="1" x14ac:dyDescent="0.25">
      <c r="A3" s="13">
        <v>1</v>
      </c>
      <c r="B3" s="13" t="str">
        <f>VLOOKUP(A3,Points2018!$A$14:$K$23,2,FALSE)</f>
        <v>Edison 4ever</v>
      </c>
      <c r="C3" s="13">
        <f>VLOOKUP(A3,Points2018!$A$14:$P$23,16,FALSE)</f>
        <v>2</v>
      </c>
      <c r="D3" s="29">
        <f t="shared" ref="D3:D12" si="0">IF(C3&gt;A3,C3-A3,IF(C3&lt;A3,C3-A3,0))</f>
        <v>1</v>
      </c>
      <c r="E3" s="14" t="str">
        <f>IF(C3&gt;A3,"+"&amp;C3-A3,IF(C3&lt;A3,"-"&amp;A3-C3,"-"))</f>
        <v>+1</v>
      </c>
      <c r="F3" s="29" t="str">
        <f>T3&amp;" - "&amp;($U$1-T3)</f>
        <v>8 - 5</v>
      </c>
      <c r="G3" s="15">
        <f>INDEX(Points2018!AG$3:AG$12,MATCH(List!B3,Points2018!R$3:R$12,0))</f>
        <v>-0.37875856079642278</v>
      </c>
      <c r="H3" s="27">
        <f>Q3</f>
        <v>4</v>
      </c>
      <c r="I3" s="28"/>
      <c r="J3" s="27"/>
      <c r="K3" s="1">
        <f>INDEX(Points2018!$A$14:$C$23,MATCH(List!B3,Points2018!$B$14:$B$23,0),3)</f>
        <v>106.35333284546368</v>
      </c>
      <c r="L3" s="1">
        <f>($K3-$K$14)^2</f>
        <v>653.78064306052977</v>
      </c>
      <c r="M3" s="1">
        <f>($K3-$K$15)^2</f>
        <v>445.90155642431415</v>
      </c>
      <c r="N3" s="1">
        <f>($K3-$K$16)^2</f>
        <v>83.7986755458994</v>
      </c>
      <c r="O3" s="1">
        <f>($K3-$K$17)^2</f>
        <v>23.183689933955719</v>
      </c>
      <c r="P3">
        <f>MIN(L3:O3)</f>
        <v>23.183689933955719</v>
      </c>
      <c r="Q3">
        <f>IF(P3=L3,1,IF(P3=M3,2,IF(P3=N3,3,IF(P3=O3,4))))</f>
        <v>4</v>
      </c>
      <c r="T3" s="9">
        <f>INDEX(Points2018!P$3:P$12,MATCH(List!B3,Points2018!B$3:B$12,0),1)</f>
        <v>8</v>
      </c>
    </row>
    <row r="4" spans="1:21" ht="27.75" customHeight="1" x14ac:dyDescent="0.25">
      <c r="A4" s="13">
        <v>2</v>
      </c>
      <c r="B4" s="13" t="str">
        <f>VLOOKUP(A4,Points2018!$A$14:$K$23,2,FALSE)</f>
        <v>Broncos Forever</v>
      </c>
      <c r="C4" s="13">
        <f>VLOOKUP(A4,Points2018!$A$14:$P$23,16,FALSE)</f>
        <v>3</v>
      </c>
      <c r="D4" s="29">
        <f t="shared" si="0"/>
        <v>1</v>
      </c>
      <c r="E4" s="14" t="str">
        <f t="shared" ref="E4:E12" si="1">IF(C4&gt;A4,"+"&amp;C4-A4,IF(C4&lt;A4,"-"&amp;A4-C4,"-"))</f>
        <v>+1</v>
      </c>
      <c r="F4" s="29" t="str">
        <f t="shared" ref="F4:F12" si="2">T4&amp;" - "&amp;($U$1-T4)</f>
        <v>10 - 3</v>
      </c>
      <c r="G4" s="15">
        <f>INDEX(Points2018!AG$3:AG$12,MATCH(List!B4,Points2018!R$3:R$12,0))</f>
        <v>0.63126426799403557</v>
      </c>
      <c r="H4" s="27">
        <f t="shared" ref="H4:H12" si="3">Q4</f>
        <v>4</v>
      </c>
      <c r="I4" s="28"/>
      <c r="J4" s="27"/>
      <c r="K4" s="1">
        <f>INDEX(Points2018!$A$14:$C$23,MATCH(List!B4,Points2018!$B$14:$B$23,0),3)</f>
        <v>101.87297831019961</v>
      </c>
      <c r="L4" s="1">
        <f t="shared" ref="L4:L12" si="4">(K4-$K$14)^2</f>
        <v>444.7366436848389</v>
      </c>
      <c r="M4" s="1">
        <f t="shared" ref="M4:M12" si="5">($K4-$K$15)^2</f>
        <v>276.75738432474708</v>
      </c>
      <c r="N4" s="1">
        <f t="shared" ref="N4:N12" si="6">($K4-$K$16)^2</f>
        <v>21.844472961874107</v>
      </c>
      <c r="O4" s="1">
        <f t="shared" ref="O4:O12" si="7">($K4-$K$17)^2</f>
        <v>0.11195040252144735</v>
      </c>
      <c r="P4">
        <f t="shared" ref="P4:P12" si="8">MIN(L4:O4)</f>
        <v>0.11195040252144735</v>
      </c>
      <c r="Q4">
        <f t="shared" ref="Q4:Q12" si="9">IF(P4=L4,1,IF(P4=M4,2,IF(P4=N4,3,IF(P4=O4,4))))</f>
        <v>4</v>
      </c>
      <c r="T4" s="9">
        <f>INDEX(Points2018!P$3:P$12,MATCH(List!B4,Points2018!B$3:B$12,0),1)</f>
        <v>10</v>
      </c>
    </row>
    <row r="5" spans="1:21" ht="27.75" customHeight="1" x14ac:dyDescent="0.25">
      <c r="A5" s="13">
        <v>3</v>
      </c>
      <c r="B5" s="13" t="str">
        <f>VLOOKUP(A5,Points2018!$A$14:$K$23,2,FALSE)</f>
        <v>Belee Dat</v>
      </c>
      <c r="C5" s="13">
        <f>VLOOKUP(A5,Points2018!$A$14:$P$23,16,FALSE)</f>
        <v>1</v>
      </c>
      <c r="D5" s="29">
        <f t="shared" si="0"/>
        <v>-2</v>
      </c>
      <c r="E5" s="14" t="str">
        <f t="shared" si="1"/>
        <v>-2</v>
      </c>
      <c r="F5" s="29" t="str">
        <f t="shared" si="2"/>
        <v>10 - 3</v>
      </c>
      <c r="G5" s="15">
        <f>INDEX(Points2018!AG$3:AG$12,MATCH(List!B5,Points2018!R$3:R$12,0))</f>
        <v>1.0731492555898619</v>
      </c>
      <c r="H5" s="27">
        <f t="shared" si="3"/>
        <v>4</v>
      </c>
      <c r="I5" s="28"/>
      <c r="J5" s="27"/>
      <c r="K5" s="1">
        <f>INDEX(Points2018!$A$14:$C$23,MATCH(List!B5,Points2018!$B$14:$B$23,0),3)</f>
        <v>101.4547409326976</v>
      </c>
      <c r="L5" s="1">
        <f t="shared" si="4"/>
        <v>427.27133406931762</v>
      </c>
      <c r="M5" s="1">
        <f t="shared" si="5"/>
        <v>263.01669047152853</v>
      </c>
      <c r="N5" s="1">
        <f t="shared" si="6"/>
        <v>18.109873803136768</v>
      </c>
      <c r="O5" s="1">
        <f t="shared" si="7"/>
        <v>6.9969001575898651E-3</v>
      </c>
      <c r="P5">
        <f t="shared" si="8"/>
        <v>6.9969001575898651E-3</v>
      </c>
      <c r="Q5">
        <f t="shared" si="9"/>
        <v>4</v>
      </c>
      <c r="T5" s="9">
        <f>INDEX(Points2018!P$3:P$12,MATCH(List!B5,Points2018!B$3:B$12,0),1)</f>
        <v>10</v>
      </c>
    </row>
    <row r="6" spans="1:21" ht="27.75" customHeight="1" x14ac:dyDescent="0.25">
      <c r="A6" s="22">
        <v>4</v>
      </c>
      <c r="B6" s="22" t="str">
        <f>VLOOKUP(A6,Points2018!$A$14:$K$23,2,FALSE)</f>
        <v>Team ATAC</v>
      </c>
      <c r="C6" s="22">
        <f>VLOOKUP(A6,Points2018!$A$14:$P$23,16,FALSE)</f>
        <v>4</v>
      </c>
      <c r="D6" s="30">
        <f t="shared" si="0"/>
        <v>0</v>
      </c>
      <c r="E6" s="23" t="str">
        <f t="shared" si="1"/>
        <v>-</v>
      </c>
      <c r="F6" s="30" t="str">
        <f t="shared" si="2"/>
        <v>8 - 5</v>
      </c>
      <c r="G6" s="24">
        <f>INDEX(Points2018!AG$3:AG$12,MATCH(List!B6,Points2018!R$3:R$12,0))</f>
        <v>1.4519078163862846</v>
      </c>
      <c r="H6" s="27">
        <f t="shared" si="3"/>
        <v>3</v>
      </c>
      <c r="I6" s="28"/>
      <c r="J6" s="27"/>
      <c r="K6" s="1">
        <f>INDEX(Points2018!$A$14:$C$23,MATCH(List!B6,Points2018!$B$14:$B$23,0),3)</f>
        <v>99.201761237186929</v>
      </c>
      <c r="L6" s="1">
        <f t="shared" si="4"/>
        <v>339.20662573842998</v>
      </c>
      <c r="M6" s="1">
        <f t="shared" si="5"/>
        <v>195.0159078857921</v>
      </c>
      <c r="N6" s="1">
        <f t="shared" si="6"/>
        <v>4.0103668821151643</v>
      </c>
      <c r="O6" s="1">
        <f t="shared" si="7"/>
        <v>5.4598265363072134</v>
      </c>
      <c r="P6">
        <f t="shared" si="8"/>
        <v>4.0103668821151643</v>
      </c>
      <c r="Q6">
        <f t="shared" si="9"/>
        <v>3</v>
      </c>
      <c r="T6" s="9">
        <f>INDEX(Points2018!P$3:P$12,MATCH(List!B6,Points2018!B$3:B$12,0),1)</f>
        <v>8</v>
      </c>
    </row>
    <row r="7" spans="1:21" ht="27.75" customHeight="1" x14ac:dyDescent="0.25">
      <c r="A7" s="22">
        <v>5</v>
      </c>
      <c r="B7" s="22" t="str">
        <f>VLOOKUP(A7,Points2018!$A$14:$K$23,2,FALSE)</f>
        <v>Pranay's Team</v>
      </c>
      <c r="C7" s="22">
        <f>VLOOKUP(A7,Points2018!$A$14:$P$23,16,FALSE)</f>
        <v>7</v>
      </c>
      <c r="D7" s="30">
        <f t="shared" si="0"/>
        <v>2</v>
      </c>
      <c r="E7" s="23" t="str">
        <f t="shared" si="1"/>
        <v>+2</v>
      </c>
      <c r="F7" s="30" t="str">
        <f t="shared" si="2"/>
        <v>6 - 7</v>
      </c>
      <c r="G7" s="24">
        <f>INDEX(Points2018!AG$3:AG$12,MATCH(List!B7,Points2018!R$3:R$12,0))</f>
        <v>-0.25250570719761434</v>
      </c>
      <c r="H7" s="27">
        <f t="shared" si="3"/>
        <v>3</v>
      </c>
      <c r="I7" s="28"/>
      <c r="J7" s="27"/>
      <c r="K7" s="1">
        <f>INDEX(Points2018!$A$14:$C$23,MATCH(List!B7,Points2018!$B$14:$B$23,0),3)</f>
        <v>95.864111164774386</v>
      </c>
      <c r="L7" s="1">
        <f t="shared" si="4"/>
        <v>227.40377298614553</v>
      </c>
      <c r="M7" s="1">
        <f t="shared" si="5"/>
        <v>112.93652017388162</v>
      </c>
      <c r="N7" s="1">
        <f t="shared" si="6"/>
        <v>1.7823852809400731</v>
      </c>
      <c r="O7" s="1">
        <f t="shared" si="7"/>
        <v>32.197422235235123</v>
      </c>
      <c r="P7">
        <f t="shared" si="8"/>
        <v>1.7823852809400731</v>
      </c>
      <c r="Q7">
        <f t="shared" si="9"/>
        <v>3</v>
      </c>
      <c r="T7" s="9">
        <f>INDEX(Points2018!P$3:P$12,MATCH(List!B7,Points2018!B$3:B$12,0),1)</f>
        <v>6</v>
      </c>
    </row>
    <row r="8" spans="1:21" ht="27.75" customHeight="1" x14ac:dyDescent="0.25">
      <c r="A8" s="19">
        <v>6</v>
      </c>
      <c r="B8" s="19" t="str">
        <f>VLOOKUP(A8,Points2018!$A$14:$K$23,2,FALSE)</f>
        <v>Rolls Royces</v>
      </c>
      <c r="C8" s="19">
        <f>VLOOKUP(A8,Points2018!$A$14:$P$23,16,FALSE)</f>
        <v>5</v>
      </c>
      <c r="D8" s="31">
        <f t="shared" si="0"/>
        <v>-1</v>
      </c>
      <c r="E8" s="20" t="str">
        <f t="shared" si="1"/>
        <v>-1</v>
      </c>
      <c r="F8" s="31" t="str">
        <f t="shared" si="2"/>
        <v>6 - 7</v>
      </c>
      <c r="G8" s="21">
        <f>INDEX(Points2018!AG$3:AG$12,MATCH(List!B8,Points2018!R$3:R$12,0))</f>
        <v>-0.56813784119463318</v>
      </c>
      <c r="H8" s="27">
        <f t="shared" si="3"/>
        <v>2</v>
      </c>
      <c r="I8" s="28"/>
      <c r="J8" s="27"/>
      <c r="K8" s="1">
        <f>INDEX(Points2018!$A$14:$C$23,MATCH(List!B8,Points2018!$B$14:$B$23,0),3)</f>
        <v>86.299427570395011</v>
      </c>
      <c r="L8" s="1">
        <f t="shared" si="4"/>
        <v>30.417754262327968</v>
      </c>
      <c r="M8" s="1">
        <f t="shared" si="5"/>
        <v>1.1288551635428605</v>
      </c>
      <c r="N8" s="1">
        <f t="shared" si="6"/>
        <v>118.80441105463673</v>
      </c>
      <c r="O8" s="1">
        <f t="shared" si="7"/>
        <v>232.22592741609327</v>
      </c>
      <c r="P8">
        <f t="shared" si="8"/>
        <v>1.1288551635428605</v>
      </c>
      <c r="Q8">
        <f t="shared" si="9"/>
        <v>2</v>
      </c>
      <c r="T8" s="9">
        <f>INDEX(Points2018!P$3:P$12,MATCH(List!B8,Points2018!B$3:B$12,0),1)</f>
        <v>6</v>
      </c>
    </row>
    <row r="9" spans="1:21" ht="27.75" customHeight="1" x14ac:dyDescent="0.25">
      <c r="A9" s="19">
        <v>7</v>
      </c>
      <c r="B9" s="19" t="str">
        <f>VLOOKUP(A9,Points2018!$A$14:$K$23,2,FALSE)</f>
        <v>Curse of the Commish</v>
      </c>
      <c r="C9" s="19">
        <f>VLOOKUP(A9,Points2018!$A$14:$P$23,16,FALSE)</f>
        <v>8</v>
      </c>
      <c r="D9" s="31">
        <f t="shared" si="0"/>
        <v>1</v>
      </c>
      <c r="E9" s="20" t="str">
        <f t="shared" si="1"/>
        <v>+1</v>
      </c>
      <c r="F9" s="31" t="str">
        <f t="shared" si="2"/>
        <v>3 - 10</v>
      </c>
      <c r="G9" s="21">
        <f>INDEX(Points2018!AG$3:AG$12,MATCH(List!B9,Points2018!R$3:R$12,0))</f>
        <v>-1.0100228287904589</v>
      </c>
      <c r="H9" s="27">
        <f t="shared" si="3"/>
        <v>2</v>
      </c>
      <c r="I9" s="28"/>
      <c r="J9" s="27"/>
      <c r="K9" s="1">
        <f>INDEX(Points2018!$A$14:$C$23,MATCH(List!B9,Points2018!$B$14:$B$23,0),3)</f>
        <v>83.643237672789269</v>
      </c>
      <c r="L9" s="1">
        <f t="shared" si="4"/>
        <v>8.1741063203831352</v>
      </c>
      <c r="M9" s="1">
        <f t="shared" si="5"/>
        <v>2.5399241179713909</v>
      </c>
      <c r="N9" s="1">
        <f t="shared" si="6"/>
        <v>183.76333362441949</v>
      </c>
      <c r="O9" s="1">
        <f t="shared" si="7"/>
        <v>320.23641984299974</v>
      </c>
      <c r="P9">
        <f t="shared" si="8"/>
        <v>2.5399241179713909</v>
      </c>
      <c r="Q9">
        <f t="shared" si="9"/>
        <v>2</v>
      </c>
      <c r="T9" s="9">
        <f>INDEX(Points2018!P$3:P$12,MATCH(List!B9,Points2018!B$3:B$12,0),1)</f>
        <v>3</v>
      </c>
    </row>
    <row r="10" spans="1:21" ht="27.75" customHeight="1" x14ac:dyDescent="0.25">
      <c r="A10" s="16">
        <v>8</v>
      </c>
      <c r="B10" s="16" t="str">
        <f>VLOOKUP(A10,Points2018!$A$14:$K$23,2,FALSE)</f>
        <v>Akshay's Team</v>
      </c>
      <c r="C10" s="16">
        <f>VLOOKUP(A10,Points2018!$A$14:$P$23,16,FALSE)</f>
        <v>9</v>
      </c>
      <c r="D10" s="32">
        <f t="shared" si="0"/>
        <v>1</v>
      </c>
      <c r="E10" s="17" t="str">
        <f t="shared" si="1"/>
        <v>+1</v>
      </c>
      <c r="F10" s="32" t="str">
        <f t="shared" si="2"/>
        <v>3 - 10</v>
      </c>
      <c r="G10" s="18">
        <f>INDEX(Points2018!AG$3:AG$12,MATCH(List!B10,Points2018!R$3:R$12,0))</f>
        <v>-0.9468964019910554</v>
      </c>
      <c r="H10" s="27">
        <f t="shared" si="3"/>
        <v>1</v>
      </c>
      <c r="I10" s="28"/>
      <c r="J10" s="27"/>
      <c r="K10" s="1">
        <f>INDEX(Points2018!$A$14:$C$23,MATCH(List!B10,Points2018!$B$14:$B$23,0),3)</f>
        <v>80.922105457074082</v>
      </c>
      <c r="L10" s="1">
        <f t="shared" si="4"/>
        <v>1.9018392906620551E-2</v>
      </c>
      <c r="M10" s="1">
        <f t="shared" si="5"/>
        <v>18.617897335093051</v>
      </c>
      <c r="N10" s="1">
        <f t="shared" si="6"/>
        <v>264.94286899572415</v>
      </c>
      <c r="O10" s="1">
        <f t="shared" si="7"/>
        <v>425.03112272080284</v>
      </c>
      <c r="P10">
        <f t="shared" si="8"/>
        <v>1.9018392906620551E-2</v>
      </c>
      <c r="Q10">
        <f t="shared" si="9"/>
        <v>1</v>
      </c>
      <c r="T10" s="9">
        <f>INDEX(Points2018!P$3:P$12,MATCH(List!B10,Points2018!B$3:B$12,0),1)</f>
        <v>3</v>
      </c>
    </row>
    <row r="11" spans="1:21" ht="27.75" customHeight="1" x14ac:dyDescent="0.25">
      <c r="A11" s="16">
        <v>9</v>
      </c>
      <c r="B11" s="16" t="str">
        <f>VLOOKUP(A11,Points2018!$A$14:$K$23,2,FALSE)</f>
        <v>Galit's Team</v>
      </c>
      <c r="C11" s="16">
        <f>VLOOKUP(A11,Points2018!$A$14:$P$23,16,FALSE)</f>
        <v>6</v>
      </c>
      <c r="D11" s="32">
        <f t="shared" si="0"/>
        <v>-3</v>
      </c>
      <c r="E11" s="17" t="str">
        <f t="shared" si="1"/>
        <v>-3</v>
      </c>
      <c r="F11" s="32" t="str">
        <f t="shared" si="2"/>
        <v>9 - 4</v>
      </c>
      <c r="G11" s="18">
        <f>INDEX(Points2018!AG$3:AG$12,MATCH(List!B11,Points2018!R$3:R$12,0))</f>
        <v>1.0731492555898634</v>
      </c>
      <c r="H11" s="27">
        <f t="shared" si="3"/>
        <v>1</v>
      </c>
      <c r="I11" s="28"/>
      <c r="J11" s="27"/>
      <c r="K11" s="1">
        <f>INDEX(Points2018!$A$14:$C$23,MATCH(List!B11,Points2018!$B$14:$B$23,0),3)</f>
        <v>80.232569509740287</v>
      </c>
      <c r="L11" s="1">
        <f t="shared" si="4"/>
        <v>0.30429428650592882</v>
      </c>
      <c r="M11" s="1">
        <f t="shared" si="5"/>
        <v>25.043840218938755</v>
      </c>
      <c r="N11" s="1">
        <f t="shared" si="6"/>
        <v>287.86557270348163</v>
      </c>
      <c r="O11" s="1">
        <f t="shared" si="7"/>
        <v>453.93791893387794</v>
      </c>
      <c r="P11">
        <f t="shared" si="8"/>
        <v>0.30429428650592882</v>
      </c>
      <c r="Q11">
        <f t="shared" si="9"/>
        <v>1</v>
      </c>
      <c r="T11" s="9">
        <f>INDEX(Points2018!P$3:P$12,MATCH(List!B11,Points2018!B$3:B$12,0),1)</f>
        <v>9</v>
      </c>
    </row>
    <row r="12" spans="1:21" ht="27.75" customHeight="1" x14ac:dyDescent="0.25">
      <c r="A12" s="16">
        <v>10</v>
      </c>
      <c r="B12" s="16" t="str">
        <f>VLOOKUP(A12,Points2018!$A$14:$K$23,2,FALSE)</f>
        <v>Fly Iggles Fly</v>
      </c>
      <c r="C12" s="16">
        <f>VLOOKUP(A12,Points2018!$A$14:$P$23,16,FALSE)</f>
        <v>10</v>
      </c>
      <c r="D12" s="32">
        <f t="shared" si="0"/>
        <v>0</v>
      </c>
      <c r="E12" s="17" t="str">
        <f t="shared" si="1"/>
        <v>-</v>
      </c>
      <c r="F12" s="32" t="str">
        <f t="shared" si="2"/>
        <v>2 - 11</v>
      </c>
      <c r="G12" s="18">
        <f>INDEX(Points2018!AG$3:AG$12,MATCH(List!B12,Points2018!R$3:R$12,0))</f>
        <v>-1.0731492555898632</v>
      </c>
      <c r="H12" s="27">
        <f t="shared" si="3"/>
        <v>1</v>
      </c>
      <c r="I12" s="28"/>
      <c r="J12" s="27"/>
      <c r="K12" s="1">
        <f>INDEX(Points2018!$A$14:$C$23,MATCH(List!B12,Points2018!$B$14:$B$23,0),3)</f>
        <v>56.144633679939744</v>
      </c>
      <c r="L12" s="1">
        <f t="shared" si="4"/>
        <v>607.10814306984219</v>
      </c>
      <c r="M12" s="1">
        <f t="shared" si="5"/>
        <v>846.36296262241228</v>
      </c>
      <c r="N12" s="1">
        <f t="shared" si="6"/>
        <v>1685.4750504719834</v>
      </c>
      <c r="O12" s="1">
        <f t="shared" si="7"/>
        <v>2060.5929683292688</v>
      </c>
      <c r="P12">
        <f t="shared" si="8"/>
        <v>607.10814306984219</v>
      </c>
      <c r="Q12">
        <f t="shared" si="9"/>
        <v>1</v>
      </c>
      <c r="T12" s="9">
        <f>INDEX(Points2018!P$3:P$12,MATCH(List!B12,Points2018!B$3:B$12,0),1)</f>
        <v>2</v>
      </c>
    </row>
    <row r="13" spans="1:21" ht="27.75" customHeight="1" x14ac:dyDescent="0.25">
      <c r="A13" s="1"/>
      <c r="B13" s="1"/>
      <c r="C13" s="1"/>
      <c r="D13" s="5"/>
      <c r="E13" s="2"/>
      <c r="F13" s="7"/>
    </row>
    <row r="14" spans="1:21" ht="27.75" customHeight="1" x14ac:dyDescent="0.25">
      <c r="A14" s="1"/>
      <c r="B14" s="1"/>
      <c r="C14" s="1"/>
      <c r="D14" s="3"/>
      <c r="E14" s="3"/>
      <c r="F14" s="7"/>
      <c r="J14" t="s">
        <v>36</v>
      </c>
      <c r="K14">
        <f>PERCENTILE(K3:K12,0.2)</f>
        <v>80.784198267607323</v>
      </c>
    </row>
    <row r="15" spans="1:21" ht="27.75" customHeight="1" x14ac:dyDescent="0.25">
      <c r="J15" t="s">
        <v>37</v>
      </c>
      <c r="K15">
        <f>PERCENTILE(K3:K12,0.4)</f>
        <v>85.236951611352708</v>
      </c>
    </row>
    <row r="16" spans="1:21" ht="27.75" customHeight="1" x14ac:dyDescent="0.25">
      <c r="J16" t="s">
        <v>38</v>
      </c>
      <c r="K16">
        <f>PERCENTILE(K3:K12,0.6)</f>
        <v>97.199171193739403</v>
      </c>
    </row>
    <row r="17" spans="10:11" ht="27.75" customHeight="1" x14ac:dyDescent="0.25">
      <c r="J17" t="s">
        <v>39</v>
      </c>
      <c r="K17">
        <f>PERCENTILE(K3:K12,0.8)</f>
        <v>101.538388408198</v>
      </c>
    </row>
  </sheetData>
  <mergeCells count="2">
    <mergeCell ref="D2:E2"/>
    <mergeCell ref="A1:G1"/>
  </mergeCells>
  <conditionalFormatting sqref="E3">
    <cfRule type="iconSet" priority="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813E411-CC6E-4D3A-B28E-257D0A23F91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E3:E12</xm:sqref>
        </x14:conditionalFormatting>
        <x14:conditionalFormatting xmlns:xm="http://schemas.microsoft.com/office/excel/2006/main">
          <x14:cfRule type="iconSet" priority="2" id="{FBB50CCA-8718-4C4B-9EA7-9F6A88946150}">
            <x14:iconSet iconSet="3Triangles">
              <x14:cfvo type="percent">
                <xm:f>0</xm:f>
              </x14:cfvo>
              <x14:cfvo type="num">
                <xm:f>-0.5</xm:f>
              </x14:cfvo>
              <x14:cfvo type="num">
                <xm:f>0.5</xm:f>
              </x14:cfvo>
            </x14:iconSet>
          </x14:cfRule>
          <xm:sqref>D3:D12</xm:sqref>
        </x14:conditionalFormatting>
        <x14:conditionalFormatting xmlns:xm="http://schemas.microsoft.com/office/excel/2006/main">
          <x14:cfRule type="iconSet" priority="1" id="{A9C0EED6-8E36-4EF1-B2F9-68D1D6542A4D}">
            <x14:iconSet iconSet="5Quarters" custom="1">
              <x14:cfvo type="percent">
                <xm:f>0</xm:f>
              </x14:cfvo>
              <x14:cfvo type="num">
                <xm:f>-1.5</xm:f>
              </x14:cfvo>
              <x14:cfvo type="num">
                <xm:f>-0.75</xm:f>
              </x14:cfvo>
              <x14:cfvo type="num">
                <xm:f>0.75</xm:f>
              </x14:cfvo>
              <x14:cfvo type="num">
                <xm:f>1.5</xm:f>
              </x14:cfvo>
              <x14:cfIcon iconSet="4RedToBlack" iconId="3"/>
              <x14:cfIcon iconSet="4RedToBlack" iconId="2"/>
              <x14:cfIcon iconSet="5Quarters" iconId="0"/>
              <x14:cfIcon iconSet="3Stars" iconId="1"/>
              <x14:cfIcon iconSet="3Stars" iconId="2"/>
            </x14:iconSet>
          </x14:cfRule>
          <xm:sqref>G3:G12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0"/>
  <sheetViews>
    <sheetView workbookViewId="0">
      <selection activeCell="AC30" sqref="AC30"/>
    </sheetView>
  </sheetViews>
  <sheetFormatPr defaultRowHeight="15" x14ac:dyDescent="0.25"/>
  <cols>
    <col min="2" max="2" width="22.7109375" bestFit="1" customWidth="1"/>
    <col min="16" max="16" width="12" bestFit="1" customWidth="1"/>
    <col min="28" max="28" width="12" bestFit="1" customWidth="1"/>
  </cols>
  <sheetData>
    <row r="2" spans="2:15" x14ac:dyDescent="0.25"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</row>
    <row r="3" spans="2:15" x14ac:dyDescent="0.25">
      <c r="B3" t="s">
        <v>25</v>
      </c>
      <c r="C3">
        <v>0</v>
      </c>
      <c r="D3">
        <v>1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N3">
        <f>SUM(C3:L12)</f>
        <v>40</v>
      </c>
    </row>
    <row r="4" spans="2:15" x14ac:dyDescent="0.25">
      <c r="B4" t="s">
        <v>26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</row>
    <row r="5" spans="2:15" x14ac:dyDescent="0.25">
      <c r="B5" t="s">
        <v>27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</row>
    <row r="6" spans="2:15" x14ac:dyDescent="0.25">
      <c r="B6" t="s">
        <v>28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</row>
    <row r="7" spans="2:15" x14ac:dyDescent="0.25">
      <c r="B7" t="s">
        <v>29</v>
      </c>
      <c r="C7">
        <v>1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</row>
    <row r="8" spans="2:15" x14ac:dyDescent="0.25">
      <c r="B8" t="s">
        <v>30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</row>
    <row r="9" spans="2:15" x14ac:dyDescent="0.25">
      <c r="B9" t="s">
        <v>31</v>
      </c>
      <c r="C9">
        <v>1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</row>
    <row r="10" spans="2:15" x14ac:dyDescent="0.25">
      <c r="B10" t="s">
        <v>32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1</v>
      </c>
      <c r="L10">
        <v>1</v>
      </c>
    </row>
    <row r="11" spans="2:15" x14ac:dyDescent="0.25">
      <c r="B11" t="s">
        <v>33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1</v>
      </c>
      <c r="L11">
        <v>0</v>
      </c>
    </row>
    <row r="12" spans="2:15" x14ac:dyDescent="0.25">
      <c r="B12" t="s">
        <v>34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</row>
    <row r="14" spans="2:15" x14ac:dyDescent="0.25">
      <c r="C14" t="s">
        <v>25</v>
      </c>
      <c r="D14" t="s">
        <v>26</v>
      </c>
      <c r="E14" t="s">
        <v>27</v>
      </c>
      <c r="F14" t="s">
        <v>28</v>
      </c>
      <c r="G14" t="s">
        <v>29</v>
      </c>
      <c r="H14" t="s">
        <v>30</v>
      </c>
      <c r="I14" t="s">
        <v>31</v>
      </c>
      <c r="J14" t="s">
        <v>32</v>
      </c>
      <c r="K14" t="s">
        <v>33</v>
      </c>
      <c r="L14" t="s">
        <v>34</v>
      </c>
      <c r="O14">
        <f>MAX(C15:L24)</f>
        <v>45.310107252757859</v>
      </c>
    </row>
    <row r="15" spans="2:15" x14ac:dyDescent="0.25">
      <c r="B15" t="s">
        <v>25</v>
      </c>
      <c r="C15">
        <f>IF(C3=1,INDEX(Points2018!$C$14:$C$23,MATCH(probwin!C$2,Points2018!$B$14:$B$23,0))-INDEX(Points2018!$C$14:$C$23,MATCH(probwin!$B3,Points2018!$B$14:$B$23,0)),0)</f>
        <v>0</v>
      </c>
      <c r="D15">
        <f>IF(D3=1,INDEX(Points2018!$C$14:$C$23,MATCH(probwin!D$2,Points2018!$B$14:$B$23,0))-INDEX(Points2018!$C$14:$C$23,MATCH(probwin!$B3,Points2018!$B$14:$B$23,0)),0)</f>
        <v>2.6561898976057421</v>
      </c>
      <c r="E15">
        <f>IF(E3=1,INDEX(Points2018!$C$14:$C$23,MATCH(probwin!E$2,Points2018!$B$14:$B$23,0))-INDEX(Points2018!$C$14:$C$23,MATCH(probwin!$B3,Points2018!$B$14:$B$23,0)),0)</f>
        <v>22.710095172674414</v>
      </c>
      <c r="F15">
        <f>IF(F3=1,INDEX(Points2018!$C$14:$C$23,MATCH(probwin!F$2,Points2018!$B$14:$B$23,0))-INDEX(Points2018!$C$14:$C$23,MATCH(probwin!$B3,Points2018!$B$14:$B$23,0)),0)</f>
        <v>0</v>
      </c>
      <c r="G15">
        <f>IF(G3=1,INDEX(Points2018!$C$14:$C$23,MATCH(probwin!G$2,Points2018!$B$14:$B$23,0))-INDEX(Points2018!$C$14:$C$23,MATCH(probwin!$B3,Points2018!$B$14:$B$23,0)),0)</f>
        <v>17.811503259908335</v>
      </c>
      <c r="H15">
        <f>IF(H3=1,INDEX(Points2018!$C$14:$C$23,MATCH(probwin!H$2,Points2018!$B$14:$B$23,0))-INDEX(Points2018!$C$14:$C$23,MATCH(probwin!$B3,Points2018!$B$14:$B$23,0)),0)</f>
        <v>0</v>
      </c>
      <c r="I15">
        <f>IF(I3=1,INDEX(Points2018!$C$14:$C$23,MATCH(probwin!I$2,Points2018!$B$14:$B$23,0))-INDEX(Points2018!$C$14:$C$23,MATCH(probwin!$B3,Points2018!$B$14:$B$23,0)),0)</f>
        <v>15.55852356439766</v>
      </c>
      <c r="J15">
        <f>IF(J3=1,INDEX(Points2018!$C$14:$C$23,MATCH(probwin!J$2,Points2018!$B$14:$B$23,0))-INDEX(Points2018!$C$14:$C$23,MATCH(probwin!$B3,Points2018!$B$14:$B$23,0)),0)</f>
        <v>0</v>
      </c>
      <c r="K15">
        <f>IF(K3=1,INDEX(Points2018!$C$14:$C$23,MATCH(probwin!K$2,Points2018!$B$14:$B$23,0))-INDEX(Points2018!$C$14:$C$23,MATCH(probwin!$B3,Points2018!$B$14:$B$23,0)),0)</f>
        <v>0</v>
      </c>
      <c r="L15">
        <f>IF(L3=1,INDEX(Points2018!$C$14:$C$23,MATCH(probwin!L$2,Points2018!$B$14:$B$23,0))-INDEX(Points2018!$C$14:$C$23,MATCH(probwin!$B3,Points2018!$B$14:$B$23,0)),0)</f>
        <v>0</v>
      </c>
      <c r="O15">
        <f>MIN(C15:L24)</f>
        <v>-45.310107252757859</v>
      </c>
    </row>
    <row r="16" spans="2:15" x14ac:dyDescent="0.25">
      <c r="B16" t="s">
        <v>26</v>
      </c>
      <c r="C16">
        <f>IF(C4=1,INDEX(Points2018!$C$14:$C$23,MATCH(probwin!C$2,Points2018!$B$14:$B$23,0))-INDEX(Points2018!$C$14:$C$23,MATCH(probwin!$B4,Points2018!$B$14:$B$23,0)),0)</f>
        <v>-2.6561898976057421</v>
      </c>
      <c r="D16">
        <f>IF(D4=1,INDEX(Points2018!$C$14:$C$23,MATCH(probwin!D$2,Points2018!$B$14:$B$23,0))-INDEX(Points2018!$C$14:$C$23,MATCH(probwin!$B4,Points2018!$B$14:$B$23,0)),0)</f>
        <v>0</v>
      </c>
      <c r="E16">
        <f>IF(E4=1,INDEX(Points2018!$C$14:$C$23,MATCH(probwin!E$2,Points2018!$B$14:$B$23,0))-INDEX(Points2018!$C$14:$C$23,MATCH(probwin!$B4,Points2018!$B$14:$B$23,0)),0)</f>
        <v>20.053905275068672</v>
      </c>
      <c r="F16">
        <f>IF(F4=1,INDEX(Points2018!$C$14:$C$23,MATCH(probwin!F$2,Points2018!$B$14:$B$23,0))-INDEX(Points2018!$C$14:$C$23,MATCH(probwin!$B4,Points2018!$B$14:$B$23,0)),0)</f>
        <v>0</v>
      </c>
      <c r="G16">
        <f>IF(G4=1,INDEX(Points2018!$C$14:$C$23,MATCH(probwin!G$2,Points2018!$B$14:$B$23,0))-INDEX(Points2018!$C$14:$C$23,MATCH(probwin!$B4,Points2018!$B$14:$B$23,0)),0)</f>
        <v>15.155313362302593</v>
      </c>
      <c r="H16">
        <f>IF(H4=1,INDEX(Points2018!$C$14:$C$23,MATCH(probwin!H$2,Points2018!$B$14:$B$23,0))-INDEX(Points2018!$C$14:$C$23,MATCH(probwin!$B4,Points2018!$B$14:$B$23,0)),0)</f>
        <v>0</v>
      </c>
      <c r="I16">
        <f>IF(I4=1,INDEX(Points2018!$C$14:$C$23,MATCH(probwin!I$2,Points2018!$B$14:$B$23,0))-INDEX(Points2018!$C$14:$C$23,MATCH(probwin!$B4,Points2018!$B$14:$B$23,0)),0)</f>
        <v>0</v>
      </c>
      <c r="J16">
        <f>IF(J4=1,INDEX(Points2018!$C$14:$C$23,MATCH(probwin!J$2,Points2018!$B$14:$B$23,0))-INDEX(Points2018!$C$14:$C$23,MATCH(probwin!$B4,Points2018!$B$14:$B$23,0)),0)</f>
        <v>0</v>
      </c>
      <c r="K16">
        <f>IF(K4=1,INDEX(Points2018!$C$14:$C$23,MATCH(probwin!K$2,Points2018!$B$14:$B$23,0))-INDEX(Points2018!$C$14:$C$23,MATCH(probwin!$B4,Points2018!$B$14:$B$23,0)),0)</f>
        <v>0</v>
      </c>
      <c r="L16">
        <f>IF(L4=1,INDEX(Points2018!$C$14:$C$23,MATCH(probwin!L$2,Points2018!$B$14:$B$23,0))-INDEX(Points2018!$C$14:$C$23,MATCH(probwin!$B4,Points2018!$B$14:$B$23,0)),0)</f>
        <v>15.573550739804602</v>
      </c>
    </row>
    <row r="17" spans="2:29" x14ac:dyDescent="0.25">
      <c r="B17" t="s">
        <v>27</v>
      </c>
      <c r="C17">
        <f>IF(C5=1,INDEX(Points2018!$C$14:$C$23,MATCH(probwin!C$2,Points2018!$B$14:$B$23,0))-INDEX(Points2018!$C$14:$C$23,MATCH(probwin!$B5,Points2018!$B$14:$B$23,0)),0)</f>
        <v>-22.710095172674414</v>
      </c>
      <c r="D17">
        <f>IF(D5=1,INDEX(Points2018!$C$14:$C$23,MATCH(probwin!D$2,Points2018!$B$14:$B$23,0))-INDEX(Points2018!$C$14:$C$23,MATCH(probwin!$B5,Points2018!$B$14:$B$23,0)),0)</f>
        <v>-20.053905275068672</v>
      </c>
      <c r="E17">
        <f>IF(E5=1,INDEX(Points2018!$C$14:$C$23,MATCH(probwin!E$2,Points2018!$B$14:$B$23,0))-INDEX(Points2018!$C$14:$C$23,MATCH(probwin!$B5,Points2018!$B$14:$B$23,0)),0)</f>
        <v>0</v>
      </c>
      <c r="F17">
        <f>IF(F5=1,INDEX(Points2018!$C$14:$C$23,MATCH(probwin!F$2,Points2018!$B$14:$B$23,0))-INDEX(Points2018!$C$14:$C$23,MATCH(probwin!$B5,Points2018!$B$14:$B$23,0)),0)</f>
        <v>-25.431227388389601</v>
      </c>
      <c r="G17">
        <f>IF(G5=1,INDEX(Points2018!$C$14:$C$23,MATCH(probwin!G$2,Points2018!$B$14:$B$23,0))-INDEX(Points2018!$C$14:$C$23,MATCH(probwin!$B5,Points2018!$B$14:$B$23,0)),0)</f>
        <v>0</v>
      </c>
      <c r="H17">
        <f>IF(H5=1,INDEX(Points2018!$C$14:$C$23,MATCH(probwin!H$2,Points2018!$B$14:$B$23,0))-INDEX(Points2018!$C$14:$C$23,MATCH(probwin!$B5,Points2018!$B$14:$B$23,0)),0)</f>
        <v>0</v>
      </c>
      <c r="I17">
        <f>IF(I5=1,INDEX(Points2018!$C$14:$C$23,MATCH(probwin!I$2,Points2018!$B$14:$B$23,0))-INDEX(Points2018!$C$14:$C$23,MATCH(probwin!$B5,Points2018!$B$14:$B$23,0)),0)</f>
        <v>0</v>
      </c>
      <c r="J17">
        <f>IF(J5=1,INDEX(Points2018!$C$14:$C$23,MATCH(probwin!J$2,Points2018!$B$14:$B$23,0))-INDEX(Points2018!$C$14:$C$23,MATCH(probwin!$B5,Points2018!$B$14:$B$23,0)),0)</f>
        <v>0</v>
      </c>
      <c r="K17">
        <f>IF(K5=1,INDEX(Points2018!$C$14:$C$23,MATCH(probwin!K$2,Points2018!$B$14:$B$23,0))-INDEX(Points2018!$C$14:$C$23,MATCH(probwin!$B5,Points2018!$B$14:$B$23,0)),0)</f>
        <v>0</v>
      </c>
      <c r="L17">
        <f>IF(L5=1,INDEX(Points2018!$C$14:$C$23,MATCH(probwin!L$2,Points2018!$B$14:$B$23,0))-INDEX(Points2018!$C$14:$C$23,MATCH(probwin!$B5,Points2018!$B$14:$B$23,0)),0)</f>
        <v>-4.4803545352640697</v>
      </c>
    </row>
    <row r="18" spans="2:29" x14ac:dyDescent="0.25">
      <c r="B18" t="s">
        <v>28</v>
      </c>
      <c r="C18">
        <f>IF(C6=1,INDEX(Points2018!$C$14:$C$23,MATCH(probwin!C$2,Points2018!$B$14:$B$23,0))-INDEX(Points2018!$C$14:$C$23,MATCH(probwin!$B6,Points2018!$B$14:$B$23,0)),0)</f>
        <v>0</v>
      </c>
      <c r="D18">
        <f>IF(D6=1,INDEX(Points2018!$C$14:$C$23,MATCH(probwin!D$2,Points2018!$B$14:$B$23,0))-INDEX(Points2018!$C$14:$C$23,MATCH(probwin!$B6,Points2018!$B$14:$B$23,0)),0)</f>
        <v>0</v>
      </c>
      <c r="E18">
        <f>IF(E6=1,INDEX(Points2018!$C$14:$C$23,MATCH(probwin!E$2,Points2018!$B$14:$B$23,0))-INDEX(Points2018!$C$14:$C$23,MATCH(probwin!$B6,Points2018!$B$14:$B$23,0)),0)</f>
        <v>25.431227388389601</v>
      </c>
      <c r="F18">
        <f>IF(F6=1,INDEX(Points2018!$C$14:$C$23,MATCH(probwin!F$2,Points2018!$B$14:$B$23,0))-INDEX(Points2018!$C$14:$C$23,MATCH(probwin!$B6,Points2018!$B$14:$B$23,0)),0)</f>
        <v>0</v>
      </c>
      <c r="G18">
        <f>IF(G6=1,INDEX(Points2018!$C$14:$C$23,MATCH(probwin!G$2,Points2018!$B$14:$B$23,0))-INDEX(Points2018!$C$14:$C$23,MATCH(probwin!$B6,Points2018!$B$14:$B$23,0)),0)</f>
        <v>20.532635475623522</v>
      </c>
      <c r="H18">
        <f>IF(H6=1,INDEX(Points2018!$C$14:$C$23,MATCH(probwin!H$2,Points2018!$B$14:$B$23,0))-INDEX(Points2018!$C$14:$C$23,MATCH(probwin!$B6,Points2018!$B$14:$B$23,0)),0)</f>
        <v>0</v>
      </c>
      <c r="I18">
        <f>IF(I6=1,INDEX(Points2018!$C$14:$C$23,MATCH(probwin!I$2,Points2018!$B$14:$B$23,0))-INDEX(Points2018!$C$14:$C$23,MATCH(probwin!$B6,Points2018!$B$14:$B$23,0)),0)</f>
        <v>18.279655780112847</v>
      </c>
      <c r="J18">
        <f>IF(J6=1,INDEX(Points2018!$C$14:$C$23,MATCH(probwin!J$2,Points2018!$B$14:$B$23,0))-INDEX(Points2018!$C$14:$C$23,MATCH(probwin!$B6,Points2018!$B$14:$B$23,0)),0)</f>
        <v>0</v>
      </c>
      <c r="K18">
        <f>IF(K6=1,INDEX(Points2018!$C$14:$C$23,MATCH(probwin!K$2,Points2018!$B$14:$B$23,0))-INDEX(Points2018!$C$14:$C$23,MATCH(probwin!$B6,Points2018!$B$14:$B$23,0)),0)</f>
        <v>-0.68953594733379475</v>
      </c>
      <c r="L18">
        <f>IF(L6=1,INDEX(Points2018!$C$14:$C$23,MATCH(probwin!L$2,Points2018!$B$14:$B$23,0))-INDEX(Points2018!$C$14:$C$23,MATCH(probwin!$B6,Points2018!$B$14:$B$23,0)),0)</f>
        <v>0</v>
      </c>
    </row>
    <row r="19" spans="2:29" x14ac:dyDescent="0.25">
      <c r="B19" t="s">
        <v>29</v>
      </c>
      <c r="C19">
        <f>IF(C7=1,INDEX(Points2018!$C$14:$C$23,MATCH(probwin!C$2,Points2018!$B$14:$B$23,0))-INDEX(Points2018!$C$14:$C$23,MATCH(probwin!$B7,Points2018!$B$14:$B$23,0)),0)</f>
        <v>-17.811503259908335</v>
      </c>
      <c r="D19">
        <f>IF(D7=1,INDEX(Points2018!$C$14:$C$23,MATCH(probwin!D$2,Points2018!$B$14:$B$23,0))-INDEX(Points2018!$C$14:$C$23,MATCH(probwin!$B7,Points2018!$B$14:$B$23,0)),0)</f>
        <v>-15.155313362302593</v>
      </c>
      <c r="E19">
        <f>IF(E7=1,INDEX(Points2018!$C$14:$C$23,MATCH(probwin!E$2,Points2018!$B$14:$B$23,0))-INDEX(Points2018!$C$14:$C$23,MATCH(probwin!$B7,Points2018!$B$14:$B$23,0)),0)</f>
        <v>0</v>
      </c>
      <c r="F19">
        <f>IF(F7=1,INDEX(Points2018!$C$14:$C$23,MATCH(probwin!F$2,Points2018!$B$14:$B$23,0))-INDEX(Points2018!$C$14:$C$23,MATCH(probwin!$B7,Points2018!$B$14:$B$23,0)),0)</f>
        <v>-20.532635475623522</v>
      </c>
      <c r="G19">
        <f>IF(G7=1,INDEX(Points2018!$C$14:$C$23,MATCH(probwin!G$2,Points2018!$B$14:$B$23,0))-INDEX(Points2018!$C$14:$C$23,MATCH(probwin!$B7,Points2018!$B$14:$B$23,0)),0)</f>
        <v>0</v>
      </c>
      <c r="H19">
        <f>IF(H7=1,INDEX(Points2018!$C$14:$C$23,MATCH(probwin!H$2,Points2018!$B$14:$B$23,0))-INDEX(Points2018!$C$14:$C$23,MATCH(probwin!$B7,Points2018!$B$14:$B$23,0)),0)</f>
        <v>-45.310107252757859</v>
      </c>
      <c r="I19">
        <f>IF(I7=1,INDEX(Points2018!$C$14:$C$23,MATCH(probwin!I$2,Points2018!$B$14:$B$23,0))-INDEX(Points2018!$C$14:$C$23,MATCH(probwin!$B7,Points2018!$B$14:$B$23,0)),0)</f>
        <v>0</v>
      </c>
      <c r="J19">
        <f>IF(J7=1,INDEX(Points2018!$C$14:$C$23,MATCH(probwin!J$2,Points2018!$B$14:$B$23,0))-INDEX(Points2018!$C$14:$C$23,MATCH(probwin!$B7,Points2018!$B$14:$B$23,0)),0)</f>
        <v>0</v>
      </c>
      <c r="K19">
        <f>IF(K7=1,INDEX(Points2018!$C$14:$C$23,MATCH(probwin!K$2,Points2018!$B$14:$B$23,0))-INDEX(Points2018!$C$14:$C$23,MATCH(probwin!$B7,Points2018!$B$14:$B$23,0)),0)</f>
        <v>0</v>
      </c>
      <c r="L19">
        <f>IF(L7=1,INDEX(Points2018!$C$14:$C$23,MATCH(probwin!L$2,Points2018!$B$14:$B$23,0))-INDEX(Points2018!$C$14:$C$23,MATCH(probwin!$B7,Points2018!$B$14:$B$23,0)),0)</f>
        <v>0</v>
      </c>
    </row>
    <row r="20" spans="2:29" x14ac:dyDescent="0.25">
      <c r="B20" t="s">
        <v>30</v>
      </c>
      <c r="C20">
        <f>IF(C8=1,INDEX(Points2018!$C$14:$C$23,MATCH(probwin!C$2,Points2018!$B$14:$B$23,0))-INDEX(Points2018!$C$14:$C$23,MATCH(probwin!$B8,Points2018!$B$14:$B$23,0)),0)</f>
        <v>0</v>
      </c>
      <c r="D20">
        <f>IF(D8=1,INDEX(Points2018!$C$14:$C$23,MATCH(probwin!D$2,Points2018!$B$14:$B$23,0))-INDEX(Points2018!$C$14:$C$23,MATCH(probwin!$B8,Points2018!$B$14:$B$23,0)),0)</f>
        <v>0</v>
      </c>
      <c r="E20">
        <f>IF(E8=1,INDEX(Points2018!$C$14:$C$23,MATCH(probwin!E$2,Points2018!$B$14:$B$23,0))-INDEX(Points2018!$C$14:$C$23,MATCH(probwin!$B8,Points2018!$B$14:$B$23,0)),0)</f>
        <v>0</v>
      </c>
      <c r="F20">
        <f>IF(F8=1,INDEX(Points2018!$C$14:$C$23,MATCH(probwin!F$2,Points2018!$B$14:$B$23,0))-INDEX(Points2018!$C$14:$C$23,MATCH(probwin!$B8,Points2018!$B$14:$B$23,0)),0)</f>
        <v>0</v>
      </c>
      <c r="G20">
        <f>IF(G8=1,INDEX(Points2018!$C$14:$C$23,MATCH(probwin!G$2,Points2018!$B$14:$B$23,0))-INDEX(Points2018!$C$14:$C$23,MATCH(probwin!$B8,Points2018!$B$14:$B$23,0)),0)</f>
        <v>45.310107252757859</v>
      </c>
      <c r="H20">
        <f>IF(H8=1,INDEX(Points2018!$C$14:$C$23,MATCH(probwin!H$2,Points2018!$B$14:$B$23,0))-INDEX(Points2018!$C$14:$C$23,MATCH(probwin!$B8,Points2018!$B$14:$B$23,0)),0)</f>
        <v>0</v>
      </c>
      <c r="I20">
        <f>IF(I8=1,INDEX(Points2018!$C$14:$C$23,MATCH(probwin!I$2,Points2018!$B$14:$B$23,0))-INDEX(Points2018!$C$14:$C$23,MATCH(probwin!$B8,Points2018!$B$14:$B$23,0)),0)</f>
        <v>43.057127557247185</v>
      </c>
      <c r="J20">
        <f>IF(J8=1,INDEX(Points2018!$C$14:$C$23,MATCH(probwin!J$2,Points2018!$B$14:$B$23,0))-INDEX(Points2018!$C$14:$C$23,MATCH(probwin!$B8,Points2018!$B$14:$B$23,0)),0)</f>
        <v>39.719477484834641</v>
      </c>
      <c r="K20">
        <f>IF(K8=1,INDEX(Points2018!$C$14:$C$23,MATCH(probwin!K$2,Points2018!$B$14:$B$23,0))-INDEX(Points2018!$C$14:$C$23,MATCH(probwin!$B8,Points2018!$B$14:$B$23,0)),0)</f>
        <v>24.087935829800543</v>
      </c>
      <c r="L20">
        <f>IF(L8=1,INDEX(Points2018!$C$14:$C$23,MATCH(probwin!L$2,Points2018!$B$14:$B$23,0))-INDEX(Points2018!$C$14:$C$23,MATCH(probwin!$B8,Points2018!$B$14:$B$23,0)),0)</f>
        <v>0</v>
      </c>
    </row>
    <row r="21" spans="2:29" x14ac:dyDescent="0.25">
      <c r="B21" t="s">
        <v>31</v>
      </c>
      <c r="C21">
        <f>IF(C9=1,INDEX(Points2018!$C$14:$C$23,MATCH(probwin!C$2,Points2018!$B$14:$B$23,0))-INDEX(Points2018!$C$14:$C$23,MATCH(probwin!$B9,Points2018!$B$14:$B$23,0)),0)</f>
        <v>-15.55852356439766</v>
      </c>
      <c r="D21">
        <f>IF(D9=1,INDEX(Points2018!$C$14:$C$23,MATCH(probwin!D$2,Points2018!$B$14:$B$23,0))-INDEX(Points2018!$C$14:$C$23,MATCH(probwin!$B9,Points2018!$B$14:$B$23,0)),0)</f>
        <v>0</v>
      </c>
      <c r="E21">
        <f>IF(E9=1,INDEX(Points2018!$C$14:$C$23,MATCH(probwin!E$2,Points2018!$B$14:$B$23,0))-INDEX(Points2018!$C$14:$C$23,MATCH(probwin!$B9,Points2018!$B$14:$B$23,0)),0)</f>
        <v>0</v>
      </c>
      <c r="F21">
        <f>IF(F9=1,INDEX(Points2018!$C$14:$C$23,MATCH(probwin!F$2,Points2018!$B$14:$B$23,0))-INDEX(Points2018!$C$14:$C$23,MATCH(probwin!$B9,Points2018!$B$14:$B$23,0)),0)</f>
        <v>-18.279655780112847</v>
      </c>
      <c r="G21">
        <f>IF(G9=1,INDEX(Points2018!$C$14:$C$23,MATCH(probwin!G$2,Points2018!$B$14:$B$23,0))-INDEX(Points2018!$C$14:$C$23,MATCH(probwin!$B9,Points2018!$B$14:$B$23,0)),0)</f>
        <v>0</v>
      </c>
      <c r="H21">
        <f>IF(H9=1,INDEX(Points2018!$C$14:$C$23,MATCH(probwin!H$2,Points2018!$B$14:$B$23,0))-INDEX(Points2018!$C$14:$C$23,MATCH(probwin!$B9,Points2018!$B$14:$B$23,0)),0)</f>
        <v>-43.057127557247185</v>
      </c>
      <c r="I21">
        <f>IF(I9=1,INDEX(Points2018!$C$14:$C$23,MATCH(probwin!I$2,Points2018!$B$14:$B$23,0))-INDEX(Points2018!$C$14:$C$23,MATCH(probwin!$B9,Points2018!$B$14:$B$23,0)),0)</f>
        <v>0</v>
      </c>
      <c r="J21">
        <f>IF(J9=1,INDEX(Points2018!$C$14:$C$23,MATCH(probwin!J$2,Points2018!$B$14:$B$23,0))-INDEX(Points2018!$C$14:$C$23,MATCH(probwin!$B9,Points2018!$B$14:$B$23,0)),0)</f>
        <v>-3.3376500724125435</v>
      </c>
      <c r="K21">
        <f>IF(K9=1,INDEX(Points2018!$C$14:$C$23,MATCH(probwin!K$2,Points2018!$B$14:$B$23,0))-INDEX(Points2018!$C$14:$C$23,MATCH(probwin!$B9,Points2018!$B$14:$B$23,0)),0)</f>
        <v>0</v>
      </c>
      <c r="L21">
        <f>IF(L9=1,INDEX(Points2018!$C$14:$C$23,MATCH(probwin!L$2,Points2018!$B$14:$B$23,0))-INDEX(Points2018!$C$14:$C$23,MATCH(probwin!$B9,Points2018!$B$14:$B$23,0)),0)</f>
        <v>0</v>
      </c>
    </row>
    <row r="22" spans="2:29" x14ac:dyDescent="0.25">
      <c r="B22" t="s">
        <v>32</v>
      </c>
      <c r="C22">
        <f>IF(C10=1,INDEX(Points2018!$C$14:$C$23,MATCH(probwin!C$2,Points2018!$B$14:$B$23,0))-INDEX(Points2018!$C$14:$C$23,MATCH(probwin!$B10,Points2018!$B$14:$B$23,0)),0)</f>
        <v>0</v>
      </c>
      <c r="D22">
        <f>IF(D10=1,INDEX(Points2018!$C$14:$C$23,MATCH(probwin!D$2,Points2018!$B$14:$B$23,0))-INDEX(Points2018!$C$14:$C$23,MATCH(probwin!$B10,Points2018!$B$14:$B$23,0)),0)</f>
        <v>0</v>
      </c>
      <c r="E22">
        <f>IF(E10=1,INDEX(Points2018!$C$14:$C$23,MATCH(probwin!E$2,Points2018!$B$14:$B$23,0))-INDEX(Points2018!$C$14:$C$23,MATCH(probwin!$B10,Points2018!$B$14:$B$23,0)),0)</f>
        <v>0</v>
      </c>
      <c r="F22">
        <f>IF(F10=1,INDEX(Points2018!$C$14:$C$23,MATCH(probwin!F$2,Points2018!$B$14:$B$23,0))-INDEX(Points2018!$C$14:$C$23,MATCH(probwin!$B10,Points2018!$B$14:$B$23,0)),0)</f>
        <v>0</v>
      </c>
      <c r="G22">
        <f>IF(G10=1,INDEX(Points2018!$C$14:$C$23,MATCH(probwin!G$2,Points2018!$B$14:$B$23,0))-INDEX(Points2018!$C$14:$C$23,MATCH(probwin!$B10,Points2018!$B$14:$B$23,0)),0)</f>
        <v>0</v>
      </c>
      <c r="H22">
        <f>IF(H10=1,INDEX(Points2018!$C$14:$C$23,MATCH(probwin!H$2,Points2018!$B$14:$B$23,0))-INDEX(Points2018!$C$14:$C$23,MATCH(probwin!$B10,Points2018!$B$14:$B$23,0)),0)</f>
        <v>-39.719477484834641</v>
      </c>
      <c r="I22">
        <f>IF(I10=1,INDEX(Points2018!$C$14:$C$23,MATCH(probwin!I$2,Points2018!$B$14:$B$23,0))-INDEX(Points2018!$C$14:$C$23,MATCH(probwin!$B10,Points2018!$B$14:$B$23,0)),0)</f>
        <v>3.3376500724125435</v>
      </c>
      <c r="J22">
        <f>IF(J10=1,INDEX(Points2018!$C$14:$C$23,MATCH(probwin!J$2,Points2018!$B$14:$B$23,0))-INDEX(Points2018!$C$14:$C$23,MATCH(probwin!$B10,Points2018!$B$14:$B$23,0)),0)</f>
        <v>0</v>
      </c>
      <c r="K22">
        <f>IF(K10=1,INDEX(Points2018!$C$14:$C$23,MATCH(probwin!K$2,Points2018!$B$14:$B$23,0))-INDEX(Points2018!$C$14:$C$23,MATCH(probwin!$B10,Points2018!$B$14:$B$23,0)),0)</f>
        <v>-15.631541655034098</v>
      </c>
      <c r="L22">
        <f>IF(L10=1,INDEX(Points2018!$C$14:$C$23,MATCH(probwin!L$2,Points2018!$B$14:$B$23,0))-INDEX(Points2018!$C$14:$C$23,MATCH(probwin!$B10,Points2018!$B$14:$B$23,0)),0)</f>
        <v>6.0088671454252278</v>
      </c>
    </row>
    <row r="23" spans="2:29" x14ac:dyDescent="0.25">
      <c r="B23" t="s">
        <v>33</v>
      </c>
      <c r="C23">
        <f>IF(C11=1,INDEX(Points2018!$C$14:$C$23,MATCH(probwin!C$2,Points2018!$B$14:$B$23,0))-INDEX(Points2018!$C$14:$C$23,MATCH(probwin!$B11,Points2018!$B$14:$B$23,0)),0)</f>
        <v>0</v>
      </c>
      <c r="D23">
        <f>IF(D11=1,INDEX(Points2018!$C$14:$C$23,MATCH(probwin!D$2,Points2018!$B$14:$B$23,0))-INDEX(Points2018!$C$14:$C$23,MATCH(probwin!$B11,Points2018!$B$14:$B$23,0)),0)</f>
        <v>0</v>
      </c>
      <c r="E23">
        <f>IF(E11=1,INDEX(Points2018!$C$14:$C$23,MATCH(probwin!E$2,Points2018!$B$14:$B$23,0))-INDEX(Points2018!$C$14:$C$23,MATCH(probwin!$B11,Points2018!$B$14:$B$23,0)),0)</f>
        <v>0</v>
      </c>
      <c r="F23">
        <f>IF(F11=1,INDEX(Points2018!$C$14:$C$23,MATCH(probwin!F$2,Points2018!$B$14:$B$23,0))-INDEX(Points2018!$C$14:$C$23,MATCH(probwin!$B11,Points2018!$B$14:$B$23,0)),0)</f>
        <v>0.68953594733379475</v>
      </c>
      <c r="G23">
        <f>IF(G11=1,INDEX(Points2018!$C$14:$C$23,MATCH(probwin!G$2,Points2018!$B$14:$B$23,0))-INDEX(Points2018!$C$14:$C$23,MATCH(probwin!$B11,Points2018!$B$14:$B$23,0)),0)</f>
        <v>0</v>
      </c>
      <c r="H23">
        <f>IF(H11=1,INDEX(Points2018!$C$14:$C$23,MATCH(probwin!H$2,Points2018!$B$14:$B$23,0))-INDEX(Points2018!$C$14:$C$23,MATCH(probwin!$B11,Points2018!$B$14:$B$23,0)),0)</f>
        <v>-24.087935829800543</v>
      </c>
      <c r="I23">
        <f>IF(I11=1,INDEX(Points2018!$C$14:$C$23,MATCH(probwin!I$2,Points2018!$B$14:$B$23,0))-INDEX(Points2018!$C$14:$C$23,MATCH(probwin!$B11,Points2018!$B$14:$B$23,0)),0)</f>
        <v>0</v>
      </c>
      <c r="J23">
        <f>IF(J11=1,INDEX(Points2018!$C$14:$C$23,MATCH(probwin!J$2,Points2018!$B$14:$B$23,0))-INDEX(Points2018!$C$14:$C$23,MATCH(probwin!$B11,Points2018!$B$14:$B$23,0)),0)</f>
        <v>15.631541655034098</v>
      </c>
      <c r="K23">
        <f>IF(K11=1,INDEX(Points2018!$C$14:$C$23,MATCH(probwin!K$2,Points2018!$B$14:$B$23,0))-INDEX(Points2018!$C$14:$C$23,MATCH(probwin!$B11,Points2018!$B$14:$B$23,0)),0)</f>
        <v>0</v>
      </c>
      <c r="L23">
        <f>IF(L11=1,INDEX(Points2018!$C$14:$C$23,MATCH(probwin!L$2,Points2018!$B$14:$B$23,0))-INDEX(Points2018!$C$14:$C$23,MATCH(probwin!$B11,Points2018!$B$14:$B$23,0)),0)</f>
        <v>0</v>
      </c>
    </row>
    <row r="24" spans="2:29" x14ac:dyDescent="0.25">
      <c r="B24" t="s">
        <v>34</v>
      </c>
      <c r="C24">
        <f>IF(C12=1,INDEX(Points2018!$C$14:$C$23,MATCH(probwin!C$2,Points2018!$B$14:$B$23,0))-INDEX(Points2018!$C$14:$C$23,MATCH(probwin!$B12,Points2018!$B$14:$B$23,0)),0)</f>
        <v>0</v>
      </c>
      <c r="D24">
        <f>IF(D12=1,INDEX(Points2018!$C$14:$C$23,MATCH(probwin!D$2,Points2018!$B$14:$B$23,0))-INDEX(Points2018!$C$14:$C$23,MATCH(probwin!$B12,Points2018!$B$14:$B$23,0)),0)</f>
        <v>-15.573550739804602</v>
      </c>
      <c r="E24">
        <f>IF(E12=1,INDEX(Points2018!$C$14:$C$23,MATCH(probwin!E$2,Points2018!$B$14:$B$23,0))-INDEX(Points2018!$C$14:$C$23,MATCH(probwin!$B12,Points2018!$B$14:$B$23,0)),0)</f>
        <v>4.4803545352640697</v>
      </c>
      <c r="F24">
        <f>IF(F12=1,INDEX(Points2018!$C$14:$C$23,MATCH(probwin!F$2,Points2018!$B$14:$B$23,0))-INDEX(Points2018!$C$14:$C$23,MATCH(probwin!$B12,Points2018!$B$14:$B$23,0)),0)</f>
        <v>0</v>
      </c>
      <c r="G24">
        <f>IF(G12=1,INDEX(Points2018!$C$14:$C$23,MATCH(probwin!G$2,Points2018!$B$14:$B$23,0))-INDEX(Points2018!$C$14:$C$23,MATCH(probwin!$B12,Points2018!$B$14:$B$23,0)),0)</f>
        <v>0</v>
      </c>
      <c r="H24">
        <f>IF(H12=1,INDEX(Points2018!$C$14:$C$23,MATCH(probwin!H$2,Points2018!$B$14:$B$23,0))-INDEX(Points2018!$C$14:$C$23,MATCH(probwin!$B12,Points2018!$B$14:$B$23,0)),0)</f>
        <v>0</v>
      </c>
      <c r="I24">
        <f>IF(I12=1,INDEX(Points2018!$C$14:$C$23,MATCH(probwin!I$2,Points2018!$B$14:$B$23,0))-INDEX(Points2018!$C$14:$C$23,MATCH(probwin!$B12,Points2018!$B$14:$B$23,0)),0)</f>
        <v>0</v>
      </c>
      <c r="J24">
        <f>IF(J12=1,INDEX(Points2018!$C$14:$C$23,MATCH(probwin!J$2,Points2018!$B$14:$B$23,0))-INDEX(Points2018!$C$14:$C$23,MATCH(probwin!$B12,Points2018!$B$14:$B$23,0)),0)</f>
        <v>-6.0088671454252278</v>
      </c>
      <c r="K24">
        <f>IF(K12=1,INDEX(Points2018!$C$14:$C$23,MATCH(probwin!K$2,Points2018!$B$14:$B$23,0))-INDEX(Points2018!$C$14:$C$23,MATCH(probwin!$B12,Points2018!$B$14:$B$23,0)),0)</f>
        <v>0</v>
      </c>
      <c r="L24">
        <f>IF(L12=1,INDEX(Points2018!$C$14:$C$23,MATCH(probwin!L$2,Points2018!$B$14:$B$23,0))-INDEX(Points2018!$C$14:$C$23,MATCH(probwin!$B12,Points2018!$B$14:$B$23,0)),0)</f>
        <v>0</v>
      </c>
    </row>
    <row r="26" spans="2:29" x14ac:dyDescent="0.25">
      <c r="C26" t="s">
        <v>25</v>
      </c>
      <c r="D26" t="s">
        <v>26</v>
      </c>
      <c r="E26" t="s">
        <v>27</v>
      </c>
      <c r="F26" t="s">
        <v>28</v>
      </c>
      <c r="G26" t="s">
        <v>29</v>
      </c>
      <c r="H26" t="s">
        <v>30</v>
      </c>
      <c r="I26" t="s">
        <v>31</v>
      </c>
      <c r="J26" t="s">
        <v>32</v>
      </c>
      <c r="K26" t="s">
        <v>33</v>
      </c>
      <c r="L26" t="s">
        <v>34</v>
      </c>
      <c r="P26" t="s">
        <v>25</v>
      </c>
      <c r="Q26" t="s">
        <v>26</v>
      </c>
      <c r="R26" t="s">
        <v>27</v>
      </c>
      <c r="S26" t="s">
        <v>28</v>
      </c>
      <c r="T26" t="s">
        <v>29</v>
      </c>
      <c r="U26" t="s">
        <v>30</v>
      </c>
      <c r="V26" t="s">
        <v>31</v>
      </c>
      <c r="W26" t="s">
        <v>32</v>
      </c>
      <c r="X26" t="s">
        <v>33</v>
      </c>
      <c r="Y26" t="s">
        <v>34</v>
      </c>
    </row>
    <row r="27" spans="2:29" x14ac:dyDescent="0.25">
      <c r="B27" t="s">
        <v>25</v>
      </c>
      <c r="C27">
        <f>IF(C15=0,0,0.5+(C15/$O$14)/7)</f>
        <v>0</v>
      </c>
      <c r="D27">
        <f t="shared" ref="D27:K27" si="0">IF(D15=0,0,0.5+(D15/$O$14)/7)</f>
        <v>0.50837463697759988</v>
      </c>
      <c r="E27">
        <f t="shared" si="0"/>
        <v>0.57160211059055899</v>
      </c>
      <c r="F27">
        <f t="shared" si="0"/>
        <v>0</v>
      </c>
      <c r="G27">
        <f t="shared" si="0"/>
        <v>0.55615745845638709</v>
      </c>
      <c r="H27">
        <f t="shared" si="0"/>
        <v>0</v>
      </c>
      <c r="I27">
        <f t="shared" si="0"/>
        <v>0.54905409318690357</v>
      </c>
      <c r="J27">
        <f t="shared" si="0"/>
        <v>0</v>
      </c>
      <c r="K27">
        <f t="shared" si="0"/>
        <v>0</v>
      </c>
      <c r="L27">
        <f>IF(L15=0,0,0.5+(L15/$O$14)/7)</f>
        <v>0</v>
      </c>
      <c r="O27" t="s">
        <v>25</v>
      </c>
      <c r="P27">
        <f>(C27*(1-C27))^2</f>
        <v>0</v>
      </c>
      <c r="Q27">
        <f>(D27*(1-D27))^2</f>
        <v>6.2464937646601042E-2</v>
      </c>
      <c r="R27">
        <f t="shared" ref="Q27:Y36" si="1">(E27*(1-E27))^2</f>
        <v>5.996285359592711E-2</v>
      </c>
      <c r="S27">
        <f t="shared" si="1"/>
        <v>0</v>
      </c>
      <c r="T27">
        <f t="shared" si="1"/>
        <v>6.0933115502139971E-2</v>
      </c>
      <c r="U27">
        <f t="shared" si="1"/>
        <v>0</v>
      </c>
      <c r="V27">
        <f t="shared" si="1"/>
        <v>6.1302638270026709E-2</v>
      </c>
      <c r="W27">
        <f t="shared" si="1"/>
        <v>0</v>
      </c>
      <c r="X27">
        <f t="shared" si="1"/>
        <v>0</v>
      </c>
      <c r="Y27">
        <f t="shared" si="1"/>
        <v>0</v>
      </c>
      <c r="AA27">
        <f>SQRT(SUM(P27:Y27))</f>
        <v>0.49463475920591632</v>
      </c>
      <c r="AB27">
        <f>1-_xlfn.NORM.DIST(LARGE($C$39:$L$39,6),C$39,AA27,TRUE)</f>
        <v>8.3263396177812865E-12</v>
      </c>
      <c r="AC27">
        <f>AB27*(6/SUM($AB$27:$AB$36))</f>
        <v>8.6512932540568223E-12</v>
      </c>
    </row>
    <row r="28" spans="2:29" x14ac:dyDescent="0.25">
      <c r="B28" t="s">
        <v>26</v>
      </c>
      <c r="C28">
        <f t="shared" ref="C28:L28" si="2">IF(C16=0,0,0.5+(C16/$O$14)/7)</f>
        <v>0.49162536302240012</v>
      </c>
      <c r="D28">
        <f t="shared" si="2"/>
        <v>0</v>
      </c>
      <c r="E28">
        <f t="shared" si="2"/>
        <v>0.56322747361295911</v>
      </c>
      <c r="F28">
        <f t="shared" si="2"/>
        <v>0</v>
      </c>
      <c r="G28">
        <f t="shared" si="2"/>
        <v>0.5477828214787871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0.54910147200531767</v>
      </c>
      <c r="O28" t="s">
        <v>26</v>
      </c>
      <c r="P28">
        <f>(C28*(1-C28))^2</f>
        <v>6.2464937646601042E-2</v>
      </c>
      <c r="Q28">
        <f t="shared" si="1"/>
        <v>0</v>
      </c>
      <c r="R28">
        <f t="shared" si="1"/>
        <v>6.0517125002845548E-2</v>
      </c>
      <c r="S28">
        <f t="shared" si="1"/>
        <v>0</v>
      </c>
      <c r="T28">
        <f t="shared" si="1"/>
        <v>6.1363613979000413E-2</v>
      </c>
      <c r="U28">
        <f t="shared" si="1"/>
        <v>0</v>
      </c>
      <c r="V28">
        <f t="shared" si="1"/>
        <v>0</v>
      </c>
      <c r="W28">
        <f t="shared" si="1"/>
        <v>0</v>
      </c>
      <c r="X28">
        <f t="shared" si="1"/>
        <v>0</v>
      </c>
      <c r="Y28">
        <f t="shared" si="1"/>
        <v>6.1300335425312567E-2</v>
      </c>
      <c r="AA28">
        <f t="shared" ref="AA28:AA36" si="3">SQRT(SUM(P28:Y28))</f>
        <v>0.49562688794471149</v>
      </c>
      <c r="AB28">
        <f>1-_xlfn.NORM.DIST(LARGE($C$39:$L$39,6),D$39,AA28,TRUE)</f>
        <v>0.27465162900543283</v>
      </c>
      <c r="AC28">
        <f t="shared" ref="AC28:AC36" si="4">AB28*(6/SUM($AB$27:$AB$36))</f>
        <v>0.28537051024872478</v>
      </c>
    </row>
    <row r="29" spans="2:29" x14ac:dyDescent="0.25">
      <c r="B29" t="s">
        <v>27</v>
      </c>
      <c r="C29">
        <f t="shared" ref="C29:L29" si="5">IF(C17=0,0,0.5+(C17/$O$14)/7)</f>
        <v>0.42839788940944096</v>
      </c>
      <c r="D29">
        <f t="shared" si="5"/>
        <v>0.43677252638704089</v>
      </c>
      <c r="E29">
        <f t="shared" si="5"/>
        <v>0</v>
      </c>
      <c r="F29">
        <f t="shared" si="5"/>
        <v>0.41981849736551818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0.48587399839235851</v>
      </c>
      <c r="O29" t="s">
        <v>27</v>
      </c>
      <c r="P29">
        <f t="shared" ref="P29:P36" si="6">(C29*(1-C29))^2</f>
        <v>5.996285359592711E-2</v>
      </c>
      <c r="Q29">
        <f t="shared" si="1"/>
        <v>6.0517125002845548E-2</v>
      </c>
      <c r="R29">
        <f t="shared" si="1"/>
        <v>0</v>
      </c>
      <c r="S29">
        <f t="shared" si="1"/>
        <v>5.9326796301967299E-2</v>
      </c>
      <c r="T29">
        <f t="shared" si="1"/>
        <v>0</v>
      </c>
      <c r="U29">
        <f t="shared" si="1"/>
        <v>0</v>
      </c>
      <c r="V29">
        <f t="shared" si="1"/>
        <v>0</v>
      </c>
      <c r="W29">
        <f t="shared" si="1"/>
        <v>0</v>
      </c>
      <c r="X29">
        <f t="shared" si="1"/>
        <v>0</v>
      </c>
      <c r="Y29">
        <f t="shared" si="1"/>
        <v>6.2400267857067024E-2</v>
      </c>
      <c r="AA29">
        <f t="shared" si="3"/>
        <v>0.4921453471869941</v>
      </c>
      <c r="AB29">
        <f>1-_xlfn.NORM.DIST(LARGE($C$39:$L$39,6),E$39,AA29,TRUE)</f>
        <v>0.99998855742852533</v>
      </c>
      <c r="AC29">
        <f t="shared" si="4"/>
        <v>1.0390153006178593</v>
      </c>
    </row>
    <row r="30" spans="2:29" x14ac:dyDescent="0.25">
      <c r="B30" t="s">
        <v>28</v>
      </c>
      <c r="C30">
        <f t="shared" ref="C30:L30" si="7">IF(C18=0,0,0.5+(C18/$O$14)/7)</f>
        <v>0</v>
      </c>
      <c r="D30">
        <f t="shared" si="7"/>
        <v>0</v>
      </c>
      <c r="E30">
        <f t="shared" si="7"/>
        <v>0.58018150263448176</v>
      </c>
      <c r="F30">
        <f t="shared" si="7"/>
        <v>0</v>
      </c>
      <c r="G30">
        <f t="shared" si="7"/>
        <v>0.56473685050030986</v>
      </c>
      <c r="H30">
        <f t="shared" si="7"/>
        <v>0</v>
      </c>
      <c r="I30">
        <f t="shared" si="7"/>
        <v>0.55763348523082634</v>
      </c>
      <c r="J30">
        <f t="shared" si="7"/>
        <v>0</v>
      </c>
      <c r="K30">
        <f t="shared" si="7"/>
        <v>0.4978259787648725</v>
      </c>
      <c r="L30">
        <f t="shared" si="7"/>
        <v>0</v>
      </c>
      <c r="O30" t="s">
        <v>28</v>
      </c>
      <c r="P30">
        <f t="shared" si="6"/>
        <v>0</v>
      </c>
      <c r="Q30">
        <f t="shared" si="1"/>
        <v>0</v>
      </c>
      <c r="R30">
        <f t="shared" si="1"/>
        <v>5.9326796301967299E-2</v>
      </c>
      <c r="S30">
        <f t="shared" si="1"/>
        <v>0</v>
      </c>
      <c r="T30">
        <f t="shared" si="1"/>
        <v>6.0422133399619958E-2</v>
      </c>
      <c r="U30">
        <f t="shared" si="1"/>
        <v>0</v>
      </c>
      <c r="V30">
        <f t="shared" si="1"/>
        <v>6.0850223840329801E-2</v>
      </c>
      <c r="W30">
        <f t="shared" si="1"/>
        <v>0</v>
      </c>
      <c r="X30">
        <f t="shared" si="1"/>
        <v>6.2497636838173172E-2</v>
      </c>
      <c r="Y30">
        <f t="shared" si="1"/>
        <v>0</v>
      </c>
      <c r="AA30">
        <f t="shared" si="3"/>
        <v>0.49304846656296403</v>
      </c>
      <c r="AB30">
        <f>1-_xlfn.NORM.DIST(LARGE($C$39:$L$39,6),F$39,AA30,TRUE)</f>
        <v>5.7969185007777924E-12</v>
      </c>
      <c r="AC30">
        <f t="shared" si="4"/>
        <v>6.023155939135204E-12</v>
      </c>
    </row>
    <row r="31" spans="2:29" x14ac:dyDescent="0.25">
      <c r="B31" t="s">
        <v>29</v>
      </c>
      <c r="C31">
        <f t="shared" ref="C31:L31" si="8">IF(C19=0,0,0.5+(C19/$O$14)/7)</f>
        <v>0.44384254154361297</v>
      </c>
      <c r="D31">
        <f t="shared" si="8"/>
        <v>0.45221717852121285</v>
      </c>
      <c r="E31">
        <f t="shared" si="8"/>
        <v>0</v>
      </c>
      <c r="F31">
        <f t="shared" si="8"/>
        <v>0.43526314949969019</v>
      </c>
      <c r="G31">
        <f t="shared" si="8"/>
        <v>0</v>
      </c>
      <c r="H31">
        <f t="shared" si="8"/>
        <v>0.35714285714285715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O31" t="s">
        <v>29</v>
      </c>
      <c r="P31">
        <f t="shared" si="6"/>
        <v>6.0933115502139985E-2</v>
      </c>
      <c r="Q31">
        <f t="shared" si="1"/>
        <v>6.1363613979000413E-2</v>
      </c>
      <c r="R31">
        <f t="shared" si="1"/>
        <v>0</v>
      </c>
      <c r="S31">
        <f t="shared" si="1"/>
        <v>6.0422133399619986E-2</v>
      </c>
      <c r="T31">
        <f t="shared" si="1"/>
        <v>0</v>
      </c>
      <c r="U31">
        <f t="shared" si="1"/>
        <v>5.2712411495210318E-2</v>
      </c>
      <c r="V31">
        <f t="shared" si="1"/>
        <v>0</v>
      </c>
      <c r="W31">
        <f t="shared" si="1"/>
        <v>0</v>
      </c>
      <c r="X31">
        <f t="shared" si="1"/>
        <v>0</v>
      </c>
      <c r="Y31">
        <f t="shared" si="1"/>
        <v>0</v>
      </c>
      <c r="AA31">
        <f t="shared" si="3"/>
        <v>0.48521260739594424</v>
      </c>
      <c r="AB31">
        <f>1-_xlfn.NORM.DIST(LARGE($C$39:$L$39,6),G$39,AA31,TRUE)</f>
        <v>1</v>
      </c>
      <c r="AC31">
        <f t="shared" si="4"/>
        <v>1.0390271897607422</v>
      </c>
    </row>
    <row r="32" spans="2:29" x14ac:dyDescent="0.25">
      <c r="B32" t="s">
        <v>30</v>
      </c>
      <c r="C32">
        <f t="shared" ref="C32:L32" si="9">IF(C20=0,0,0.5+(C20/$O$14)/7)</f>
        <v>0</v>
      </c>
      <c r="D32">
        <f t="shared" si="9"/>
        <v>0</v>
      </c>
      <c r="E32">
        <f t="shared" si="9"/>
        <v>0</v>
      </c>
      <c r="F32">
        <f t="shared" si="9"/>
        <v>0</v>
      </c>
      <c r="G32">
        <f t="shared" si="9"/>
        <v>0.64285714285714279</v>
      </c>
      <c r="H32">
        <f t="shared" si="9"/>
        <v>0</v>
      </c>
      <c r="I32">
        <f t="shared" si="9"/>
        <v>0.63575377758765939</v>
      </c>
      <c r="J32">
        <f t="shared" si="9"/>
        <v>0.62523058128309161</v>
      </c>
      <c r="K32">
        <f t="shared" si="9"/>
        <v>0.5759462711217056</v>
      </c>
      <c r="L32">
        <f t="shared" si="9"/>
        <v>0</v>
      </c>
      <c r="O32" t="s">
        <v>30</v>
      </c>
      <c r="P32">
        <f t="shared" si="6"/>
        <v>0</v>
      </c>
      <c r="Q32">
        <f t="shared" si="1"/>
        <v>0</v>
      </c>
      <c r="R32">
        <f t="shared" si="1"/>
        <v>0</v>
      </c>
      <c r="S32">
        <f t="shared" si="1"/>
        <v>0</v>
      </c>
      <c r="T32">
        <f t="shared" si="1"/>
        <v>5.2712411495210332E-2</v>
      </c>
      <c r="U32">
        <f t="shared" si="1"/>
        <v>0</v>
      </c>
      <c r="V32">
        <f t="shared" si="1"/>
        <v>5.3625087224618381E-2</v>
      </c>
      <c r="W32">
        <f t="shared" si="1"/>
        <v>5.4904597787630724E-2</v>
      </c>
      <c r="X32">
        <f t="shared" si="1"/>
        <v>5.9649349884599412E-2</v>
      </c>
      <c r="Y32">
        <f t="shared" si="1"/>
        <v>0</v>
      </c>
      <c r="AA32">
        <f t="shared" si="3"/>
        <v>0.46999090032899449</v>
      </c>
      <c r="AB32">
        <f>1-_xlfn.NORM.DIST(LARGE($C$39:$L$39,6),H$39,AA32,TRUE)</f>
        <v>0</v>
      </c>
      <c r="AC32">
        <f t="shared" si="4"/>
        <v>0</v>
      </c>
    </row>
    <row r="33" spans="2:29" x14ac:dyDescent="0.25">
      <c r="B33" t="s">
        <v>31</v>
      </c>
      <c r="C33">
        <f t="shared" ref="C33:L33" si="10">IF(C21=0,0,0.5+(C21/$O$14)/7)</f>
        <v>0.45094590681309643</v>
      </c>
      <c r="D33">
        <f t="shared" si="10"/>
        <v>0</v>
      </c>
      <c r="E33">
        <f t="shared" si="10"/>
        <v>0</v>
      </c>
      <c r="F33">
        <f t="shared" si="10"/>
        <v>0.44236651476917366</v>
      </c>
      <c r="G33">
        <f t="shared" si="10"/>
        <v>0</v>
      </c>
      <c r="H33">
        <f t="shared" si="10"/>
        <v>0.36424622241234061</v>
      </c>
      <c r="I33">
        <f t="shared" si="10"/>
        <v>0</v>
      </c>
      <c r="J33">
        <f t="shared" si="10"/>
        <v>0.48947680369543223</v>
      </c>
      <c r="K33">
        <f t="shared" si="10"/>
        <v>0</v>
      </c>
      <c r="L33">
        <f t="shared" si="10"/>
        <v>0</v>
      </c>
      <c r="O33" t="s">
        <v>31</v>
      </c>
      <c r="P33">
        <f t="shared" si="6"/>
        <v>6.1302638270026709E-2</v>
      </c>
      <c r="Q33">
        <f t="shared" si="1"/>
        <v>0</v>
      </c>
      <c r="R33">
        <f t="shared" si="1"/>
        <v>0</v>
      </c>
      <c r="S33">
        <f t="shared" si="1"/>
        <v>6.0850223840329801E-2</v>
      </c>
      <c r="T33">
        <f t="shared" si="1"/>
        <v>0</v>
      </c>
      <c r="U33">
        <f t="shared" si="1"/>
        <v>5.3625087224618381E-2</v>
      </c>
      <c r="V33">
        <f t="shared" si="1"/>
        <v>0</v>
      </c>
      <c r="W33">
        <f t="shared" si="1"/>
        <v>6.2444643432597216E-2</v>
      </c>
      <c r="X33">
        <f t="shared" si="1"/>
        <v>0</v>
      </c>
      <c r="Y33">
        <f t="shared" si="1"/>
        <v>0</v>
      </c>
      <c r="AA33">
        <f t="shared" si="3"/>
        <v>0.48808051873391961</v>
      </c>
      <c r="AB33">
        <f>1-_xlfn.NORM.DIST(LARGE($C$39:$L$39,6),I$39,AA33,TRUE)</f>
        <v>0.99999215570999556</v>
      </c>
      <c r="AC33">
        <f t="shared" si="4"/>
        <v>1.0390190393301431</v>
      </c>
    </row>
    <row r="34" spans="2:29" x14ac:dyDescent="0.25">
      <c r="B34" t="s">
        <v>32</v>
      </c>
      <c r="C34">
        <f t="shared" ref="C34:L34" si="11">IF(C22=0,0,0.5+(C22/$O$14)/7)</f>
        <v>0</v>
      </c>
      <c r="D34">
        <f t="shared" si="11"/>
        <v>0</v>
      </c>
      <c r="E34">
        <f t="shared" si="11"/>
        <v>0</v>
      </c>
      <c r="F34">
        <f t="shared" si="11"/>
        <v>0</v>
      </c>
      <c r="G34">
        <f t="shared" si="11"/>
        <v>0</v>
      </c>
      <c r="H34">
        <f t="shared" si="11"/>
        <v>0.37476941871690839</v>
      </c>
      <c r="I34">
        <f t="shared" si="11"/>
        <v>0.51052319630456777</v>
      </c>
      <c r="J34">
        <f t="shared" si="11"/>
        <v>0</v>
      </c>
      <c r="K34">
        <f t="shared" si="11"/>
        <v>0.45071568983861399</v>
      </c>
      <c r="L34">
        <f t="shared" si="11"/>
        <v>0.51894521210058175</v>
      </c>
      <c r="O34" t="s">
        <v>32</v>
      </c>
      <c r="P34">
        <f t="shared" si="6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5.4904597787630724E-2</v>
      </c>
      <c r="V34">
        <f t="shared" si="1"/>
        <v>6.2444643432597216E-2</v>
      </c>
      <c r="W34">
        <f t="shared" si="1"/>
        <v>0</v>
      </c>
      <c r="X34">
        <f t="shared" si="1"/>
        <v>6.1291428151163403E-2</v>
      </c>
      <c r="Y34">
        <f t="shared" si="1"/>
        <v>6.2320668293560394E-2</v>
      </c>
      <c r="AA34">
        <f t="shared" si="3"/>
        <v>0.49087812913690881</v>
      </c>
      <c r="AB34">
        <f>1-_xlfn.NORM.DIST(LARGE($C$39:$L$39,6),J$39,AA34,TRUE)</f>
        <v>0.5</v>
      </c>
      <c r="AC34">
        <f t="shared" si="4"/>
        <v>0.51951359488037108</v>
      </c>
    </row>
    <row r="35" spans="2:29" x14ac:dyDescent="0.25">
      <c r="B35" t="s">
        <v>33</v>
      </c>
      <c r="C35">
        <f t="shared" ref="C35:L35" si="12">IF(C23=0,0,0.5+(C23/$O$14)/7)</f>
        <v>0</v>
      </c>
      <c r="D35">
        <f t="shared" si="12"/>
        <v>0</v>
      </c>
      <c r="E35">
        <f t="shared" si="12"/>
        <v>0</v>
      </c>
      <c r="F35">
        <f t="shared" si="12"/>
        <v>0.50217402123512744</v>
      </c>
      <c r="G35">
        <f t="shared" si="12"/>
        <v>0</v>
      </c>
      <c r="H35">
        <f t="shared" si="12"/>
        <v>0.4240537288782944</v>
      </c>
      <c r="I35">
        <f t="shared" si="12"/>
        <v>0</v>
      </c>
      <c r="J35">
        <f t="shared" si="12"/>
        <v>0.54928431016138601</v>
      </c>
      <c r="K35">
        <f t="shared" si="12"/>
        <v>0</v>
      </c>
      <c r="L35">
        <f t="shared" si="12"/>
        <v>0</v>
      </c>
      <c r="O35" t="s">
        <v>33</v>
      </c>
      <c r="P35">
        <f t="shared" si="6"/>
        <v>0</v>
      </c>
      <c r="Q35">
        <f t="shared" si="1"/>
        <v>0</v>
      </c>
      <c r="R35">
        <f t="shared" si="1"/>
        <v>0</v>
      </c>
      <c r="S35">
        <f t="shared" si="1"/>
        <v>6.2497636838173158E-2</v>
      </c>
      <c r="T35">
        <f t="shared" si="1"/>
        <v>0</v>
      </c>
      <c r="U35">
        <f t="shared" si="1"/>
        <v>5.9649349884599412E-2</v>
      </c>
      <c r="V35">
        <f t="shared" si="1"/>
        <v>0</v>
      </c>
      <c r="W35">
        <f t="shared" si="1"/>
        <v>6.1291428151163403E-2</v>
      </c>
      <c r="X35">
        <f t="shared" si="1"/>
        <v>0</v>
      </c>
      <c r="Y35">
        <f t="shared" si="1"/>
        <v>0</v>
      </c>
      <c r="AA35">
        <f t="shared" si="3"/>
        <v>0.42829711051317632</v>
      </c>
      <c r="AB35">
        <f>1-_xlfn.NORM.DIST(LARGE($C$39:$L$39,6),K$39,AA35,TRUE)</f>
        <v>0.99999998616590735</v>
      </c>
      <c r="AC35">
        <f t="shared" si="4"/>
        <v>1.0390271753867437</v>
      </c>
    </row>
    <row r="36" spans="2:29" x14ac:dyDescent="0.25">
      <c r="B36" t="s">
        <v>34</v>
      </c>
      <c r="C36">
        <f t="shared" ref="C36:L36" si="13">IF(C24=0,0,0.5+(C24/$O$14)/7)</f>
        <v>0</v>
      </c>
      <c r="D36">
        <f t="shared" si="13"/>
        <v>0.45089852799468239</v>
      </c>
      <c r="E36">
        <f t="shared" si="13"/>
        <v>0.51412600160764155</v>
      </c>
      <c r="F36">
        <f t="shared" si="13"/>
        <v>0</v>
      </c>
      <c r="G36">
        <f t="shared" si="13"/>
        <v>0</v>
      </c>
      <c r="H36">
        <f t="shared" si="13"/>
        <v>0</v>
      </c>
      <c r="I36">
        <f t="shared" si="13"/>
        <v>0</v>
      </c>
      <c r="J36">
        <f t="shared" si="13"/>
        <v>0.48105478789941825</v>
      </c>
      <c r="K36">
        <f t="shared" si="13"/>
        <v>0</v>
      </c>
      <c r="L36">
        <f t="shared" si="13"/>
        <v>0</v>
      </c>
      <c r="O36" t="s">
        <v>34</v>
      </c>
      <c r="P36">
        <f t="shared" si="6"/>
        <v>0</v>
      </c>
      <c r="Q36">
        <f t="shared" si="1"/>
        <v>6.1300335425312553E-2</v>
      </c>
      <c r="R36">
        <f t="shared" si="1"/>
        <v>6.2400267857067024E-2</v>
      </c>
      <c r="S36">
        <f>(F36*(1-F36))^2</f>
        <v>0</v>
      </c>
      <c r="T36">
        <f>(G36*(1-G36))^2</f>
        <v>0</v>
      </c>
      <c r="U36">
        <f>(H36*(1-H36))^2</f>
        <v>0</v>
      </c>
      <c r="V36">
        <f t="shared" si="1"/>
        <v>0</v>
      </c>
      <c r="W36">
        <f t="shared" si="1"/>
        <v>6.2320668293560394E-2</v>
      </c>
      <c r="X36">
        <f t="shared" si="1"/>
        <v>0</v>
      </c>
      <c r="Y36">
        <f t="shared" si="1"/>
        <v>0</v>
      </c>
      <c r="AA36">
        <f t="shared" si="3"/>
        <v>0.43130183349475804</v>
      </c>
      <c r="AB36">
        <f>1-_xlfn.NORM.DIST(LARGE($C$39:$L$39,6),L$39,AA36,TRUE)</f>
        <v>0.99999999999999867</v>
      </c>
      <c r="AC36">
        <f t="shared" si="4"/>
        <v>1.0390271897607408</v>
      </c>
    </row>
    <row r="37" spans="2:29" x14ac:dyDescent="0.25">
      <c r="AC37">
        <f>SUM(AC27:AC36)</f>
        <v>6</v>
      </c>
    </row>
    <row r="38" spans="2:29" x14ac:dyDescent="0.25">
      <c r="B38" t="s">
        <v>23</v>
      </c>
      <c r="C38">
        <f>INDEX(Points2018!$P$3:$P$12,MATCH(probwin!C26,Points2018!$B$3:$B$12,0))</f>
        <v>3</v>
      </c>
      <c r="D38">
        <f>INDEX(Points2018!$P$3:$P$12,MATCH(probwin!D26,Points2018!$B$3:$B$12,0))</f>
        <v>6</v>
      </c>
      <c r="E38">
        <f>INDEX(Points2018!$P$3:$P$12,MATCH(probwin!E26,Points2018!$B$3:$B$12,0))</f>
        <v>8</v>
      </c>
      <c r="F38">
        <f>INDEX(Points2018!$P$3:$P$12,MATCH(probwin!F26,Points2018!$B$3:$B$12,0))</f>
        <v>3</v>
      </c>
      <c r="G38">
        <f>INDEX(Points2018!$P$3:$P$12,MATCH(probwin!G26,Points2018!$B$3:$B$12,0))</f>
        <v>10</v>
      </c>
      <c r="H38">
        <f>INDEX(Points2018!$P$3:$P$12,MATCH(probwin!H26,Points2018!$B$3:$B$12,0))</f>
        <v>2</v>
      </c>
      <c r="I38">
        <f>INDEX(Points2018!$P$3:$P$12,MATCH(probwin!I26,Points2018!$B$3:$B$12,0))</f>
        <v>8</v>
      </c>
      <c r="J38">
        <f>INDEX(Points2018!$P$3:$P$12,MATCH(probwin!J26,Points2018!$B$3:$B$12,0))</f>
        <v>6</v>
      </c>
      <c r="K38">
        <f>INDEX(Points2018!$P$3:$P$12,MATCH(probwin!K26,Points2018!$B$3:$B$12,0))</f>
        <v>9</v>
      </c>
      <c r="L38">
        <f>INDEX(Points2018!$P$3:$P$12,MATCH(probwin!L26,Points2018!$B$3:$B$12,0))</f>
        <v>10</v>
      </c>
      <c r="P38">
        <f>SQRT(SUM(P27:P36))</f>
        <v>0.49463475920591632</v>
      </c>
      <c r="Q38">
        <f>SQRT(SUM(Q27:Q36))</f>
        <v>0.49562688794471144</v>
      </c>
      <c r="R38">
        <f t="shared" ref="R38:Y38" si="14">SQRT(SUM(R27:R36))</f>
        <v>0.4921453471869941</v>
      </c>
      <c r="S38">
        <f t="shared" si="14"/>
        <v>0.49304846656296403</v>
      </c>
      <c r="T38">
        <f t="shared" si="14"/>
        <v>0.48521260739594418</v>
      </c>
      <c r="U38">
        <f t="shared" si="14"/>
        <v>0.46999090032899449</v>
      </c>
      <c r="V38">
        <f t="shared" si="14"/>
        <v>0.48808051873391961</v>
      </c>
      <c r="W38">
        <f t="shared" si="14"/>
        <v>0.49087812913690881</v>
      </c>
      <c r="X38">
        <f t="shared" si="14"/>
        <v>0.42829711051317632</v>
      </c>
      <c r="Y38">
        <f t="shared" si="14"/>
        <v>0.43130183349475804</v>
      </c>
    </row>
    <row r="39" spans="2:29" x14ac:dyDescent="0.25">
      <c r="B39" t="s">
        <v>24</v>
      </c>
      <c r="C39">
        <f>C38+SUM(C27:C36)</f>
        <v>4.8148117007885505</v>
      </c>
      <c r="D39">
        <f t="shared" ref="D39:L39" si="15">D38+SUM(D27:D36)</f>
        <v>7.8482628698805357</v>
      </c>
      <c r="E39">
        <f t="shared" si="15"/>
        <v>10.229137088445642</v>
      </c>
      <c r="F39">
        <f t="shared" si="15"/>
        <v>4.7996221828695091</v>
      </c>
      <c r="G39">
        <f t="shared" si="15"/>
        <v>12.311534273292626</v>
      </c>
      <c r="H39">
        <f t="shared" si="15"/>
        <v>3.5202122271504006</v>
      </c>
      <c r="I39">
        <f t="shared" si="15"/>
        <v>10.252964552309958</v>
      </c>
      <c r="J39">
        <f t="shared" si="15"/>
        <v>8.1450464830393283</v>
      </c>
      <c r="K39">
        <f t="shared" si="15"/>
        <v>10.524487939725192</v>
      </c>
      <c r="L39">
        <f t="shared" si="15"/>
        <v>11.553920682498259</v>
      </c>
      <c r="P39">
        <f>1-_xlfn.NORM.DIST(LARGE($C$39:$L$39,6),C39,P38,TRUE)</f>
        <v>8.3263396177812865E-12</v>
      </c>
      <c r="Q39">
        <f t="shared" ref="Q39:X39" si="16">1-_xlfn.NORM.DIST(LARGE($C$39:$L$39,6),D39,Q38,TRUE)</f>
        <v>0.27465162900543272</v>
      </c>
      <c r="R39">
        <f t="shared" si="16"/>
        <v>0.99998855742852533</v>
      </c>
      <c r="S39">
        <f t="shared" si="16"/>
        <v>5.7969185007777924E-12</v>
      </c>
      <c r="T39">
        <f t="shared" si="16"/>
        <v>1</v>
      </c>
      <c r="U39">
        <f t="shared" si="16"/>
        <v>0</v>
      </c>
      <c r="V39">
        <f t="shared" si="16"/>
        <v>0.99999215570999556</v>
      </c>
      <c r="W39">
        <f t="shared" si="16"/>
        <v>0.5</v>
      </c>
      <c r="X39">
        <f t="shared" si="16"/>
        <v>0.99999998616590735</v>
      </c>
      <c r="Y39">
        <f>1-_xlfn.NORM.DIST(LARGE($C$39:$L$39,6),L39,Y38,TRUE)</f>
        <v>0.99999999999999867</v>
      </c>
    </row>
    <row r="40" spans="2:29" x14ac:dyDescent="0.25">
      <c r="B40" t="s">
        <v>46</v>
      </c>
      <c r="C40">
        <f>RANK(C39,$C$39:$L$39,0)</f>
        <v>8</v>
      </c>
      <c r="D40">
        <f t="shared" ref="D40:L40" si="17">RANK(D39,$C$39:$L$39,0)</f>
        <v>7</v>
      </c>
      <c r="E40">
        <f t="shared" si="17"/>
        <v>5</v>
      </c>
      <c r="F40">
        <f t="shared" si="17"/>
        <v>9</v>
      </c>
      <c r="G40">
        <f t="shared" si="17"/>
        <v>1</v>
      </c>
      <c r="H40">
        <f t="shared" si="17"/>
        <v>10</v>
      </c>
      <c r="I40">
        <f t="shared" si="17"/>
        <v>4</v>
      </c>
      <c r="J40">
        <f t="shared" si="17"/>
        <v>6</v>
      </c>
      <c r="K40">
        <f t="shared" si="17"/>
        <v>3</v>
      </c>
      <c r="L40">
        <f t="shared" si="17"/>
        <v>2</v>
      </c>
      <c r="P40">
        <f>SUM(P39:Y39)</f>
        <v>5.7746323283239835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Points2018</vt:lpstr>
      <vt:lpstr>List</vt:lpstr>
      <vt:lpstr>probwin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</dc:creator>
  <cp:lastModifiedBy>Rohit</cp:lastModifiedBy>
  <dcterms:created xsi:type="dcterms:W3CDTF">2016-11-07T05:01:26Z</dcterms:created>
  <dcterms:modified xsi:type="dcterms:W3CDTF">2018-12-04T05:12:12Z</dcterms:modified>
</cp:coreProperties>
</file>