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hajjo/Documents/Manuscripts_2021/Done/Vaccines_myocarditis/revision/proofread/"/>
    </mc:Choice>
  </mc:AlternateContent>
  <xr:revisionPtr revIDLastSave="0" documentId="13_ncr:1_{FBDAED44-16B5-1F4A-B365-3A4B26098CAA}" xr6:coauthVersionLast="47" xr6:coauthVersionMax="47" xr10:uidLastSave="{00000000-0000-0000-0000-000000000000}"/>
  <bookViews>
    <workbookView xWindow="0" yWindow="500" windowWidth="35840" windowHeight="20900" activeTab="2" xr2:uid="{29EF8D2F-0DB0-F644-BD05-BB059B1D3898}"/>
  </bookViews>
  <sheets>
    <sheet name="Info" sheetId="7" r:id="rId1"/>
    <sheet name="Table S1" sheetId="1" r:id="rId2"/>
    <sheet name="Table S2" sheetId="3" r:id="rId3"/>
  </sheets>
  <definedNames>
    <definedName name="_xlnm._FilterDatabase" localSheetId="1">'Table S1'!$A$3:$K$3</definedName>
    <definedName name="_xlnm._FilterDatabase" localSheetId="2">'Table S2'!$A$2:$G$2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3" l="1"/>
  <c r="C20" i="3"/>
  <c r="C19" i="3"/>
  <c r="C18" i="3"/>
  <c r="C17" i="3"/>
  <c r="C16" i="3"/>
  <c r="C15" i="3"/>
  <c r="C14" i="3"/>
  <c r="C13" i="3"/>
  <c r="C12" i="3"/>
  <c r="C11" i="3"/>
  <c r="C10" i="3"/>
  <c r="C9" i="3"/>
  <c r="C8" i="3"/>
  <c r="C7" i="3"/>
  <c r="C6" i="3"/>
  <c r="C5" i="3"/>
  <c r="C4" i="3"/>
  <c r="C3" i="3"/>
  <c r="K2264" i="1"/>
  <c r="H2264" i="1"/>
  <c r="D2264" i="1"/>
  <c r="C2264" i="1"/>
  <c r="K2263" i="1"/>
  <c r="H2263" i="1"/>
  <c r="D2263" i="1"/>
  <c r="C2263" i="1"/>
  <c r="K2262" i="1"/>
  <c r="H2262" i="1"/>
  <c r="D2262" i="1"/>
  <c r="C2262" i="1"/>
  <c r="K2261" i="1"/>
  <c r="H2261" i="1"/>
  <c r="D2261" i="1"/>
  <c r="C2261" i="1"/>
  <c r="K2260" i="1"/>
  <c r="H2260" i="1"/>
  <c r="D2260" i="1"/>
  <c r="C2260" i="1"/>
  <c r="K2259" i="1"/>
  <c r="H2259" i="1"/>
  <c r="D2259" i="1"/>
  <c r="C2259" i="1"/>
  <c r="K2258" i="1"/>
  <c r="H2258" i="1"/>
  <c r="D2258" i="1"/>
  <c r="C2258" i="1"/>
  <c r="K2257" i="1"/>
  <c r="H2257" i="1"/>
  <c r="D2257" i="1"/>
  <c r="C2257" i="1"/>
  <c r="K2256" i="1"/>
  <c r="H2256" i="1"/>
  <c r="D2256" i="1"/>
  <c r="C2256" i="1"/>
  <c r="K2255" i="1"/>
  <c r="H2255" i="1"/>
  <c r="D2255" i="1"/>
  <c r="C2255" i="1"/>
  <c r="K2254" i="1"/>
  <c r="H2254" i="1"/>
  <c r="D2254" i="1"/>
  <c r="C2254" i="1"/>
  <c r="K2253" i="1"/>
  <c r="H2253" i="1"/>
  <c r="D2253" i="1"/>
  <c r="C2253" i="1"/>
  <c r="K2252" i="1"/>
  <c r="H2252" i="1"/>
  <c r="D2252" i="1"/>
  <c r="C2252" i="1"/>
  <c r="K2251" i="1"/>
  <c r="H2251" i="1"/>
  <c r="D2251" i="1"/>
  <c r="C2251" i="1"/>
  <c r="K2250" i="1"/>
  <c r="H2250" i="1"/>
  <c r="D2250" i="1"/>
  <c r="C2250" i="1"/>
  <c r="K2249" i="1"/>
  <c r="H2249" i="1"/>
  <c r="D2249" i="1"/>
  <c r="C2249" i="1"/>
  <c r="K2248" i="1"/>
  <c r="H2248" i="1"/>
  <c r="D2248" i="1"/>
  <c r="C2248" i="1"/>
  <c r="K2247" i="1"/>
  <c r="H2247" i="1"/>
  <c r="D2247" i="1"/>
  <c r="C2247" i="1"/>
  <c r="K2246" i="1"/>
  <c r="H2246" i="1"/>
  <c r="D2246" i="1"/>
  <c r="C2246" i="1"/>
  <c r="K2245" i="1"/>
  <c r="H2245" i="1"/>
  <c r="D2245" i="1"/>
  <c r="C2245" i="1"/>
  <c r="K2244" i="1"/>
  <c r="H2244" i="1"/>
  <c r="D2244" i="1"/>
  <c r="C2244" i="1"/>
  <c r="K2243" i="1"/>
  <c r="H2243" i="1"/>
  <c r="D2243" i="1"/>
  <c r="C2243" i="1"/>
  <c r="K2242" i="1"/>
  <c r="H2242" i="1"/>
  <c r="D2242" i="1"/>
  <c r="C2242" i="1"/>
  <c r="K2241" i="1"/>
  <c r="H2241" i="1"/>
  <c r="D2241" i="1"/>
  <c r="C2241" i="1"/>
  <c r="K2240" i="1"/>
  <c r="H2240" i="1"/>
  <c r="D2240" i="1"/>
  <c r="C2240" i="1"/>
  <c r="K2239" i="1"/>
  <c r="H2239" i="1"/>
  <c r="D2239" i="1"/>
  <c r="C2239" i="1"/>
  <c r="K2238" i="1"/>
  <c r="H2238" i="1"/>
  <c r="D2238" i="1"/>
  <c r="C2238" i="1"/>
  <c r="K2237" i="1"/>
  <c r="H2237" i="1"/>
  <c r="D2237" i="1"/>
  <c r="C2237" i="1"/>
  <c r="K2236" i="1"/>
  <c r="H2236" i="1"/>
  <c r="D2236" i="1"/>
  <c r="C2236" i="1"/>
  <c r="K2235" i="1"/>
  <c r="H2235" i="1"/>
  <c r="D2235" i="1"/>
  <c r="C2235" i="1"/>
  <c r="K2234" i="1"/>
  <c r="H2234" i="1"/>
  <c r="D2234" i="1"/>
  <c r="C2234" i="1"/>
  <c r="K2233" i="1"/>
  <c r="H2233" i="1"/>
  <c r="D2233" i="1"/>
  <c r="C2233" i="1"/>
  <c r="K2232" i="1"/>
  <c r="H2232" i="1"/>
  <c r="D2232" i="1"/>
  <c r="C2232" i="1"/>
  <c r="K2231" i="1"/>
  <c r="H2231" i="1"/>
  <c r="D2231" i="1"/>
  <c r="C2231" i="1"/>
  <c r="K2230" i="1"/>
  <c r="H2230" i="1"/>
  <c r="D2230" i="1"/>
  <c r="C2230" i="1"/>
  <c r="K2229" i="1"/>
  <c r="H2229" i="1"/>
  <c r="D2229" i="1"/>
  <c r="C2229" i="1"/>
  <c r="K2228" i="1"/>
  <c r="H2228" i="1"/>
  <c r="D2228" i="1"/>
  <c r="C2228" i="1"/>
  <c r="K2227" i="1"/>
  <c r="H2227" i="1"/>
  <c r="D2227" i="1"/>
  <c r="C2227" i="1"/>
  <c r="K2226" i="1"/>
  <c r="H2226" i="1"/>
  <c r="D2226" i="1"/>
  <c r="C2226" i="1"/>
  <c r="K2225" i="1"/>
  <c r="H2225" i="1"/>
  <c r="D2225" i="1"/>
  <c r="C2225" i="1"/>
  <c r="K2224" i="1"/>
  <c r="H2224" i="1"/>
  <c r="D2224" i="1"/>
  <c r="C2224" i="1"/>
  <c r="K2223" i="1"/>
  <c r="H2223" i="1"/>
  <c r="D2223" i="1"/>
  <c r="C2223" i="1"/>
  <c r="K2222" i="1"/>
  <c r="H2222" i="1"/>
  <c r="D2222" i="1"/>
  <c r="C2222" i="1"/>
  <c r="K2221" i="1"/>
  <c r="H2221" i="1"/>
  <c r="D2221" i="1"/>
  <c r="C2221" i="1"/>
  <c r="K2220" i="1"/>
  <c r="H2220" i="1"/>
  <c r="D2220" i="1"/>
  <c r="C2220" i="1"/>
  <c r="K2219" i="1"/>
  <c r="H2219" i="1"/>
  <c r="D2219" i="1"/>
  <c r="C2219" i="1"/>
  <c r="K2218" i="1"/>
  <c r="H2218" i="1"/>
  <c r="D2218" i="1"/>
  <c r="C2218" i="1"/>
  <c r="K2217" i="1"/>
  <c r="H2217" i="1"/>
  <c r="D2217" i="1"/>
  <c r="C2217" i="1"/>
  <c r="K2216" i="1"/>
  <c r="H2216" i="1"/>
  <c r="D2216" i="1"/>
  <c r="C2216" i="1"/>
  <c r="K2215" i="1"/>
  <c r="H2215" i="1"/>
  <c r="D2215" i="1"/>
  <c r="C2215" i="1"/>
  <c r="K2214" i="1"/>
  <c r="H2214" i="1"/>
  <c r="D2214" i="1"/>
  <c r="C2214" i="1"/>
  <c r="K2213" i="1"/>
  <c r="H2213" i="1"/>
  <c r="D2213" i="1"/>
  <c r="C2213" i="1"/>
  <c r="K2212" i="1"/>
  <c r="H2212" i="1"/>
  <c r="D2212" i="1"/>
  <c r="C2212" i="1"/>
  <c r="K2211" i="1"/>
  <c r="H2211" i="1"/>
  <c r="D2211" i="1"/>
  <c r="C2211" i="1"/>
  <c r="K2210" i="1"/>
  <c r="H2210" i="1"/>
  <c r="D2210" i="1"/>
  <c r="C2210" i="1"/>
  <c r="K2209" i="1"/>
  <c r="H2209" i="1"/>
  <c r="D2209" i="1"/>
  <c r="C2209" i="1"/>
  <c r="K2208" i="1"/>
  <c r="H2208" i="1"/>
  <c r="D2208" i="1"/>
  <c r="C2208" i="1"/>
  <c r="K2207" i="1"/>
  <c r="H2207" i="1"/>
  <c r="D2207" i="1"/>
  <c r="C2207" i="1"/>
  <c r="K2206" i="1"/>
  <c r="H2206" i="1"/>
  <c r="D2206" i="1"/>
  <c r="C2206" i="1"/>
  <c r="K2205" i="1"/>
  <c r="H2205" i="1"/>
  <c r="D2205" i="1"/>
  <c r="C2205" i="1"/>
  <c r="K2204" i="1"/>
  <c r="H2204" i="1"/>
  <c r="D2204" i="1"/>
  <c r="C2204" i="1"/>
  <c r="K2203" i="1"/>
  <c r="H2203" i="1"/>
  <c r="D2203" i="1"/>
  <c r="C2203" i="1"/>
  <c r="K2202" i="1"/>
  <c r="H2202" i="1"/>
  <c r="D2202" i="1"/>
  <c r="C2202" i="1"/>
  <c r="K2201" i="1"/>
  <c r="H2201" i="1"/>
  <c r="D2201" i="1"/>
  <c r="C2201" i="1"/>
  <c r="K2200" i="1"/>
  <c r="H2200" i="1"/>
  <c r="D2200" i="1"/>
  <c r="C2200" i="1"/>
  <c r="K2199" i="1"/>
  <c r="H2199" i="1"/>
  <c r="D2199" i="1"/>
  <c r="C2199" i="1"/>
  <c r="K2198" i="1"/>
  <c r="H2198" i="1"/>
  <c r="D2198" i="1"/>
  <c r="C2198" i="1"/>
  <c r="K2197" i="1"/>
  <c r="H2197" i="1"/>
  <c r="D2197" i="1"/>
  <c r="C2197" i="1"/>
  <c r="K2196" i="1"/>
  <c r="H2196" i="1"/>
  <c r="D2196" i="1"/>
  <c r="C2196" i="1"/>
  <c r="K2195" i="1"/>
  <c r="H2195" i="1"/>
  <c r="D2195" i="1"/>
  <c r="C2195" i="1"/>
  <c r="K2194" i="1"/>
  <c r="H2194" i="1"/>
  <c r="D2194" i="1"/>
  <c r="C2194" i="1"/>
  <c r="K2193" i="1"/>
  <c r="H2193" i="1"/>
  <c r="D2193" i="1"/>
  <c r="C2193" i="1"/>
  <c r="K2192" i="1"/>
  <c r="H2192" i="1"/>
  <c r="D2192" i="1"/>
  <c r="C2192" i="1"/>
  <c r="K2191" i="1"/>
  <c r="H2191" i="1"/>
  <c r="D2191" i="1"/>
  <c r="C2191" i="1"/>
  <c r="K2190" i="1"/>
  <c r="H2190" i="1"/>
  <c r="D2190" i="1"/>
  <c r="C2190" i="1"/>
  <c r="K2189" i="1"/>
  <c r="H2189" i="1"/>
  <c r="D2189" i="1"/>
  <c r="C2189" i="1"/>
  <c r="K2188" i="1"/>
  <c r="H2188" i="1"/>
  <c r="D2188" i="1"/>
  <c r="C2188" i="1"/>
  <c r="K2187" i="1"/>
  <c r="H2187" i="1"/>
  <c r="D2187" i="1"/>
  <c r="C2187" i="1"/>
  <c r="K2186" i="1"/>
  <c r="H2186" i="1"/>
  <c r="D2186" i="1"/>
  <c r="C2186" i="1"/>
  <c r="K2185" i="1"/>
  <c r="H2185" i="1"/>
  <c r="D2185" i="1"/>
  <c r="C2185" i="1"/>
  <c r="K2184" i="1"/>
  <c r="H2184" i="1"/>
  <c r="D2184" i="1"/>
  <c r="C2184" i="1"/>
  <c r="K2183" i="1"/>
  <c r="H2183" i="1"/>
  <c r="D2183" i="1"/>
  <c r="C2183" i="1"/>
  <c r="K2182" i="1"/>
  <c r="H2182" i="1"/>
  <c r="D2182" i="1"/>
  <c r="C2182" i="1"/>
  <c r="K2181" i="1"/>
  <c r="H2181" i="1"/>
  <c r="D2181" i="1"/>
  <c r="C2181" i="1"/>
  <c r="K2180" i="1"/>
  <c r="H2180" i="1"/>
  <c r="D2180" i="1"/>
  <c r="C2180" i="1"/>
  <c r="K2179" i="1"/>
  <c r="H2179" i="1"/>
  <c r="D2179" i="1"/>
  <c r="C2179" i="1"/>
  <c r="K2178" i="1"/>
  <c r="H2178" i="1"/>
  <c r="D2178" i="1"/>
  <c r="C2178" i="1"/>
  <c r="K2177" i="1"/>
  <c r="H2177" i="1"/>
  <c r="D2177" i="1"/>
  <c r="C2177" i="1"/>
  <c r="K2176" i="1"/>
  <c r="H2176" i="1"/>
  <c r="D2176" i="1"/>
  <c r="C2176" i="1"/>
  <c r="K2175" i="1"/>
  <c r="H2175" i="1"/>
  <c r="D2175" i="1"/>
  <c r="C2175" i="1"/>
  <c r="K2174" i="1"/>
  <c r="H2174" i="1"/>
  <c r="D2174" i="1"/>
  <c r="C2174" i="1"/>
  <c r="K2173" i="1"/>
  <c r="H2173" i="1"/>
  <c r="D2173" i="1"/>
  <c r="C2173" i="1"/>
  <c r="K2172" i="1"/>
  <c r="H2172" i="1"/>
  <c r="D2172" i="1"/>
  <c r="C2172" i="1"/>
  <c r="K2171" i="1"/>
  <c r="H2171" i="1"/>
  <c r="D2171" i="1"/>
  <c r="C2171" i="1"/>
  <c r="K2170" i="1"/>
  <c r="H2170" i="1"/>
  <c r="D2170" i="1"/>
  <c r="C2170" i="1"/>
  <c r="K2169" i="1"/>
  <c r="H2169" i="1"/>
  <c r="D2169" i="1"/>
  <c r="C2169" i="1"/>
  <c r="K2168" i="1"/>
  <c r="H2168" i="1"/>
  <c r="D2168" i="1"/>
  <c r="C2168" i="1"/>
  <c r="K2167" i="1"/>
  <c r="H2167" i="1"/>
  <c r="D2167" i="1"/>
  <c r="C2167" i="1"/>
  <c r="K2166" i="1"/>
  <c r="H2166" i="1"/>
  <c r="D2166" i="1"/>
  <c r="C2166" i="1"/>
  <c r="K2165" i="1"/>
  <c r="H2165" i="1"/>
  <c r="D2165" i="1"/>
  <c r="C2165" i="1"/>
  <c r="K2164" i="1"/>
  <c r="H2164" i="1"/>
  <c r="D2164" i="1"/>
  <c r="C2164" i="1"/>
  <c r="K2163" i="1"/>
  <c r="H2163" i="1"/>
  <c r="D2163" i="1"/>
  <c r="C2163" i="1"/>
  <c r="K2162" i="1"/>
  <c r="H2162" i="1"/>
  <c r="D2162" i="1"/>
  <c r="C2162" i="1"/>
  <c r="K2161" i="1"/>
  <c r="H2161" i="1"/>
  <c r="D2161" i="1"/>
  <c r="C2161" i="1"/>
  <c r="K2160" i="1"/>
  <c r="H2160" i="1"/>
  <c r="D2160" i="1"/>
  <c r="C2160" i="1"/>
  <c r="K2159" i="1"/>
  <c r="H2159" i="1"/>
  <c r="D2159" i="1"/>
  <c r="C2159" i="1"/>
  <c r="K2158" i="1"/>
  <c r="H2158" i="1"/>
  <c r="D2158" i="1"/>
  <c r="C2158" i="1"/>
  <c r="K2157" i="1"/>
  <c r="H2157" i="1"/>
  <c r="D2157" i="1"/>
  <c r="C2157" i="1"/>
  <c r="K2156" i="1"/>
  <c r="H2156" i="1"/>
  <c r="D2156" i="1"/>
  <c r="C2156" i="1"/>
  <c r="K2155" i="1"/>
  <c r="H2155" i="1"/>
  <c r="D2155" i="1"/>
  <c r="C2155" i="1"/>
  <c r="K2154" i="1"/>
  <c r="H2154" i="1"/>
  <c r="D2154" i="1"/>
  <c r="C2154" i="1"/>
  <c r="K2153" i="1"/>
  <c r="H2153" i="1"/>
  <c r="D2153" i="1"/>
  <c r="C2153" i="1"/>
  <c r="K2152" i="1"/>
  <c r="H2152" i="1"/>
  <c r="D2152" i="1"/>
  <c r="C2152" i="1"/>
  <c r="K2151" i="1"/>
  <c r="H2151" i="1"/>
  <c r="D2151" i="1"/>
  <c r="C2151" i="1"/>
  <c r="K2150" i="1"/>
  <c r="H2150" i="1"/>
  <c r="D2150" i="1"/>
  <c r="C2150" i="1"/>
  <c r="K2149" i="1"/>
  <c r="H2149" i="1"/>
  <c r="D2149" i="1"/>
  <c r="C2149" i="1"/>
  <c r="K2148" i="1"/>
  <c r="H2148" i="1"/>
  <c r="D2148" i="1"/>
  <c r="C2148" i="1"/>
  <c r="K2147" i="1"/>
  <c r="H2147" i="1"/>
  <c r="D2147" i="1"/>
  <c r="C2147" i="1"/>
  <c r="K2146" i="1"/>
  <c r="H2146" i="1"/>
  <c r="D2146" i="1"/>
  <c r="C2146" i="1"/>
  <c r="K2145" i="1"/>
  <c r="H2145" i="1"/>
  <c r="D2145" i="1"/>
  <c r="C2145" i="1"/>
  <c r="K2144" i="1"/>
  <c r="H2144" i="1"/>
  <c r="D2144" i="1"/>
  <c r="C2144" i="1"/>
  <c r="K2143" i="1"/>
  <c r="H2143" i="1"/>
  <c r="D2143" i="1"/>
  <c r="C2143" i="1"/>
  <c r="K2142" i="1"/>
  <c r="H2142" i="1"/>
  <c r="D2142" i="1"/>
  <c r="C2142" i="1"/>
  <c r="K2141" i="1"/>
  <c r="H2141" i="1"/>
  <c r="D2141" i="1"/>
  <c r="C2141" i="1"/>
  <c r="K2140" i="1"/>
  <c r="H2140" i="1"/>
  <c r="D2140" i="1"/>
  <c r="C2140" i="1"/>
  <c r="K2139" i="1"/>
  <c r="H2139" i="1"/>
  <c r="D2139" i="1"/>
  <c r="C2139" i="1"/>
  <c r="K2138" i="1"/>
  <c r="H2138" i="1"/>
  <c r="D2138" i="1"/>
  <c r="C2138" i="1"/>
  <c r="K2137" i="1"/>
  <c r="H2137" i="1"/>
  <c r="D2137" i="1"/>
  <c r="C2137" i="1"/>
  <c r="K2136" i="1"/>
  <c r="H2136" i="1"/>
  <c r="D2136" i="1"/>
  <c r="C2136" i="1"/>
  <c r="K2135" i="1"/>
  <c r="H2135" i="1"/>
  <c r="D2135" i="1"/>
  <c r="C2135" i="1"/>
  <c r="K2134" i="1"/>
  <c r="H2134" i="1"/>
  <c r="D2134" i="1"/>
  <c r="C2134" i="1"/>
  <c r="K2133" i="1"/>
  <c r="H2133" i="1"/>
  <c r="D2133" i="1"/>
  <c r="C2133" i="1"/>
  <c r="K2132" i="1"/>
  <c r="H2132" i="1"/>
  <c r="D2132" i="1"/>
  <c r="C2132" i="1"/>
  <c r="K2131" i="1"/>
  <c r="H2131" i="1"/>
  <c r="D2131" i="1"/>
  <c r="C2131" i="1"/>
  <c r="K2130" i="1"/>
  <c r="H2130" i="1"/>
  <c r="D2130" i="1"/>
  <c r="C2130" i="1"/>
  <c r="K2129" i="1"/>
  <c r="H2129" i="1"/>
  <c r="D2129" i="1"/>
  <c r="C2129" i="1"/>
  <c r="K2128" i="1"/>
  <c r="H2128" i="1"/>
  <c r="D2128" i="1"/>
  <c r="C2128" i="1"/>
  <c r="K2127" i="1"/>
  <c r="H2127" i="1"/>
  <c r="D2127" i="1"/>
  <c r="C2127" i="1"/>
  <c r="K2126" i="1"/>
  <c r="H2126" i="1"/>
  <c r="D2126" i="1"/>
  <c r="C2126" i="1"/>
  <c r="K2125" i="1"/>
  <c r="H2125" i="1"/>
  <c r="D2125" i="1"/>
  <c r="C2125" i="1"/>
  <c r="K2124" i="1"/>
  <c r="H2124" i="1"/>
  <c r="D2124" i="1"/>
  <c r="C2124" i="1"/>
  <c r="K2123" i="1"/>
  <c r="H2123" i="1"/>
  <c r="D2123" i="1"/>
  <c r="C2123" i="1"/>
  <c r="K2122" i="1"/>
  <c r="H2122" i="1"/>
  <c r="D2122" i="1"/>
  <c r="C2122" i="1"/>
  <c r="K2121" i="1"/>
  <c r="H2121" i="1"/>
  <c r="D2121" i="1"/>
  <c r="C2121" i="1"/>
  <c r="K2120" i="1"/>
  <c r="H2120" i="1"/>
  <c r="D2120" i="1"/>
  <c r="C2120" i="1"/>
  <c r="K2119" i="1"/>
  <c r="H2119" i="1"/>
  <c r="D2119" i="1"/>
  <c r="C2119" i="1"/>
  <c r="K2118" i="1"/>
  <c r="H2118" i="1"/>
  <c r="D2118" i="1"/>
  <c r="C2118" i="1"/>
  <c r="K2117" i="1"/>
  <c r="H2117" i="1"/>
  <c r="D2117" i="1"/>
  <c r="C2117" i="1"/>
  <c r="K2116" i="1"/>
  <c r="H2116" i="1"/>
  <c r="D2116" i="1"/>
  <c r="C2116" i="1"/>
  <c r="K2115" i="1"/>
  <c r="H2115" i="1"/>
  <c r="D2115" i="1"/>
  <c r="C2115" i="1"/>
  <c r="K2114" i="1"/>
  <c r="H2114" i="1"/>
  <c r="D2114" i="1"/>
  <c r="C2114" i="1"/>
  <c r="K2113" i="1"/>
  <c r="H2113" i="1"/>
  <c r="D2113" i="1"/>
  <c r="C2113" i="1"/>
  <c r="K2112" i="1"/>
  <c r="H2112" i="1"/>
  <c r="D2112" i="1"/>
  <c r="C2112" i="1"/>
  <c r="K2111" i="1"/>
  <c r="H2111" i="1"/>
  <c r="D2111" i="1"/>
  <c r="C2111" i="1"/>
  <c r="K2110" i="1"/>
  <c r="H2110" i="1"/>
  <c r="D2110" i="1"/>
  <c r="C2110" i="1"/>
  <c r="K2109" i="1"/>
  <c r="H2109" i="1"/>
  <c r="D2109" i="1"/>
  <c r="C2109" i="1"/>
  <c r="K2108" i="1"/>
  <c r="H2108" i="1"/>
  <c r="D2108" i="1"/>
  <c r="C2108" i="1"/>
  <c r="K2107" i="1"/>
  <c r="H2107" i="1"/>
  <c r="D2107" i="1"/>
  <c r="C2107" i="1"/>
  <c r="K2106" i="1"/>
  <c r="H2106" i="1"/>
  <c r="D2106" i="1"/>
  <c r="C2106" i="1"/>
  <c r="K2105" i="1"/>
  <c r="H2105" i="1"/>
  <c r="D2105" i="1"/>
  <c r="C2105" i="1"/>
  <c r="K2104" i="1"/>
  <c r="H2104" i="1"/>
  <c r="D2104" i="1"/>
  <c r="C2104" i="1"/>
  <c r="K2103" i="1"/>
  <c r="H2103" i="1"/>
  <c r="D2103" i="1"/>
  <c r="C2103" i="1"/>
  <c r="K2102" i="1"/>
  <c r="H2102" i="1"/>
  <c r="D2102" i="1"/>
  <c r="C2102" i="1"/>
  <c r="K2101" i="1"/>
  <c r="H2101" i="1"/>
  <c r="D2101" i="1"/>
  <c r="C2101" i="1"/>
  <c r="K2100" i="1"/>
  <c r="H2100" i="1"/>
  <c r="D2100" i="1"/>
  <c r="C2100" i="1"/>
  <c r="K2099" i="1"/>
  <c r="H2099" i="1"/>
  <c r="D2099" i="1"/>
  <c r="C2099" i="1"/>
  <c r="K2098" i="1"/>
  <c r="H2098" i="1"/>
  <c r="D2098" i="1"/>
  <c r="C2098" i="1"/>
  <c r="K2097" i="1"/>
  <c r="H2097" i="1"/>
  <c r="D2097" i="1"/>
  <c r="C2097" i="1"/>
  <c r="K2096" i="1"/>
  <c r="H2096" i="1"/>
  <c r="D2096" i="1"/>
  <c r="C2096" i="1"/>
  <c r="K2095" i="1"/>
  <c r="H2095" i="1"/>
  <c r="D2095" i="1"/>
  <c r="C2095" i="1"/>
  <c r="K2094" i="1"/>
  <c r="H2094" i="1"/>
  <c r="D2094" i="1"/>
  <c r="C2094" i="1"/>
  <c r="K2093" i="1"/>
  <c r="H2093" i="1"/>
  <c r="D2093" i="1"/>
  <c r="C2093" i="1"/>
  <c r="K2092" i="1"/>
  <c r="H2092" i="1"/>
  <c r="D2092" i="1"/>
  <c r="C2092" i="1"/>
  <c r="K2091" i="1"/>
  <c r="H2091" i="1"/>
  <c r="D2091" i="1"/>
  <c r="C2091" i="1"/>
  <c r="K2090" i="1"/>
  <c r="H2090" i="1"/>
  <c r="D2090" i="1"/>
  <c r="C2090" i="1"/>
  <c r="K2089" i="1"/>
  <c r="H2089" i="1"/>
  <c r="D2089" i="1"/>
  <c r="C2089" i="1"/>
  <c r="K2088" i="1"/>
  <c r="H2088" i="1"/>
  <c r="D2088" i="1"/>
  <c r="C2088" i="1"/>
  <c r="K2087" i="1"/>
  <c r="H2087" i="1"/>
  <c r="D2087" i="1"/>
  <c r="C2087" i="1"/>
  <c r="K2086" i="1"/>
  <c r="H2086" i="1"/>
  <c r="D2086" i="1"/>
  <c r="C2086" i="1"/>
  <c r="K2085" i="1"/>
  <c r="H2085" i="1"/>
  <c r="D2085" i="1"/>
  <c r="C2085" i="1"/>
  <c r="K2084" i="1"/>
  <c r="H2084" i="1"/>
  <c r="D2084" i="1"/>
  <c r="C2084" i="1"/>
  <c r="K2083" i="1"/>
  <c r="H2083" i="1"/>
  <c r="D2083" i="1"/>
  <c r="C2083" i="1"/>
  <c r="K2082" i="1"/>
  <c r="H2082" i="1"/>
  <c r="D2082" i="1"/>
  <c r="C2082" i="1"/>
  <c r="K2081" i="1"/>
  <c r="H2081" i="1"/>
  <c r="D2081" i="1"/>
  <c r="C2081" i="1"/>
  <c r="K2080" i="1"/>
  <c r="H2080" i="1"/>
  <c r="D2080" i="1"/>
  <c r="C2080" i="1"/>
  <c r="K2079" i="1"/>
  <c r="H2079" i="1"/>
  <c r="D2079" i="1"/>
  <c r="C2079" i="1"/>
  <c r="K2078" i="1"/>
  <c r="H2078" i="1"/>
  <c r="D2078" i="1"/>
  <c r="C2078" i="1"/>
  <c r="K2077" i="1"/>
  <c r="H2077" i="1"/>
  <c r="D2077" i="1"/>
  <c r="C2077" i="1"/>
  <c r="K2076" i="1"/>
  <c r="H2076" i="1"/>
  <c r="D2076" i="1"/>
  <c r="C2076" i="1"/>
  <c r="K2075" i="1"/>
  <c r="H2075" i="1"/>
  <c r="D2075" i="1"/>
  <c r="C2075" i="1"/>
  <c r="K2074" i="1"/>
  <c r="H2074" i="1"/>
  <c r="D2074" i="1"/>
  <c r="C2074" i="1"/>
  <c r="K2073" i="1"/>
  <c r="H2073" i="1"/>
  <c r="D2073" i="1"/>
  <c r="C2073" i="1"/>
  <c r="K2072" i="1"/>
  <c r="H2072" i="1"/>
  <c r="D2072" i="1"/>
  <c r="C2072" i="1"/>
  <c r="K2071" i="1"/>
  <c r="H2071" i="1"/>
  <c r="D2071" i="1"/>
  <c r="C2071" i="1"/>
  <c r="K2070" i="1"/>
  <c r="H2070" i="1"/>
  <c r="D2070" i="1"/>
  <c r="C2070" i="1"/>
  <c r="K2069" i="1"/>
  <c r="H2069" i="1"/>
  <c r="D2069" i="1"/>
  <c r="C2069" i="1"/>
  <c r="K2068" i="1"/>
  <c r="H2068" i="1"/>
  <c r="D2068" i="1"/>
  <c r="C2068" i="1"/>
  <c r="K2067" i="1"/>
  <c r="H2067" i="1"/>
  <c r="D2067" i="1"/>
  <c r="C2067" i="1"/>
  <c r="K2066" i="1"/>
  <c r="H2066" i="1"/>
  <c r="D2066" i="1"/>
  <c r="C2066" i="1"/>
  <c r="K2065" i="1"/>
  <c r="H2065" i="1"/>
  <c r="D2065" i="1"/>
  <c r="C2065" i="1"/>
  <c r="K2064" i="1"/>
  <c r="H2064" i="1"/>
  <c r="D2064" i="1"/>
  <c r="C2064" i="1"/>
  <c r="K2063" i="1"/>
  <c r="H2063" i="1"/>
  <c r="D2063" i="1"/>
  <c r="C2063" i="1"/>
  <c r="K2062" i="1"/>
  <c r="H2062" i="1"/>
  <c r="D2062" i="1"/>
  <c r="C2062" i="1"/>
  <c r="K2061" i="1"/>
  <c r="H2061" i="1"/>
  <c r="D2061" i="1"/>
  <c r="C2061" i="1"/>
  <c r="K2060" i="1"/>
  <c r="H2060" i="1"/>
  <c r="D2060" i="1"/>
  <c r="C2060" i="1"/>
  <c r="K2059" i="1"/>
  <c r="H2059" i="1"/>
  <c r="D2059" i="1"/>
  <c r="C2059" i="1"/>
  <c r="K2058" i="1"/>
  <c r="H2058" i="1"/>
  <c r="D2058" i="1"/>
  <c r="C2058" i="1"/>
  <c r="K2057" i="1"/>
  <c r="H2057" i="1"/>
  <c r="D2057" i="1"/>
  <c r="C2057" i="1"/>
  <c r="K2056" i="1"/>
  <c r="H2056" i="1"/>
  <c r="D2056" i="1"/>
  <c r="C2056" i="1"/>
  <c r="K2055" i="1"/>
  <c r="H2055" i="1"/>
  <c r="D2055" i="1"/>
  <c r="C2055" i="1"/>
  <c r="K2054" i="1"/>
  <c r="H2054" i="1"/>
  <c r="D2054" i="1"/>
  <c r="C2054" i="1"/>
  <c r="K2053" i="1"/>
  <c r="H2053" i="1"/>
  <c r="D2053" i="1"/>
  <c r="C2053" i="1"/>
  <c r="K2052" i="1"/>
  <c r="H2052" i="1"/>
  <c r="D2052" i="1"/>
  <c r="C2052" i="1"/>
  <c r="K2051" i="1"/>
  <c r="H2051" i="1"/>
  <c r="D2051" i="1"/>
  <c r="C2051" i="1"/>
  <c r="K2050" i="1"/>
  <c r="H2050" i="1"/>
  <c r="D2050" i="1"/>
  <c r="C2050" i="1"/>
  <c r="K2049" i="1"/>
  <c r="H2049" i="1"/>
  <c r="D2049" i="1"/>
  <c r="C2049" i="1"/>
  <c r="K2048" i="1"/>
  <c r="H2048" i="1"/>
  <c r="D2048" i="1"/>
  <c r="C2048" i="1"/>
  <c r="K2047" i="1"/>
  <c r="H2047" i="1"/>
  <c r="D2047" i="1"/>
  <c r="C2047" i="1"/>
  <c r="K2046" i="1"/>
  <c r="H2046" i="1"/>
  <c r="D2046" i="1"/>
  <c r="C2046" i="1"/>
  <c r="K2045" i="1"/>
  <c r="H2045" i="1"/>
  <c r="D2045" i="1"/>
  <c r="C2045" i="1"/>
  <c r="K2044" i="1"/>
  <c r="H2044" i="1"/>
  <c r="D2044" i="1"/>
  <c r="C2044" i="1"/>
  <c r="K2043" i="1"/>
  <c r="H2043" i="1"/>
  <c r="D2043" i="1"/>
  <c r="C2043" i="1"/>
  <c r="K2042" i="1"/>
  <c r="H2042" i="1"/>
  <c r="D2042" i="1"/>
  <c r="C2042" i="1"/>
  <c r="K2041" i="1"/>
  <c r="H2041" i="1"/>
  <c r="D2041" i="1"/>
  <c r="C2041" i="1"/>
  <c r="K2040" i="1"/>
  <c r="H2040" i="1"/>
  <c r="D2040" i="1"/>
  <c r="C2040" i="1"/>
  <c r="K2039" i="1"/>
  <c r="H2039" i="1"/>
  <c r="D2039" i="1"/>
  <c r="C2039" i="1"/>
  <c r="K2038" i="1"/>
  <c r="H2038" i="1"/>
  <c r="D2038" i="1"/>
  <c r="C2038" i="1"/>
  <c r="K2037" i="1"/>
  <c r="H2037" i="1"/>
  <c r="D2037" i="1"/>
  <c r="C2037" i="1"/>
  <c r="K2036" i="1"/>
  <c r="H2036" i="1"/>
  <c r="D2036" i="1"/>
  <c r="C2036" i="1"/>
  <c r="K2035" i="1"/>
  <c r="H2035" i="1"/>
  <c r="D2035" i="1"/>
  <c r="C2035" i="1"/>
  <c r="K2034" i="1"/>
  <c r="H2034" i="1"/>
  <c r="D2034" i="1"/>
  <c r="C2034" i="1"/>
  <c r="K2033" i="1"/>
  <c r="H2033" i="1"/>
  <c r="D2033" i="1"/>
  <c r="C2033" i="1"/>
  <c r="K2032" i="1"/>
  <c r="H2032" i="1"/>
  <c r="D2032" i="1"/>
  <c r="C2032" i="1"/>
  <c r="K2031" i="1"/>
  <c r="H2031" i="1"/>
  <c r="D2031" i="1"/>
  <c r="C2031" i="1"/>
  <c r="K2030" i="1"/>
  <c r="H2030" i="1"/>
  <c r="D2030" i="1"/>
  <c r="C2030" i="1"/>
  <c r="K2029" i="1"/>
  <c r="H2029" i="1"/>
  <c r="D2029" i="1"/>
  <c r="C2029" i="1"/>
  <c r="K2028" i="1"/>
  <c r="H2028" i="1"/>
  <c r="D2028" i="1"/>
  <c r="C2028" i="1"/>
  <c r="K2027" i="1"/>
  <c r="H2027" i="1"/>
  <c r="D2027" i="1"/>
  <c r="C2027" i="1"/>
  <c r="K2026" i="1"/>
  <c r="H2026" i="1"/>
  <c r="D2026" i="1"/>
  <c r="C2026" i="1"/>
  <c r="K2025" i="1"/>
  <c r="H2025" i="1"/>
  <c r="D2025" i="1"/>
  <c r="C2025" i="1"/>
  <c r="K2024" i="1"/>
  <c r="H2024" i="1"/>
  <c r="D2024" i="1"/>
  <c r="C2024" i="1"/>
  <c r="K2023" i="1"/>
  <c r="H2023" i="1"/>
  <c r="D2023" i="1"/>
  <c r="C2023" i="1"/>
  <c r="K2022" i="1"/>
  <c r="H2022" i="1"/>
  <c r="D2022" i="1"/>
  <c r="C2022" i="1"/>
  <c r="K2021" i="1"/>
  <c r="H2021" i="1"/>
  <c r="D2021" i="1"/>
  <c r="C2021" i="1"/>
  <c r="K2020" i="1"/>
  <c r="H2020" i="1"/>
  <c r="D2020" i="1"/>
  <c r="C2020" i="1"/>
  <c r="K2019" i="1"/>
  <c r="H2019" i="1"/>
  <c r="D2019" i="1"/>
  <c r="C2019" i="1"/>
  <c r="K2018" i="1"/>
  <c r="H2018" i="1"/>
  <c r="D2018" i="1"/>
  <c r="C2018" i="1"/>
  <c r="K2017" i="1"/>
  <c r="H2017" i="1"/>
  <c r="D2017" i="1"/>
  <c r="C2017" i="1"/>
  <c r="K2016" i="1"/>
  <c r="H2016" i="1"/>
  <c r="D2016" i="1"/>
  <c r="C2016" i="1"/>
  <c r="K2015" i="1"/>
  <c r="H2015" i="1"/>
  <c r="D2015" i="1"/>
  <c r="C2015" i="1"/>
  <c r="K2014" i="1"/>
  <c r="H2014" i="1"/>
  <c r="D2014" i="1"/>
  <c r="C2014" i="1"/>
  <c r="K2013" i="1"/>
  <c r="H2013" i="1"/>
  <c r="D2013" i="1"/>
  <c r="C2013" i="1"/>
  <c r="K2012" i="1"/>
  <c r="H2012" i="1"/>
  <c r="D2012" i="1"/>
  <c r="C2012" i="1"/>
  <c r="K2011" i="1"/>
  <c r="H2011" i="1"/>
  <c r="D2011" i="1"/>
  <c r="C2011" i="1"/>
  <c r="K2010" i="1"/>
  <c r="H2010" i="1"/>
  <c r="D2010" i="1"/>
  <c r="C2010" i="1"/>
  <c r="K2009" i="1"/>
  <c r="H2009" i="1"/>
  <c r="D2009" i="1"/>
  <c r="C2009" i="1"/>
  <c r="K2008" i="1"/>
  <c r="H2008" i="1"/>
  <c r="D2008" i="1"/>
  <c r="C2008" i="1"/>
  <c r="K2007" i="1"/>
  <c r="H2007" i="1"/>
  <c r="D2007" i="1"/>
  <c r="C2007" i="1"/>
  <c r="K2006" i="1"/>
  <c r="H2006" i="1"/>
  <c r="D2006" i="1"/>
  <c r="C2006" i="1"/>
  <c r="K2005" i="1"/>
  <c r="H2005" i="1"/>
  <c r="D2005" i="1"/>
  <c r="C2005" i="1"/>
  <c r="K2004" i="1"/>
  <c r="H2004" i="1"/>
  <c r="D2004" i="1"/>
  <c r="C2004" i="1"/>
  <c r="K2003" i="1"/>
  <c r="H2003" i="1"/>
  <c r="D2003" i="1"/>
  <c r="C2003" i="1"/>
  <c r="K2002" i="1"/>
  <c r="H2002" i="1"/>
  <c r="D2002" i="1"/>
  <c r="C2002" i="1"/>
  <c r="K2001" i="1"/>
  <c r="H2001" i="1"/>
  <c r="D2001" i="1"/>
  <c r="C2001" i="1"/>
  <c r="K2000" i="1"/>
  <c r="H2000" i="1"/>
  <c r="D2000" i="1"/>
  <c r="C2000" i="1"/>
  <c r="K1999" i="1"/>
  <c r="H1999" i="1"/>
  <c r="D1999" i="1"/>
  <c r="C1999" i="1"/>
  <c r="K1998" i="1"/>
  <c r="H1998" i="1"/>
  <c r="D1998" i="1"/>
  <c r="C1998" i="1"/>
  <c r="K1997" i="1"/>
  <c r="H1997" i="1"/>
  <c r="D1997" i="1"/>
  <c r="C1997" i="1"/>
  <c r="K1996" i="1"/>
  <c r="H1996" i="1"/>
  <c r="D1996" i="1"/>
  <c r="C1996" i="1"/>
  <c r="K1995" i="1"/>
  <c r="H1995" i="1"/>
  <c r="D1995" i="1"/>
  <c r="C1995" i="1"/>
  <c r="K1994" i="1"/>
  <c r="H1994" i="1"/>
  <c r="D1994" i="1"/>
  <c r="C1994" i="1"/>
  <c r="K1993" i="1"/>
  <c r="H1993" i="1"/>
  <c r="D1993" i="1"/>
  <c r="C1993" i="1"/>
  <c r="K1992" i="1"/>
  <c r="H1992" i="1"/>
  <c r="D1992" i="1"/>
  <c r="C1992" i="1"/>
  <c r="K1991" i="1"/>
  <c r="H1991" i="1"/>
  <c r="D1991" i="1"/>
  <c r="C1991" i="1"/>
  <c r="K1990" i="1"/>
  <c r="H1990" i="1"/>
  <c r="D1990" i="1"/>
  <c r="C1990" i="1"/>
  <c r="K1989" i="1"/>
  <c r="H1989" i="1"/>
  <c r="D1989" i="1"/>
  <c r="C1989" i="1"/>
  <c r="K1988" i="1"/>
  <c r="H1988" i="1"/>
  <c r="D1988" i="1"/>
  <c r="C1988" i="1"/>
  <c r="K1987" i="1"/>
  <c r="H1987" i="1"/>
  <c r="D1987" i="1"/>
  <c r="C1987" i="1"/>
  <c r="K1986" i="1"/>
  <c r="H1986" i="1"/>
  <c r="D1986" i="1"/>
  <c r="C1986" i="1"/>
  <c r="K1985" i="1"/>
  <c r="H1985" i="1"/>
  <c r="D1985" i="1"/>
  <c r="C1985" i="1"/>
  <c r="K1984" i="1"/>
  <c r="H1984" i="1"/>
  <c r="D1984" i="1"/>
  <c r="C1984" i="1"/>
  <c r="K1983" i="1"/>
  <c r="H1983" i="1"/>
  <c r="D1983" i="1"/>
  <c r="C1983" i="1"/>
  <c r="K1982" i="1"/>
  <c r="H1982" i="1"/>
  <c r="D1982" i="1"/>
  <c r="C1982" i="1"/>
  <c r="K1981" i="1"/>
  <c r="H1981" i="1"/>
  <c r="D1981" i="1"/>
  <c r="C1981" i="1"/>
  <c r="K1980" i="1"/>
  <c r="H1980" i="1"/>
  <c r="D1980" i="1"/>
  <c r="C1980" i="1"/>
  <c r="K1979" i="1"/>
  <c r="H1979" i="1"/>
  <c r="D1979" i="1"/>
  <c r="C1979" i="1"/>
  <c r="K1978" i="1"/>
  <c r="H1978" i="1"/>
  <c r="D1978" i="1"/>
  <c r="C1978" i="1"/>
  <c r="K1977" i="1"/>
  <c r="H1977" i="1"/>
  <c r="D1977" i="1"/>
  <c r="C1977" i="1"/>
  <c r="K1976" i="1"/>
  <c r="H1976" i="1"/>
  <c r="D1976" i="1"/>
  <c r="C1976" i="1"/>
  <c r="K1975" i="1"/>
  <c r="H1975" i="1"/>
  <c r="D1975" i="1"/>
  <c r="C1975" i="1"/>
  <c r="K1974" i="1"/>
  <c r="H1974" i="1"/>
  <c r="D1974" i="1"/>
  <c r="C1974" i="1"/>
  <c r="K1973" i="1"/>
  <c r="H1973" i="1"/>
  <c r="D1973" i="1"/>
  <c r="C1973" i="1"/>
  <c r="K1972" i="1"/>
  <c r="H1972" i="1"/>
  <c r="D1972" i="1"/>
  <c r="C1972" i="1"/>
  <c r="K1971" i="1"/>
  <c r="H1971" i="1"/>
  <c r="D1971" i="1"/>
  <c r="C1971" i="1"/>
  <c r="K1970" i="1"/>
  <c r="H1970" i="1"/>
  <c r="D1970" i="1"/>
  <c r="C1970" i="1"/>
  <c r="K1969" i="1"/>
  <c r="H1969" i="1"/>
  <c r="D1969" i="1"/>
  <c r="C1969" i="1"/>
  <c r="K1968" i="1"/>
  <c r="H1968" i="1"/>
  <c r="D1968" i="1"/>
  <c r="C1968" i="1"/>
  <c r="K1967" i="1"/>
  <c r="H1967" i="1"/>
  <c r="D1967" i="1"/>
  <c r="C1967" i="1"/>
  <c r="K1966" i="1"/>
  <c r="H1966" i="1"/>
  <c r="D1966" i="1"/>
  <c r="C1966" i="1"/>
  <c r="K1965" i="1"/>
  <c r="H1965" i="1"/>
  <c r="D1965" i="1"/>
  <c r="C1965" i="1"/>
  <c r="K1964" i="1"/>
  <c r="H1964" i="1"/>
  <c r="D1964" i="1"/>
  <c r="C1964" i="1"/>
  <c r="K1963" i="1"/>
  <c r="H1963" i="1"/>
  <c r="D1963" i="1"/>
  <c r="C1963" i="1"/>
  <c r="K1962" i="1"/>
  <c r="H1962" i="1"/>
  <c r="D1962" i="1"/>
  <c r="C1962" i="1"/>
  <c r="K1961" i="1"/>
  <c r="H1961" i="1"/>
  <c r="D1961" i="1"/>
  <c r="C1961" i="1"/>
  <c r="K1960" i="1"/>
  <c r="H1960" i="1"/>
  <c r="D1960" i="1"/>
  <c r="C1960" i="1"/>
  <c r="K1959" i="1"/>
  <c r="H1959" i="1"/>
  <c r="D1959" i="1"/>
  <c r="C1959" i="1"/>
  <c r="K1958" i="1"/>
  <c r="H1958" i="1"/>
  <c r="D1958" i="1"/>
  <c r="C1958" i="1"/>
  <c r="K1957" i="1"/>
  <c r="H1957" i="1"/>
  <c r="D1957" i="1"/>
  <c r="C1957" i="1"/>
  <c r="K1956" i="1"/>
  <c r="H1956" i="1"/>
  <c r="D1956" i="1"/>
  <c r="C1956" i="1"/>
  <c r="K1955" i="1"/>
  <c r="H1955" i="1"/>
  <c r="D1955" i="1"/>
  <c r="C1955" i="1"/>
  <c r="K1954" i="1"/>
  <c r="H1954" i="1"/>
  <c r="D1954" i="1"/>
  <c r="C1954" i="1"/>
  <c r="K1953" i="1"/>
  <c r="H1953" i="1"/>
  <c r="D1953" i="1"/>
  <c r="C1953" i="1"/>
  <c r="K1952" i="1"/>
  <c r="H1952" i="1"/>
  <c r="D1952" i="1"/>
  <c r="C1952" i="1"/>
  <c r="K1951" i="1"/>
  <c r="H1951" i="1"/>
  <c r="D1951" i="1"/>
  <c r="C1951" i="1"/>
  <c r="K1950" i="1"/>
  <c r="H1950" i="1"/>
  <c r="D1950" i="1"/>
  <c r="C1950" i="1"/>
  <c r="K1949" i="1"/>
  <c r="H1949" i="1"/>
  <c r="D1949" i="1"/>
  <c r="C1949" i="1"/>
  <c r="K1948" i="1"/>
  <c r="H1948" i="1"/>
  <c r="D1948" i="1"/>
  <c r="C1948" i="1"/>
  <c r="K1947" i="1"/>
  <c r="H1947" i="1"/>
  <c r="D1947" i="1"/>
  <c r="C1947" i="1"/>
  <c r="K1946" i="1"/>
  <c r="H1946" i="1"/>
  <c r="D1946" i="1"/>
  <c r="C1946" i="1"/>
  <c r="K1945" i="1"/>
  <c r="H1945" i="1"/>
  <c r="D1945" i="1"/>
  <c r="C1945" i="1"/>
  <c r="K1944" i="1"/>
  <c r="H1944" i="1"/>
  <c r="D1944" i="1"/>
  <c r="C1944" i="1"/>
  <c r="K1943" i="1"/>
  <c r="H1943" i="1"/>
  <c r="D1943" i="1"/>
  <c r="C1943" i="1"/>
  <c r="K1942" i="1"/>
  <c r="H1942" i="1"/>
  <c r="D1942" i="1"/>
  <c r="C1942" i="1"/>
  <c r="K1941" i="1"/>
  <c r="H1941" i="1"/>
  <c r="D1941" i="1"/>
  <c r="C1941" i="1"/>
  <c r="K1940" i="1"/>
  <c r="H1940" i="1"/>
  <c r="D1940" i="1"/>
  <c r="C1940" i="1"/>
  <c r="K1939" i="1"/>
  <c r="H1939" i="1"/>
  <c r="D1939" i="1"/>
  <c r="C1939" i="1"/>
  <c r="K1938" i="1"/>
  <c r="H1938" i="1"/>
  <c r="D1938" i="1"/>
  <c r="C1938" i="1"/>
  <c r="K1937" i="1"/>
  <c r="H1937" i="1"/>
  <c r="D1937" i="1"/>
  <c r="C1937" i="1"/>
  <c r="K1936" i="1"/>
  <c r="H1936" i="1"/>
  <c r="D1936" i="1"/>
  <c r="C1936" i="1"/>
  <c r="K1935" i="1"/>
  <c r="H1935" i="1"/>
  <c r="D1935" i="1"/>
  <c r="C1935" i="1"/>
  <c r="K1934" i="1"/>
  <c r="H1934" i="1"/>
  <c r="D1934" i="1"/>
  <c r="C1934" i="1"/>
  <c r="K1933" i="1"/>
  <c r="H1933" i="1"/>
  <c r="D1933" i="1"/>
  <c r="C1933" i="1"/>
  <c r="K1932" i="1"/>
  <c r="H1932" i="1"/>
  <c r="D1932" i="1"/>
  <c r="C1932" i="1"/>
  <c r="K1931" i="1"/>
  <c r="H1931" i="1"/>
  <c r="D1931" i="1"/>
  <c r="C1931" i="1"/>
  <c r="K1930" i="1"/>
  <c r="H1930" i="1"/>
  <c r="D1930" i="1"/>
  <c r="C1930" i="1"/>
  <c r="K1929" i="1"/>
  <c r="H1929" i="1"/>
  <c r="D1929" i="1"/>
  <c r="C1929" i="1"/>
  <c r="K1928" i="1"/>
  <c r="H1928" i="1"/>
  <c r="D1928" i="1"/>
  <c r="C1928" i="1"/>
  <c r="K1927" i="1"/>
  <c r="H1927" i="1"/>
  <c r="D1927" i="1"/>
  <c r="C1927" i="1"/>
  <c r="K1926" i="1"/>
  <c r="H1926" i="1"/>
  <c r="D1926" i="1"/>
  <c r="C1926" i="1"/>
  <c r="K1925" i="1"/>
  <c r="H1925" i="1"/>
  <c r="D1925" i="1"/>
  <c r="C1925" i="1"/>
  <c r="K1924" i="1"/>
  <c r="H1924" i="1"/>
  <c r="D1924" i="1"/>
  <c r="C1924" i="1"/>
  <c r="K1923" i="1"/>
  <c r="H1923" i="1"/>
  <c r="D1923" i="1"/>
  <c r="C1923" i="1"/>
  <c r="K1922" i="1"/>
  <c r="H1922" i="1"/>
  <c r="D1922" i="1"/>
  <c r="C1922" i="1"/>
  <c r="K1921" i="1"/>
  <c r="H1921" i="1"/>
  <c r="D1921" i="1"/>
  <c r="C1921" i="1"/>
  <c r="K1920" i="1"/>
  <c r="H1920" i="1"/>
  <c r="D1920" i="1"/>
  <c r="C1920" i="1"/>
  <c r="K1919" i="1"/>
  <c r="H1919" i="1"/>
  <c r="F1919" i="1"/>
  <c r="D1919" i="1"/>
  <c r="C1919" i="1"/>
  <c r="B1919" i="1"/>
  <c r="K1918" i="1"/>
  <c r="H1918" i="1"/>
  <c r="F1918" i="1"/>
  <c r="D1918" i="1"/>
  <c r="C1918" i="1"/>
  <c r="B1918" i="1"/>
  <c r="K1917" i="1"/>
  <c r="H1917" i="1"/>
  <c r="F1917" i="1"/>
  <c r="D1917" i="1"/>
  <c r="C1917" i="1"/>
  <c r="B1917" i="1"/>
  <c r="K1916" i="1"/>
  <c r="H1916" i="1"/>
  <c r="F1916" i="1"/>
  <c r="D1916" i="1"/>
  <c r="C1916" i="1"/>
  <c r="B1916" i="1"/>
  <c r="K1915" i="1"/>
  <c r="H1915" i="1"/>
  <c r="F1915" i="1"/>
  <c r="D1915" i="1"/>
  <c r="C1915" i="1"/>
  <c r="B1915" i="1"/>
  <c r="K1914" i="1"/>
  <c r="H1914" i="1"/>
  <c r="F1914" i="1"/>
  <c r="D1914" i="1"/>
  <c r="C1914" i="1"/>
  <c r="B1914" i="1"/>
  <c r="K1913" i="1"/>
  <c r="H1913" i="1"/>
  <c r="F1913" i="1"/>
  <c r="D1913" i="1"/>
  <c r="C1913" i="1"/>
  <c r="B1913" i="1"/>
  <c r="K1912" i="1"/>
  <c r="H1912" i="1"/>
  <c r="F1912" i="1"/>
  <c r="D1912" i="1"/>
  <c r="C1912" i="1"/>
  <c r="B1912" i="1"/>
  <c r="K1911" i="1"/>
  <c r="H1911" i="1"/>
  <c r="F1911" i="1"/>
  <c r="D1911" i="1"/>
  <c r="C1911" i="1"/>
  <c r="B1911" i="1"/>
  <c r="K1910" i="1"/>
  <c r="H1910" i="1"/>
  <c r="F1910" i="1"/>
  <c r="D1910" i="1"/>
  <c r="C1910" i="1"/>
  <c r="B1910" i="1"/>
  <c r="K1909" i="1"/>
  <c r="H1909" i="1"/>
  <c r="F1909" i="1"/>
  <c r="D1909" i="1"/>
  <c r="C1909" i="1"/>
  <c r="B1909" i="1"/>
  <c r="K1908" i="1"/>
  <c r="H1908" i="1"/>
  <c r="F1908" i="1"/>
  <c r="D1908" i="1"/>
  <c r="C1908" i="1"/>
  <c r="B1908" i="1"/>
  <c r="K1907" i="1"/>
  <c r="H1907" i="1"/>
  <c r="F1907" i="1"/>
  <c r="D1907" i="1"/>
  <c r="C1907" i="1"/>
  <c r="B1907" i="1"/>
  <c r="K1906" i="1"/>
  <c r="H1906" i="1"/>
  <c r="F1906" i="1"/>
  <c r="D1906" i="1"/>
  <c r="C1906" i="1"/>
  <c r="B1906" i="1"/>
  <c r="K1905" i="1"/>
  <c r="H1905" i="1"/>
  <c r="F1905" i="1"/>
  <c r="D1905" i="1"/>
  <c r="C1905" i="1"/>
  <c r="B1905" i="1"/>
  <c r="K1904" i="1"/>
  <c r="H1904" i="1"/>
  <c r="F1904" i="1"/>
  <c r="D1904" i="1"/>
  <c r="C1904" i="1"/>
  <c r="B1904" i="1"/>
  <c r="K1903" i="1"/>
  <c r="H1903" i="1"/>
  <c r="F1903" i="1"/>
  <c r="D1903" i="1"/>
  <c r="C1903" i="1"/>
  <c r="B1903" i="1"/>
  <c r="K1902" i="1"/>
  <c r="H1902" i="1"/>
  <c r="F1902" i="1"/>
  <c r="D1902" i="1"/>
  <c r="C1902" i="1"/>
  <c r="B1902" i="1"/>
  <c r="K1901" i="1"/>
  <c r="H1901" i="1"/>
  <c r="F1901" i="1"/>
  <c r="D1901" i="1"/>
  <c r="C1901" i="1"/>
  <c r="B1901" i="1"/>
  <c r="K1900" i="1"/>
  <c r="H1900" i="1"/>
  <c r="F1900" i="1"/>
  <c r="D1900" i="1"/>
  <c r="C1900" i="1"/>
  <c r="B1900" i="1"/>
  <c r="K1899" i="1"/>
  <c r="H1899" i="1"/>
  <c r="F1899" i="1"/>
  <c r="D1899" i="1"/>
  <c r="C1899" i="1"/>
  <c r="B1899" i="1"/>
  <c r="K1898" i="1"/>
  <c r="H1898" i="1"/>
  <c r="F1898" i="1"/>
  <c r="D1898" i="1"/>
  <c r="C1898" i="1"/>
  <c r="B1898" i="1"/>
  <c r="K1897" i="1"/>
  <c r="H1897" i="1"/>
  <c r="F1897" i="1"/>
  <c r="D1897" i="1"/>
  <c r="C1897" i="1"/>
  <c r="B1897" i="1"/>
  <c r="K1896" i="1"/>
  <c r="H1896" i="1"/>
  <c r="F1896" i="1"/>
  <c r="D1896" i="1"/>
  <c r="C1896" i="1"/>
  <c r="B1896" i="1"/>
  <c r="K1895" i="1"/>
  <c r="H1895" i="1"/>
  <c r="F1895" i="1"/>
  <c r="D1895" i="1"/>
  <c r="C1895" i="1"/>
  <c r="B1895" i="1"/>
  <c r="K1894" i="1"/>
  <c r="H1894" i="1"/>
  <c r="F1894" i="1"/>
  <c r="D1894" i="1"/>
  <c r="C1894" i="1"/>
  <c r="B1894" i="1"/>
  <c r="K1893" i="1"/>
  <c r="H1893" i="1"/>
  <c r="F1893" i="1"/>
  <c r="D1893" i="1"/>
  <c r="C1893" i="1"/>
  <c r="B1893" i="1"/>
  <c r="K1892" i="1"/>
  <c r="H1892" i="1"/>
  <c r="F1892" i="1"/>
  <c r="D1892" i="1"/>
  <c r="C1892" i="1"/>
  <c r="B1892" i="1"/>
  <c r="K1891" i="1"/>
  <c r="H1891" i="1"/>
  <c r="F1891" i="1"/>
  <c r="D1891" i="1"/>
  <c r="C1891" i="1"/>
  <c r="B1891" i="1"/>
  <c r="K1890" i="1"/>
  <c r="H1890" i="1"/>
  <c r="F1890" i="1"/>
  <c r="D1890" i="1"/>
  <c r="C1890" i="1"/>
  <c r="B1890" i="1"/>
  <c r="K1889" i="1"/>
  <c r="H1889" i="1"/>
  <c r="F1889" i="1"/>
  <c r="D1889" i="1"/>
  <c r="C1889" i="1"/>
  <c r="B1889" i="1"/>
  <c r="K1888" i="1"/>
  <c r="H1888" i="1"/>
  <c r="F1888" i="1"/>
  <c r="D1888" i="1"/>
  <c r="C1888" i="1"/>
  <c r="B1888" i="1"/>
  <c r="K1887" i="1"/>
  <c r="H1887" i="1"/>
  <c r="F1887" i="1"/>
  <c r="D1887" i="1"/>
  <c r="C1887" i="1"/>
  <c r="B1887" i="1"/>
  <c r="K1886" i="1"/>
  <c r="H1886" i="1"/>
  <c r="F1886" i="1"/>
  <c r="D1886" i="1"/>
  <c r="C1886" i="1"/>
  <c r="B1886" i="1"/>
  <c r="K1885" i="1"/>
  <c r="H1885" i="1"/>
  <c r="F1885" i="1"/>
  <c r="D1885" i="1"/>
  <c r="C1885" i="1"/>
  <c r="B1885" i="1"/>
  <c r="K1884" i="1"/>
  <c r="H1884" i="1"/>
  <c r="F1884" i="1"/>
  <c r="D1884" i="1"/>
  <c r="C1884" i="1"/>
  <c r="B1884" i="1"/>
  <c r="K1883" i="1"/>
  <c r="H1883" i="1"/>
  <c r="F1883" i="1"/>
  <c r="D1883" i="1"/>
  <c r="C1883" i="1"/>
  <c r="B1883" i="1"/>
  <c r="K1882" i="1"/>
  <c r="H1882" i="1"/>
  <c r="F1882" i="1"/>
  <c r="D1882" i="1"/>
  <c r="C1882" i="1"/>
  <c r="B1882" i="1"/>
  <c r="K1881" i="1"/>
  <c r="H1881" i="1"/>
  <c r="F1881" i="1"/>
  <c r="D1881" i="1"/>
  <c r="C1881" i="1"/>
  <c r="B1881" i="1"/>
  <c r="K1880" i="1"/>
  <c r="H1880" i="1"/>
  <c r="F1880" i="1"/>
  <c r="D1880" i="1"/>
  <c r="C1880" i="1"/>
  <c r="B1880" i="1"/>
  <c r="K1879" i="1"/>
  <c r="H1879" i="1"/>
  <c r="F1879" i="1"/>
  <c r="D1879" i="1"/>
  <c r="C1879" i="1"/>
  <c r="B1879" i="1"/>
  <c r="K1878" i="1"/>
  <c r="H1878" i="1"/>
  <c r="F1878" i="1"/>
  <c r="D1878" i="1"/>
  <c r="C1878" i="1"/>
  <c r="B1878" i="1"/>
  <c r="K1877" i="1"/>
  <c r="H1877" i="1"/>
  <c r="F1877" i="1"/>
  <c r="D1877" i="1"/>
  <c r="C1877" i="1"/>
  <c r="B1877" i="1"/>
  <c r="K1876" i="1"/>
  <c r="H1876" i="1"/>
  <c r="F1876" i="1"/>
  <c r="D1876" i="1"/>
  <c r="C1876" i="1"/>
  <c r="B1876" i="1"/>
  <c r="K1875" i="1"/>
  <c r="H1875" i="1"/>
  <c r="F1875" i="1"/>
  <c r="D1875" i="1"/>
  <c r="C1875" i="1"/>
  <c r="B1875" i="1"/>
  <c r="K1874" i="1"/>
  <c r="H1874" i="1"/>
  <c r="F1874" i="1"/>
  <c r="D1874" i="1"/>
  <c r="C1874" i="1"/>
  <c r="B1874" i="1"/>
  <c r="K1873" i="1"/>
  <c r="H1873" i="1"/>
  <c r="F1873" i="1"/>
  <c r="D1873" i="1"/>
  <c r="C1873" i="1"/>
  <c r="B1873" i="1"/>
  <c r="K1872" i="1"/>
  <c r="H1872" i="1"/>
  <c r="F1872" i="1"/>
  <c r="D1872" i="1"/>
  <c r="C1872" i="1"/>
  <c r="B1872" i="1"/>
  <c r="K1871" i="1"/>
  <c r="H1871" i="1"/>
  <c r="F1871" i="1"/>
  <c r="D1871" i="1"/>
  <c r="C1871" i="1"/>
  <c r="B1871" i="1"/>
  <c r="K1870" i="1"/>
  <c r="H1870" i="1"/>
  <c r="F1870" i="1"/>
  <c r="D1870" i="1"/>
  <c r="C1870" i="1"/>
  <c r="B1870" i="1"/>
  <c r="K1869" i="1"/>
  <c r="H1869" i="1"/>
  <c r="F1869" i="1"/>
  <c r="D1869" i="1"/>
  <c r="C1869" i="1"/>
  <c r="B1869" i="1"/>
  <c r="K1868" i="1"/>
  <c r="H1868" i="1"/>
  <c r="F1868" i="1"/>
  <c r="D1868" i="1"/>
  <c r="C1868" i="1"/>
  <c r="B1868" i="1"/>
  <c r="K1867" i="1"/>
  <c r="H1867" i="1"/>
  <c r="F1867" i="1"/>
  <c r="D1867" i="1"/>
  <c r="C1867" i="1"/>
  <c r="B1867" i="1"/>
  <c r="K1866" i="1"/>
  <c r="H1866" i="1"/>
  <c r="F1866" i="1"/>
  <c r="D1866" i="1"/>
  <c r="C1866" i="1"/>
  <c r="B1866" i="1"/>
  <c r="K1865" i="1"/>
  <c r="H1865" i="1"/>
  <c r="F1865" i="1"/>
  <c r="D1865" i="1"/>
  <c r="C1865" i="1"/>
  <c r="B1865" i="1"/>
  <c r="K1864" i="1"/>
  <c r="H1864" i="1"/>
  <c r="F1864" i="1"/>
  <c r="D1864" i="1"/>
  <c r="C1864" i="1"/>
  <c r="B1864" i="1"/>
  <c r="K1863" i="1"/>
  <c r="H1863" i="1"/>
  <c r="F1863" i="1"/>
  <c r="D1863" i="1"/>
  <c r="C1863" i="1"/>
  <c r="B1863" i="1"/>
  <c r="K1862" i="1"/>
  <c r="H1862" i="1"/>
  <c r="F1862" i="1"/>
  <c r="D1862" i="1"/>
  <c r="C1862" i="1"/>
  <c r="B1862" i="1"/>
  <c r="K1861" i="1"/>
  <c r="H1861" i="1"/>
  <c r="F1861" i="1"/>
  <c r="D1861" i="1"/>
  <c r="C1861" i="1"/>
  <c r="B1861" i="1"/>
  <c r="K1860" i="1"/>
  <c r="H1860" i="1"/>
  <c r="F1860" i="1"/>
  <c r="D1860" i="1"/>
  <c r="C1860" i="1"/>
  <c r="B1860" i="1"/>
  <c r="K1859" i="1"/>
  <c r="H1859" i="1"/>
  <c r="F1859" i="1"/>
  <c r="D1859" i="1"/>
  <c r="C1859" i="1"/>
  <c r="B1859" i="1"/>
  <c r="K1858" i="1"/>
  <c r="H1858" i="1"/>
  <c r="F1858" i="1"/>
  <c r="D1858" i="1"/>
  <c r="C1858" i="1"/>
  <c r="B1858" i="1"/>
  <c r="K1857" i="1"/>
  <c r="H1857" i="1"/>
  <c r="F1857" i="1"/>
  <c r="D1857" i="1"/>
  <c r="C1857" i="1"/>
  <c r="B1857" i="1"/>
  <c r="K1856" i="1"/>
  <c r="H1856" i="1"/>
  <c r="F1856" i="1"/>
  <c r="D1856" i="1"/>
  <c r="C1856" i="1"/>
  <c r="B1856" i="1"/>
  <c r="K1855" i="1"/>
  <c r="H1855" i="1"/>
  <c r="F1855" i="1"/>
  <c r="D1855" i="1"/>
  <c r="C1855" i="1"/>
  <c r="B1855" i="1"/>
  <c r="K1854" i="1"/>
  <c r="H1854" i="1"/>
  <c r="F1854" i="1"/>
  <c r="D1854" i="1"/>
  <c r="C1854" i="1"/>
  <c r="B1854" i="1"/>
  <c r="K1853" i="1"/>
  <c r="H1853" i="1"/>
  <c r="F1853" i="1"/>
  <c r="D1853" i="1"/>
  <c r="C1853" i="1"/>
  <c r="B1853" i="1"/>
  <c r="K1852" i="1"/>
  <c r="H1852" i="1"/>
  <c r="F1852" i="1"/>
  <c r="D1852" i="1"/>
  <c r="C1852" i="1"/>
  <c r="B1852" i="1"/>
  <c r="K1851" i="1"/>
  <c r="H1851" i="1"/>
  <c r="F1851" i="1"/>
  <c r="D1851" i="1"/>
  <c r="C1851" i="1"/>
  <c r="B1851" i="1"/>
  <c r="K1850" i="1"/>
  <c r="H1850" i="1"/>
  <c r="F1850" i="1"/>
  <c r="D1850" i="1"/>
  <c r="C1850" i="1"/>
  <c r="B1850" i="1"/>
  <c r="K1849" i="1"/>
  <c r="H1849" i="1"/>
  <c r="F1849" i="1"/>
  <c r="D1849" i="1"/>
  <c r="C1849" i="1"/>
  <c r="B1849" i="1"/>
  <c r="K1848" i="1"/>
  <c r="H1848" i="1"/>
  <c r="F1848" i="1"/>
  <c r="D1848" i="1"/>
  <c r="C1848" i="1"/>
  <c r="B1848" i="1"/>
  <c r="K1847" i="1"/>
  <c r="H1847" i="1"/>
  <c r="F1847" i="1"/>
  <c r="D1847" i="1"/>
  <c r="C1847" i="1"/>
  <c r="B1847" i="1"/>
  <c r="K1846" i="1"/>
  <c r="H1846" i="1"/>
  <c r="F1846" i="1"/>
  <c r="D1846" i="1"/>
  <c r="C1846" i="1"/>
  <c r="B1846" i="1"/>
  <c r="K1845" i="1"/>
  <c r="H1845" i="1"/>
  <c r="F1845" i="1"/>
  <c r="D1845" i="1"/>
  <c r="C1845" i="1"/>
  <c r="B1845" i="1"/>
  <c r="K1844" i="1"/>
  <c r="H1844" i="1"/>
  <c r="F1844" i="1"/>
  <c r="D1844" i="1"/>
  <c r="C1844" i="1"/>
  <c r="B1844" i="1"/>
  <c r="K1843" i="1"/>
  <c r="H1843" i="1"/>
  <c r="F1843" i="1"/>
  <c r="D1843" i="1"/>
  <c r="C1843" i="1"/>
  <c r="B1843" i="1"/>
  <c r="K1842" i="1"/>
  <c r="H1842" i="1"/>
  <c r="F1842" i="1"/>
  <c r="D1842" i="1"/>
  <c r="C1842" i="1"/>
  <c r="B1842" i="1"/>
  <c r="K1841" i="1"/>
  <c r="H1841" i="1"/>
  <c r="F1841" i="1"/>
  <c r="D1841" i="1"/>
  <c r="C1841" i="1"/>
  <c r="B1841" i="1"/>
  <c r="K1840" i="1"/>
  <c r="H1840" i="1"/>
  <c r="F1840" i="1"/>
  <c r="D1840" i="1"/>
  <c r="C1840" i="1"/>
  <c r="B1840" i="1"/>
  <c r="K1839" i="1"/>
  <c r="H1839" i="1"/>
  <c r="F1839" i="1"/>
  <c r="D1839" i="1"/>
  <c r="C1839" i="1"/>
  <c r="B1839" i="1"/>
  <c r="K1838" i="1"/>
  <c r="H1838" i="1"/>
  <c r="F1838" i="1"/>
  <c r="D1838" i="1"/>
  <c r="C1838" i="1"/>
  <c r="B1838" i="1"/>
  <c r="K1837" i="1"/>
  <c r="H1837" i="1"/>
  <c r="F1837" i="1"/>
  <c r="D1837" i="1"/>
  <c r="C1837" i="1"/>
  <c r="B1837" i="1"/>
  <c r="K1836" i="1"/>
  <c r="H1836" i="1"/>
  <c r="F1836" i="1"/>
  <c r="D1836" i="1"/>
  <c r="C1836" i="1"/>
  <c r="B1836" i="1"/>
  <c r="K1835" i="1"/>
  <c r="H1835" i="1"/>
  <c r="F1835" i="1"/>
  <c r="D1835" i="1"/>
  <c r="C1835" i="1"/>
  <c r="B1835" i="1"/>
  <c r="K1834" i="1"/>
  <c r="H1834" i="1"/>
  <c r="F1834" i="1"/>
  <c r="D1834" i="1"/>
  <c r="C1834" i="1"/>
  <c r="B1834" i="1"/>
  <c r="K1833" i="1"/>
  <c r="H1833" i="1"/>
  <c r="F1833" i="1"/>
  <c r="D1833" i="1"/>
  <c r="C1833" i="1"/>
  <c r="B1833" i="1"/>
  <c r="K1832" i="1"/>
  <c r="H1832" i="1"/>
  <c r="F1832" i="1"/>
  <c r="D1832" i="1"/>
  <c r="C1832" i="1"/>
  <c r="B1832" i="1"/>
  <c r="K1831" i="1"/>
  <c r="H1831" i="1"/>
  <c r="F1831" i="1"/>
  <c r="D1831" i="1"/>
  <c r="C1831" i="1"/>
  <c r="B1831" i="1"/>
  <c r="K1830" i="1"/>
  <c r="H1830" i="1"/>
  <c r="F1830" i="1"/>
  <c r="D1830" i="1"/>
  <c r="C1830" i="1"/>
  <c r="B1830" i="1"/>
  <c r="K1829" i="1"/>
  <c r="H1829" i="1"/>
  <c r="F1829" i="1"/>
  <c r="D1829" i="1"/>
  <c r="C1829" i="1"/>
  <c r="B1829" i="1"/>
  <c r="K1828" i="1"/>
  <c r="H1828" i="1"/>
  <c r="F1828" i="1"/>
  <c r="D1828" i="1"/>
  <c r="C1828" i="1"/>
  <c r="B1828" i="1"/>
  <c r="K1827" i="1"/>
  <c r="H1827" i="1"/>
  <c r="F1827" i="1"/>
  <c r="D1827" i="1"/>
  <c r="C1827" i="1"/>
  <c r="B1827" i="1"/>
  <c r="K1826" i="1"/>
  <c r="H1826" i="1"/>
  <c r="F1826" i="1"/>
  <c r="D1826" i="1"/>
  <c r="C1826" i="1"/>
  <c r="B1826" i="1"/>
  <c r="K1825" i="1"/>
  <c r="H1825" i="1"/>
  <c r="F1825" i="1"/>
  <c r="D1825" i="1"/>
  <c r="C1825" i="1"/>
  <c r="B1825" i="1"/>
  <c r="K1824" i="1"/>
  <c r="H1824" i="1"/>
  <c r="F1824" i="1"/>
  <c r="D1824" i="1"/>
  <c r="C1824" i="1"/>
  <c r="B1824" i="1"/>
  <c r="K1823" i="1"/>
  <c r="H1823" i="1"/>
  <c r="F1823" i="1"/>
  <c r="D1823" i="1"/>
  <c r="C1823" i="1"/>
  <c r="B1823" i="1"/>
  <c r="K1822" i="1"/>
  <c r="H1822" i="1"/>
  <c r="F1822" i="1"/>
  <c r="D1822" i="1"/>
  <c r="C1822" i="1"/>
  <c r="B1822" i="1"/>
  <c r="K1821" i="1"/>
  <c r="H1821" i="1"/>
  <c r="F1821" i="1"/>
  <c r="D1821" i="1"/>
  <c r="C1821" i="1"/>
  <c r="B1821" i="1"/>
  <c r="K1820" i="1"/>
  <c r="H1820" i="1"/>
  <c r="F1820" i="1"/>
  <c r="D1820" i="1"/>
  <c r="C1820" i="1"/>
  <c r="B1820" i="1"/>
  <c r="K1819" i="1"/>
  <c r="H1819" i="1"/>
  <c r="F1819" i="1"/>
  <c r="D1819" i="1"/>
  <c r="C1819" i="1"/>
  <c r="B1819" i="1"/>
  <c r="K1818" i="1"/>
  <c r="H1818" i="1"/>
  <c r="F1818" i="1"/>
  <c r="D1818" i="1"/>
  <c r="C1818" i="1"/>
  <c r="B1818" i="1"/>
  <c r="K1817" i="1"/>
  <c r="H1817" i="1"/>
  <c r="F1817" i="1"/>
  <c r="D1817" i="1"/>
  <c r="C1817" i="1"/>
  <c r="B1817" i="1"/>
  <c r="K1816" i="1"/>
  <c r="H1816" i="1"/>
  <c r="F1816" i="1"/>
  <c r="D1816" i="1"/>
  <c r="C1816" i="1"/>
  <c r="B1816" i="1"/>
  <c r="K1815" i="1"/>
  <c r="H1815" i="1"/>
  <c r="F1815" i="1"/>
  <c r="D1815" i="1"/>
  <c r="C1815" i="1"/>
  <c r="B1815" i="1"/>
  <c r="K1814" i="1"/>
  <c r="H1814" i="1"/>
  <c r="F1814" i="1"/>
  <c r="D1814" i="1"/>
  <c r="C1814" i="1"/>
  <c r="B1814" i="1"/>
  <c r="K1813" i="1"/>
  <c r="H1813" i="1"/>
  <c r="F1813" i="1"/>
  <c r="D1813" i="1"/>
  <c r="C1813" i="1"/>
  <c r="B1813" i="1"/>
  <c r="K1812" i="1"/>
  <c r="H1812" i="1"/>
  <c r="F1812" i="1"/>
  <c r="D1812" i="1"/>
  <c r="C1812" i="1"/>
  <c r="B1812" i="1"/>
  <c r="K1811" i="1"/>
  <c r="H1811" i="1"/>
  <c r="F1811" i="1"/>
  <c r="D1811" i="1"/>
  <c r="C1811" i="1"/>
  <c r="B1811" i="1"/>
  <c r="K1810" i="1"/>
  <c r="H1810" i="1"/>
  <c r="F1810" i="1"/>
  <c r="D1810" i="1"/>
  <c r="C1810" i="1"/>
  <c r="B1810" i="1"/>
  <c r="K1809" i="1"/>
  <c r="H1809" i="1"/>
  <c r="F1809" i="1"/>
  <c r="D1809" i="1"/>
  <c r="C1809" i="1"/>
  <c r="B1809" i="1"/>
  <c r="K1808" i="1"/>
  <c r="H1808" i="1"/>
  <c r="F1808" i="1"/>
  <c r="D1808" i="1"/>
  <c r="C1808" i="1"/>
  <c r="B1808" i="1"/>
  <c r="K1807" i="1"/>
  <c r="H1807" i="1"/>
  <c r="F1807" i="1"/>
  <c r="D1807" i="1"/>
  <c r="C1807" i="1"/>
  <c r="B1807" i="1"/>
  <c r="K1806" i="1"/>
  <c r="H1806" i="1"/>
  <c r="F1806" i="1"/>
  <c r="D1806" i="1"/>
  <c r="C1806" i="1"/>
  <c r="B1806" i="1"/>
  <c r="K1805" i="1"/>
  <c r="H1805" i="1"/>
  <c r="F1805" i="1"/>
  <c r="D1805" i="1"/>
  <c r="C1805" i="1"/>
  <c r="B1805" i="1"/>
  <c r="K1804" i="1"/>
  <c r="H1804" i="1"/>
  <c r="F1804" i="1"/>
  <c r="D1804" i="1"/>
  <c r="C1804" i="1"/>
  <c r="B1804" i="1"/>
  <c r="K1803" i="1"/>
  <c r="H1803" i="1"/>
  <c r="F1803" i="1"/>
  <c r="D1803" i="1"/>
  <c r="C1803" i="1"/>
  <c r="B1803" i="1"/>
  <c r="K1802" i="1"/>
  <c r="H1802" i="1"/>
  <c r="F1802" i="1"/>
  <c r="D1802" i="1"/>
  <c r="C1802" i="1"/>
  <c r="B1802" i="1"/>
  <c r="K1801" i="1"/>
  <c r="H1801" i="1"/>
  <c r="F1801" i="1"/>
  <c r="D1801" i="1"/>
  <c r="C1801" i="1"/>
  <c r="B1801" i="1"/>
  <c r="K1800" i="1"/>
  <c r="H1800" i="1"/>
  <c r="F1800" i="1"/>
  <c r="D1800" i="1"/>
  <c r="C1800" i="1"/>
  <c r="B1800" i="1"/>
  <c r="K1799" i="1"/>
  <c r="H1799" i="1"/>
  <c r="F1799" i="1"/>
  <c r="D1799" i="1"/>
  <c r="C1799" i="1"/>
  <c r="B1799" i="1"/>
  <c r="K1798" i="1"/>
  <c r="H1798" i="1"/>
  <c r="F1798" i="1"/>
  <c r="D1798" i="1"/>
  <c r="C1798" i="1"/>
  <c r="B1798" i="1"/>
  <c r="K1797" i="1"/>
  <c r="H1797" i="1"/>
  <c r="F1797" i="1"/>
  <c r="D1797" i="1"/>
  <c r="C1797" i="1"/>
  <c r="B1797" i="1"/>
  <c r="K1796" i="1"/>
  <c r="H1796" i="1"/>
  <c r="F1796" i="1"/>
  <c r="D1796" i="1"/>
  <c r="C1796" i="1"/>
  <c r="B1796" i="1"/>
  <c r="K1795" i="1"/>
  <c r="H1795" i="1"/>
  <c r="F1795" i="1"/>
  <c r="D1795" i="1"/>
  <c r="C1795" i="1"/>
  <c r="B1795" i="1"/>
  <c r="K1794" i="1"/>
  <c r="H1794" i="1"/>
  <c r="F1794" i="1"/>
  <c r="D1794" i="1"/>
  <c r="C1794" i="1"/>
  <c r="B1794" i="1"/>
  <c r="K1793" i="1"/>
  <c r="H1793" i="1"/>
  <c r="F1793" i="1"/>
  <c r="D1793" i="1"/>
  <c r="C1793" i="1"/>
  <c r="B1793" i="1"/>
  <c r="K1792" i="1"/>
  <c r="H1792" i="1"/>
  <c r="F1792" i="1"/>
  <c r="D1792" i="1"/>
  <c r="C1792" i="1"/>
  <c r="B1792" i="1"/>
  <c r="K1791" i="1"/>
  <c r="H1791" i="1"/>
  <c r="F1791" i="1"/>
  <c r="D1791" i="1"/>
  <c r="C1791" i="1"/>
  <c r="B1791" i="1"/>
  <c r="K1790" i="1"/>
  <c r="H1790" i="1"/>
  <c r="F1790" i="1"/>
  <c r="D1790" i="1"/>
  <c r="C1790" i="1"/>
  <c r="B1790" i="1"/>
  <c r="K1789" i="1"/>
  <c r="H1789" i="1"/>
  <c r="F1789" i="1"/>
  <c r="D1789" i="1"/>
  <c r="C1789" i="1"/>
  <c r="B1789" i="1"/>
  <c r="K1788" i="1"/>
  <c r="H1788" i="1"/>
  <c r="F1788" i="1"/>
  <c r="D1788" i="1"/>
  <c r="C1788" i="1"/>
  <c r="B1788" i="1"/>
  <c r="K1787" i="1"/>
  <c r="H1787" i="1"/>
  <c r="F1787" i="1"/>
  <c r="D1787" i="1"/>
  <c r="C1787" i="1"/>
  <c r="B1787" i="1"/>
  <c r="K1786" i="1"/>
  <c r="H1786" i="1"/>
  <c r="F1786" i="1"/>
  <c r="D1786" i="1"/>
  <c r="C1786" i="1"/>
  <c r="B1786" i="1"/>
  <c r="K1785" i="1"/>
  <c r="H1785" i="1"/>
  <c r="F1785" i="1"/>
  <c r="D1785" i="1"/>
  <c r="C1785" i="1"/>
  <c r="B1785" i="1"/>
  <c r="K1784" i="1"/>
  <c r="H1784" i="1"/>
  <c r="F1784" i="1"/>
  <c r="D1784" i="1"/>
  <c r="C1784" i="1"/>
  <c r="B1784" i="1"/>
  <c r="K1783" i="1"/>
  <c r="H1783" i="1"/>
  <c r="F1783" i="1"/>
  <c r="D1783" i="1"/>
  <c r="C1783" i="1"/>
  <c r="B1783" i="1"/>
  <c r="K1782" i="1"/>
  <c r="H1782" i="1"/>
  <c r="F1782" i="1"/>
  <c r="D1782" i="1"/>
  <c r="C1782" i="1"/>
  <c r="B1782" i="1"/>
  <c r="K1781" i="1"/>
  <c r="H1781" i="1"/>
  <c r="F1781" i="1"/>
  <c r="D1781" i="1"/>
  <c r="C1781" i="1"/>
  <c r="B1781" i="1"/>
  <c r="K1780" i="1"/>
  <c r="H1780" i="1"/>
  <c r="F1780" i="1"/>
  <c r="D1780" i="1"/>
  <c r="C1780" i="1"/>
  <c r="B1780" i="1"/>
  <c r="K1779" i="1"/>
  <c r="H1779" i="1"/>
  <c r="F1779" i="1"/>
  <c r="D1779" i="1"/>
  <c r="C1779" i="1"/>
  <c r="B1779" i="1"/>
  <c r="K1778" i="1"/>
  <c r="H1778" i="1"/>
  <c r="F1778" i="1"/>
  <c r="D1778" i="1"/>
  <c r="C1778" i="1"/>
  <c r="B1778" i="1"/>
  <c r="K1777" i="1"/>
  <c r="H1777" i="1"/>
  <c r="F1777" i="1"/>
  <c r="D1777" i="1"/>
  <c r="C1777" i="1"/>
  <c r="B1777" i="1"/>
  <c r="K1776" i="1"/>
  <c r="H1776" i="1"/>
  <c r="F1776" i="1"/>
  <c r="D1776" i="1"/>
  <c r="C1776" i="1"/>
  <c r="B1776" i="1"/>
  <c r="K1775" i="1"/>
  <c r="H1775" i="1"/>
  <c r="F1775" i="1"/>
  <c r="D1775" i="1"/>
  <c r="C1775" i="1"/>
  <c r="B1775" i="1"/>
  <c r="K1774" i="1"/>
  <c r="H1774" i="1"/>
  <c r="F1774" i="1"/>
  <c r="D1774" i="1"/>
  <c r="C1774" i="1"/>
  <c r="B1774" i="1"/>
  <c r="K1773" i="1"/>
  <c r="H1773" i="1"/>
  <c r="F1773" i="1"/>
  <c r="D1773" i="1"/>
  <c r="C1773" i="1"/>
  <c r="B1773" i="1"/>
  <c r="K1772" i="1"/>
  <c r="H1772" i="1"/>
  <c r="F1772" i="1"/>
  <c r="D1772" i="1"/>
  <c r="C1772" i="1"/>
  <c r="B1772" i="1"/>
  <c r="K1771" i="1"/>
  <c r="H1771" i="1"/>
  <c r="F1771" i="1"/>
  <c r="D1771" i="1"/>
  <c r="C1771" i="1"/>
  <c r="B1771" i="1"/>
  <c r="K1770" i="1"/>
  <c r="H1770" i="1"/>
  <c r="F1770" i="1"/>
  <c r="D1770" i="1"/>
  <c r="C1770" i="1"/>
  <c r="B1770" i="1"/>
  <c r="K1769" i="1"/>
  <c r="H1769" i="1"/>
  <c r="F1769" i="1"/>
  <c r="D1769" i="1"/>
  <c r="C1769" i="1"/>
  <c r="B1769" i="1"/>
  <c r="K1768" i="1"/>
  <c r="H1768" i="1"/>
  <c r="F1768" i="1"/>
  <c r="D1768" i="1"/>
  <c r="C1768" i="1"/>
  <c r="B1768" i="1"/>
  <c r="K1767" i="1"/>
  <c r="H1767" i="1"/>
  <c r="F1767" i="1"/>
  <c r="D1767" i="1"/>
  <c r="C1767" i="1"/>
  <c r="B1767" i="1"/>
  <c r="K1766" i="1"/>
  <c r="H1766" i="1"/>
  <c r="F1766" i="1"/>
  <c r="D1766" i="1"/>
  <c r="C1766" i="1"/>
  <c r="B1766" i="1"/>
  <c r="K1765" i="1"/>
  <c r="H1765" i="1"/>
  <c r="F1765" i="1"/>
  <c r="D1765" i="1"/>
  <c r="C1765" i="1"/>
  <c r="B1765" i="1"/>
  <c r="K1764" i="1"/>
  <c r="H1764" i="1"/>
  <c r="F1764" i="1"/>
  <c r="D1764" i="1"/>
  <c r="C1764" i="1"/>
  <c r="B1764" i="1"/>
  <c r="K1763" i="1"/>
  <c r="H1763" i="1"/>
  <c r="F1763" i="1"/>
  <c r="D1763" i="1"/>
  <c r="C1763" i="1"/>
  <c r="B1763" i="1"/>
  <c r="K1762" i="1"/>
  <c r="H1762" i="1"/>
  <c r="F1762" i="1"/>
  <c r="D1762" i="1"/>
  <c r="C1762" i="1"/>
  <c r="B1762" i="1"/>
  <c r="K1761" i="1"/>
  <c r="H1761" i="1"/>
  <c r="F1761" i="1"/>
  <c r="D1761" i="1"/>
  <c r="C1761" i="1"/>
  <c r="B1761" i="1"/>
  <c r="K1760" i="1"/>
  <c r="H1760" i="1"/>
  <c r="F1760" i="1"/>
  <c r="D1760" i="1"/>
  <c r="C1760" i="1"/>
  <c r="B1760" i="1"/>
  <c r="K1759" i="1"/>
  <c r="H1759" i="1"/>
  <c r="F1759" i="1"/>
  <c r="D1759" i="1"/>
  <c r="C1759" i="1"/>
  <c r="B1759" i="1"/>
  <c r="K1758" i="1"/>
  <c r="H1758" i="1"/>
  <c r="F1758" i="1"/>
  <c r="D1758" i="1"/>
  <c r="C1758" i="1"/>
  <c r="B1758" i="1"/>
  <c r="K1757" i="1"/>
  <c r="H1757" i="1"/>
  <c r="F1757" i="1"/>
  <c r="D1757" i="1"/>
  <c r="C1757" i="1"/>
  <c r="B1757" i="1"/>
  <c r="K1756" i="1"/>
  <c r="H1756" i="1"/>
  <c r="F1756" i="1"/>
  <c r="D1756" i="1"/>
  <c r="C1756" i="1"/>
  <c r="B1756" i="1"/>
  <c r="K1755" i="1"/>
  <c r="H1755" i="1"/>
  <c r="F1755" i="1"/>
  <c r="D1755" i="1"/>
  <c r="C1755" i="1"/>
  <c r="B1755" i="1"/>
  <c r="K1754" i="1"/>
  <c r="H1754" i="1"/>
  <c r="F1754" i="1"/>
  <c r="D1754" i="1"/>
  <c r="C1754" i="1"/>
  <c r="B1754" i="1"/>
  <c r="K1753" i="1"/>
  <c r="H1753" i="1"/>
  <c r="F1753" i="1"/>
  <c r="D1753" i="1"/>
  <c r="C1753" i="1"/>
  <c r="B1753" i="1"/>
  <c r="K1752" i="1"/>
  <c r="H1752" i="1"/>
  <c r="F1752" i="1"/>
  <c r="D1752" i="1"/>
  <c r="C1752" i="1"/>
  <c r="B1752" i="1"/>
  <c r="K1751" i="1"/>
  <c r="H1751" i="1"/>
  <c r="F1751" i="1"/>
  <c r="D1751" i="1"/>
  <c r="C1751" i="1"/>
  <c r="B1751" i="1"/>
  <c r="K1750" i="1"/>
  <c r="H1750" i="1"/>
  <c r="F1750" i="1"/>
  <c r="D1750" i="1"/>
  <c r="C1750" i="1"/>
  <c r="B1750" i="1"/>
  <c r="K1749" i="1"/>
  <c r="H1749" i="1"/>
  <c r="F1749" i="1"/>
  <c r="D1749" i="1"/>
  <c r="C1749" i="1"/>
  <c r="B1749" i="1"/>
  <c r="K1748" i="1"/>
  <c r="H1748" i="1"/>
  <c r="F1748" i="1"/>
  <c r="D1748" i="1"/>
  <c r="C1748" i="1"/>
  <c r="B1748" i="1"/>
  <c r="K1747" i="1"/>
  <c r="H1747" i="1"/>
  <c r="F1747" i="1"/>
  <c r="D1747" i="1"/>
  <c r="C1747" i="1"/>
  <c r="B1747" i="1"/>
  <c r="K1746" i="1"/>
  <c r="H1746" i="1"/>
  <c r="F1746" i="1"/>
  <c r="D1746" i="1"/>
  <c r="C1746" i="1"/>
  <c r="B1746" i="1"/>
  <c r="K1745" i="1"/>
  <c r="H1745" i="1"/>
  <c r="F1745" i="1"/>
  <c r="D1745" i="1"/>
  <c r="C1745" i="1"/>
  <c r="B1745" i="1"/>
  <c r="K1744" i="1"/>
  <c r="H1744" i="1"/>
  <c r="F1744" i="1"/>
  <c r="D1744" i="1"/>
  <c r="C1744" i="1"/>
  <c r="B1744" i="1"/>
  <c r="K1743" i="1"/>
  <c r="H1743" i="1"/>
  <c r="F1743" i="1"/>
  <c r="D1743" i="1"/>
  <c r="C1743" i="1"/>
  <c r="B1743" i="1"/>
  <c r="K1742" i="1"/>
  <c r="H1742" i="1"/>
  <c r="F1742" i="1"/>
  <c r="D1742" i="1"/>
  <c r="C1742" i="1"/>
  <c r="B1742" i="1"/>
  <c r="K1741" i="1"/>
  <c r="H1741" i="1"/>
  <c r="F1741" i="1"/>
  <c r="D1741" i="1"/>
  <c r="C1741" i="1"/>
  <c r="B1741" i="1"/>
  <c r="K1740" i="1"/>
  <c r="H1740" i="1"/>
  <c r="F1740" i="1"/>
  <c r="D1740" i="1"/>
  <c r="C1740" i="1"/>
  <c r="B1740" i="1"/>
  <c r="K1739" i="1"/>
  <c r="H1739" i="1"/>
  <c r="F1739" i="1"/>
  <c r="D1739" i="1"/>
  <c r="C1739" i="1"/>
  <c r="B1739" i="1"/>
  <c r="K1738" i="1"/>
  <c r="H1738" i="1"/>
  <c r="F1738" i="1"/>
  <c r="D1738" i="1"/>
  <c r="C1738" i="1"/>
  <c r="B1738" i="1"/>
  <c r="K1737" i="1"/>
  <c r="H1737" i="1"/>
  <c r="F1737" i="1"/>
  <c r="D1737" i="1"/>
  <c r="C1737" i="1"/>
  <c r="B1737" i="1"/>
  <c r="K1736" i="1"/>
  <c r="H1736" i="1"/>
  <c r="F1736" i="1"/>
  <c r="D1736" i="1"/>
  <c r="C1736" i="1"/>
  <c r="B1736" i="1"/>
  <c r="K1735" i="1"/>
  <c r="H1735" i="1"/>
  <c r="F1735" i="1"/>
  <c r="D1735" i="1"/>
  <c r="C1735" i="1"/>
  <c r="B1735" i="1"/>
  <c r="K1734" i="1"/>
  <c r="H1734" i="1"/>
  <c r="F1734" i="1"/>
  <c r="D1734" i="1"/>
  <c r="C1734" i="1"/>
  <c r="B1734" i="1"/>
  <c r="K1733" i="1"/>
  <c r="H1733" i="1"/>
  <c r="F1733" i="1"/>
  <c r="D1733" i="1"/>
  <c r="C1733" i="1"/>
  <c r="B1733" i="1"/>
  <c r="K1732" i="1"/>
  <c r="H1732" i="1"/>
  <c r="F1732" i="1"/>
  <c r="D1732" i="1"/>
  <c r="C1732" i="1"/>
  <c r="B1732" i="1"/>
  <c r="K1731" i="1"/>
  <c r="H1731" i="1"/>
  <c r="F1731" i="1"/>
  <c r="D1731" i="1"/>
  <c r="C1731" i="1"/>
  <c r="B1731" i="1"/>
  <c r="K1730" i="1"/>
  <c r="H1730" i="1"/>
  <c r="F1730" i="1"/>
  <c r="D1730" i="1"/>
  <c r="C1730" i="1"/>
  <c r="B1730" i="1"/>
  <c r="K1729" i="1"/>
  <c r="H1729" i="1"/>
  <c r="F1729" i="1"/>
  <c r="D1729" i="1"/>
  <c r="C1729" i="1"/>
  <c r="B1729" i="1"/>
  <c r="K1728" i="1"/>
  <c r="H1728" i="1"/>
  <c r="F1728" i="1"/>
  <c r="D1728" i="1"/>
  <c r="C1728" i="1"/>
  <c r="B1728" i="1"/>
  <c r="K1727" i="1"/>
  <c r="H1727" i="1"/>
  <c r="F1727" i="1"/>
  <c r="D1727" i="1"/>
  <c r="C1727" i="1"/>
  <c r="B1727" i="1"/>
  <c r="K1726" i="1"/>
  <c r="H1726" i="1"/>
  <c r="F1726" i="1"/>
  <c r="D1726" i="1"/>
  <c r="C1726" i="1"/>
  <c r="B1726" i="1"/>
  <c r="K1725" i="1"/>
  <c r="H1725" i="1"/>
  <c r="F1725" i="1"/>
  <c r="D1725" i="1"/>
  <c r="C1725" i="1"/>
  <c r="B1725" i="1"/>
  <c r="K1724" i="1"/>
  <c r="H1724" i="1"/>
  <c r="F1724" i="1"/>
  <c r="D1724" i="1"/>
  <c r="C1724" i="1"/>
  <c r="B1724" i="1"/>
  <c r="K1723" i="1"/>
  <c r="H1723" i="1"/>
  <c r="F1723" i="1"/>
  <c r="D1723" i="1"/>
  <c r="C1723" i="1"/>
  <c r="B1723" i="1"/>
  <c r="K1722" i="1"/>
  <c r="H1722" i="1"/>
  <c r="F1722" i="1"/>
  <c r="D1722" i="1"/>
  <c r="C1722" i="1"/>
  <c r="B1722" i="1"/>
  <c r="K1721" i="1"/>
  <c r="H1721" i="1"/>
  <c r="F1721" i="1"/>
  <c r="D1721" i="1"/>
  <c r="C1721" i="1"/>
  <c r="B1721" i="1"/>
  <c r="K1720" i="1"/>
  <c r="H1720" i="1"/>
  <c r="F1720" i="1"/>
  <c r="D1720" i="1"/>
  <c r="C1720" i="1"/>
  <c r="B1720" i="1"/>
  <c r="K1719" i="1"/>
  <c r="H1719" i="1"/>
  <c r="F1719" i="1"/>
  <c r="D1719" i="1"/>
  <c r="C1719" i="1"/>
  <c r="B1719" i="1"/>
  <c r="K1718" i="1"/>
  <c r="H1718" i="1"/>
  <c r="F1718" i="1"/>
  <c r="D1718" i="1"/>
  <c r="C1718" i="1"/>
  <c r="B1718" i="1"/>
  <c r="K1717" i="1"/>
  <c r="H1717" i="1"/>
  <c r="F1717" i="1"/>
  <c r="D1717" i="1"/>
  <c r="C1717" i="1"/>
  <c r="B1717" i="1"/>
  <c r="K1716" i="1"/>
  <c r="H1716" i="1"/>
  <c r="F1716" i="1"/>
  <c r="D1716" i="1"/>
  <c r="C1716" i="1"/>
  <c r="B1716" i="1"/>
  <c r="K1715" i="1"/>
  <c r="H1715" i="1"/>
  <c r="F1715" i="1"/>
  <c r="D1715" i="1"/>
  <c r="C1715" i="1"/>
  <c r="B1715" i="1"/>
  <c r="K1714" i="1"/>
  <c r="H1714" i="1"/>
  <c r="F1714" i="1"/>
  <c r="D1714" i="1"/>
  <c r="C1714" i="1"/>
  <c r="B1714" i="1"/>
  <c r="K1713" i="1"/>
  <c r="H1713" i="1"/>
  <c r="F1713" i="1"/>
  <c r="D1713" i="1"/>
  <c r="C1713" i="1"/>
  <c r="B1713" i="1"/>
  <c r="K1712" i="1"/>
  <c r="H1712" i="1"/>
  <c r="F1712" i="1"/>
  <c r="D1712" i="1"/>
  <c r="C1712" i="1"/>
  <c r="B1712" i="1"/>
  <c r="K1711" i="1"/>
  <c r="H1711" i="1"/>
  <c r="F1711" i="1"/>
  <c r="D1711" i="1"/>
  <c r="C1711" i="1"/>
  <c r="B1711" i="1"/>
  <c r="K1710" i="1"/>
  <c r="H1710" i="1"/>
  <c r="F1710" i="1"/>
  <c r="D1710" i="1"/>
  <c r="C1710" i="1"/>
  <c r="B1710" i="1"/>
  <c r="K1709" i="1"/>
  <c r="H1709" i="1"/>
  <c r="F1709" i="1"/>
  <c r="D1709" i="1"/>
  <c r="C1709" i="1"/>
  <c r="B1709" i="1"/>
  <c r="K1708" i="1"/>
  <c r="H1708" i="1"/>
  <c r="F1708" i="1"/>
  <c r="D1708" i="1"/>
  <c r="C1708" i="1"/>
  <c r="B1708" i="1"/>
  <c r="K1707" i="1"/>
  <c r="H1707" i="1"/>
  <c r="F1707" i="1"/>
  <c r="D1707" i="1"/>
  <c r="C1707" i="1"/>
  <c r="B1707" i="1"/>
  <c r="K1706" i="1"/>
  <c r="H1706" i="1"/>
  <c r="F1706" i="1"/>
  <c r="D1706" i="1"/>
  <c r="C1706" i="1"/>
  <c r="B1706" i="1"/>
  <c r="K1705" i="1"/>
  <c r="H1705" i="1"/>
  <c r="F1705" i="1"/>
  <c r="D1705" i="1"/>
  <c r="C1705" i="1"/>
  <c r="B1705" i="1"/>
  <c r="K1704" i="1"/>
  <c r="H1704" i="1"/>
  <c r="F1704" i="1"/>
  <c r="D1704" i="1"/>
  <c r="C1704" i="1"/>
  <c r="B1704" i="1"/>
  <c r="K1703" i="1"/>
  <c r="H1703" i="1"/>
  <c r="F1703" i="1"/>
  <c r="D1703" i="1"/>
  <c r="C1703" i="1"/>
  <c r="B1703" i="1"/>
  <c r="K1702" i="1"/>
  <c r="H1702" i="1"/>
  <c r="F1702" i="1"/>
  <c r="D1702" i="1"/>
  <c r="C1702" i="1"/>
  <c r="B1702" i="1"/>
  <c r="K1701" i="1"/>
  <c r="H1701" i="1"/>
  <c r="F1701" i="1"/>
  <c r="D1701" i="1"/>
  <c r="C1701" i="1"/>
  <c r="B1701" i="1"/>
  <c r="K1700" i="1"/>
  <c r="H1700" i="1"/>
  <c r="F1700" i="1"/>
  <c r="D1700" i="1"/>
  <c r="C1700" i="1"/>
  <c r="B1700" i="1"/>
  <c r="K1699" i="1"/>
  <c r="H1699" i="1"/>
  <c r="F1699" i="1"/>
  <c r="D1699" i="1"/>
  <c r="C1699" i="1"/>
  <c r="B1699" i="1"/>
  <c r="K1698" i="1"/>
  <c r="H1698" i="1"/>
  <c r="F1698" i="1"/>
  <c r="D1698" i="1"/>
  <c r="C1698" i="1"/>
  <c r="B1698" i="1"/>
  <c r="K1697" i="1"/>
  <c r="H1697" i="1"/>
  <c r="F1697" i="1"/>
  <c r="D1697" i="1"/>
  <c r="C1697" i="1"/>
  <c r="B1697" i="1"/>
  <c r="K1696" i="1"/>
  <c r="H1696" i="1"/>
  <c r="F1696" i="1"/>
  <c r="D1696" i="1"/>
  <c r="C1696" i="1"/>
  <c r="B1696" i="1"/>
  <c r="K1695" i="1"/>
  <c r="H1695" i="1"/>
  <c r="F1695" i="1"/>
  <c r="D1695" i="1"/>
  <c r="C1695" i="1"/>
  <c r="B1695" i="1"/>
  <c r="K1694" i="1"/>
  <c r="H1694" i="1"/>
  <c r="F1694" i="1"/>
  <c r="D1694" i="1"/>
  <c r="C1694" i="1"/>
  <c r="B1694" i="1"/>
  <c r="K1693" i="1"/>
  <c r="H1693" i="1"/>
  <c r="F1693" i="1"/>
  <c r="D1693" i="1"/>
  <c r="C1693" i="1"/>
  <c r="B1693" i="1"/>
  <c r="K1692" i="1"/>
  <c r="H1692" i="1"/>
  <c r="F1692" i="1"/>
  <c r="D1692" i="1"/>
  <c r="C1692" i="1"/>
  <c r="B1692" i="1"/>
  <c r="K1691" i="1"/>
  <c r="H1691" i="1"/>
  <c r="F1691" i="1"/>
  <c r="D1691" i="1"/>
  <c r="C1691" i="1"/>
  <c r="B1691" i="1"/>
  <c r="K1690" i="1"/>
  <c r="H1690" i="1"/>
  <c r="F1690" i="1"/>
  <c r="D1690" i="1"/>
  <c r="C1690" i="1"/>
  <c r="B1690" i="1"/>
  <c r="K1689" i="1"/>
  <c r="H1689" i="1"/>
  <c r="F1689" i="1"/>
  <c r="D1689" i="1"/>
  <c r="C1689" i="1"/>
  <c r="B1689" i="1"/>
  <c r="K1688" i="1"/>
  <c r="H1688" i="1"/>
  <c r="F1688" i="1"/>
  <c r="D1688" i="1"/>
  <c r="C1688" i="1"/>
  <c r="B1688" i="1"/>
  <c r="K1687" i="1"/>
  <c r="H1687" i="1"/>
  <c r="F1687" i="1"/>
  <c r="D1687" i="1"/>
  <c r="C1687" i="1"/>
  <c r="B1687" i="1"/>
  <c r="K1686" i="1"/>
  <c r="H1686" i="1"/>
  <c r="F1686" i="1"/>
  <c r="D1686" i="1"/>
  <c r="C1686" i="1"/>
  <c r="B1686" i="1"/>
  <c r="K1685" i="1"/>
  <c r="H1685" i="1"/>
  <c r="F1685" i="1"/>
  <c r="D1685" i="1"/>
  <c r="C1685" i="1"/>
  <c r="B1685" i="1"/>
  <c r="K1684" i="1"/>
  <c r="H1684" i="1"/>
  <c r="F1684" i="1"/>
  <c r="D1684" i="1"/>
  <c r="C1684" i="1"/>
  <c r="B1684" i="1"/>
  <c r="K1683" i="1"/>
  <c r="H1683" i="1"/>
  <c r="F1683" i="1"/>
  <c r="D1683" i="1"/>
  <c r="C1683" i="1"/>
  <c r="B1683" i="1"/>
  <c r="K1682" i="1"/>
  <c r="H1682" i="1"/>
  <c r="F1682" i="1"/>
  <c r="D1682" i="1"/>
  <c r="C1682" i="1"/>
  <c r="B1682" i="1"/>
  <c r="K1681" i="1"/>
  <c r="H1681" i="1"/>
  <c r="F1681" i="1"/>
  <c r="D1681" i="1"/>
  <c r="C1681" i="1"/>
  <c r="B1681" i="1"/>
  <c r="K1680" i="1"/>
  <c r="H1680" i="1"/>
  <c r="F1680" i="1"/>
  <c r="D1680" i="1"/>
  <c r="C1680" i="1"/>
  <c r="B1680" i="1"/>
  <c r="K1679" i="1"/>
  <c r="H1679" i="1"/>
  <c r="F1679" i="1"/>
  <c r="D1679" i="1"/>
  <c r="C1679" i="1"/>
  <c r="B1679" i="1"/>
  <c r="K1678" i="1"/>
  <c r="H1678" i="1"/>
  <c r="F1678" i="1"/>
  <c r="D1678" i="1"/>
  <c r="C1678" i="1"/>
  <c r="B1678" i="1"/>
  <c r="K1677" i="1"/>
  <c r="H1677" i="1"/>
  <c r="F1677" i="1"/>
  <c r="D1677" i="1"/>
  <c r="C1677" i="1"/>
  <c r="B1677" i="1"/>
  <c r="K1676" i="1"/>
  <c r="H1676" i="1"/>
  <c r="F1676" i="1"/>
  <c r="D1676" i="1"/>
  <c r="C1676" i="1"/>
  <c r="B1676" i="1"/>
  <c r="K1675" i="1"/>
  <c r="H1675" i="1"/>
  <c r="F1675" i="1"/>
  <c r="D1675" i="1"/>
  <c r="C1675" i="1"/>
  <c r="B1675" i="1"/>
  <c r="K1674" i="1"/>
  <c r="H1674" i="1"/>
  <c r="F1674" i="1"/>
  <c r="D1674" i="1"/>
  <c r="C1674" i="1"/>
  <c r="B1674" i="1"/>
  <c r="K1673" i="1"/>
  <c r="H1673" i="1"/>
  <c r="F1673" i="1"/>
  <c r="D1673" i="1"/>
  <c r="C1673" i="1"/>
  <c r="B1673" i="1"/>
  <c r="K1672" i="1"/>
  <c r="H1672" i="1"/>
  <c r="F1672" i="1"/>
  <c r="D1672" i="1"/>
  <c r="C1672" i="1"/>
  <c r="B1672" i="1"/>
  <c r="K1671" i="1"/>
  <c r="H1671" i="1"/>
  <c r="F1671" i="1"/>
  <c r="D1671" i="1"/>
  <c r="C1671" i="1"/>
  <c r="B1671" i="1"/>
  <c r="K1670" i="1"/>
  <c r="H1670" i="1"/>
  <c r="F1670" i="1"/>
  <c r="D1670" i="1"/>
  <c r="C1670" i="1"/>
  <c r="B1670" i="1"/>
  <c r="K1669" i="1"/>
  <c r="H1669" i="1"/>
  <c r="F1669" i="1"/>
  <c r="D1669" i="1"/>
  <c r="C1669" i="1"/>
  <c r="B1669" i="1"/>
  <c r="K1668" i="1"/>
  <c r="H1668" i="1"/>
  <c r="F1668" i="1"/>
  <c r="D1668" i="1"/>
  <c r="C1668" i="1"/>
  <c r="B1668" i="1"/>
  <c r="K1667" i="1"/>
  <c r="H1667" i="1"/>
  <c r="F1667" i="1"/>
  <c r="D1667" i="1"/>
  <c r="C1667" i="1"/>
  <c r="B1667" i="1"/>
  <c r="K1666" i="1"/>
  <c r="H1666" i="1"/>
  <c r="F1666" i="1"/>
  <c r="D1666" i="1"/>
  <c r="C1666" i="1"/>
  <c r="B1666" i="1"/>
  <c r="K1665" i="1"/>
  <c r="H1665" i="1"/>
  <c r="F1665" i="1"/>
  <c r="D1665" i="1"/>
  <c r="C1665" i="1"/>
  <c r="B1665" i="1"/>
  <c r="K1664" i="1"/>
  <c r="H1664" i="1"/>
  <c r="F1664" i="1"/>
  <c r="D1664" i="1"/>
  <c r="C1664" i="1"/>
  <c r="B1664" i="1"/>
  <c r="K1663" i="1"/>
  <c r="H1663" i="1"/>
  <c r="F1663" i="1"/>
  <c r="D1663" i="1"/>
  <c r="C1663" i="1"/>
  <c r="B1663" i="1"/>
  <c r="K1662" i="1"/>
  <c r="H1662" i="1"/>
  <c r="F1662" i="1"/>
  <c r="D1662" i="1"/>
  <c r="C1662" i="1"/>
  <c r="B1662" i="1"/>
  <c r="K1661" i="1"/>
  <c r="H1661" i="1"/>
  <c r="F1661" i="1"/>
  <c r="D1661" i="1"/>
  <c r="C1661" i="1"/>
  <c r="B1661" i="1"/>
  <c r="K1660" i="1"/>
  <c r="H1660" i="1"/>
  <c r="F1660" i="1"/>
  <c r="D1660" i="1"/>
  <c r="C1660" i="1"/>
  <c r="B1660" i="1"/>
  <c r="K1659" i="1"/>
  <c r="H1659" i="1"/>
  <c r="F1659" i="1"/>
  <c r="D1659" i="1"/>
  <c r="C1659" i="1"/>
  <c r="B1659" i="1"/>
  <c r="K1658" i="1"/>
  <c r="H1658" i="1"/>
  <c r="F1658" i="1"/>
  <c r="D1658" i="1"/>
  <c r="C1658" i="1"/>
  <c r="B1658" i="1"/>
  <c r="K1657" i="1"/>
  <c r="H1657" i="1"/>
  <c r="F1657" i="1"/>
  <c r="D1657" i="1"/>
  <c r="C1657" i="1"/>
  <c r="B1657" i="1"/>
  <c r="K1656" i="1"/>
  <c r="H1656" i="1"/>
  <c r="F1656" i="1"/>
  <c r="D1656" i="1"/>
  <c r="C1656" i="1"/>
  <c r="B1656" i="1"/>
  <c r="K1655" i="1"/>
  <c r="H1655" i="1"/>
  <c r="F1655" i="1"/>
  <c r="D1655" i="1"/>
  <c r="C1655" i="1"/>
  <c r="B1655" i="1"/>
  <c r="K1654" i="1"/>
  <c r="H1654" i="1"/>
  <c r="F1654" i="1"/>
  <c r="D1654" i="1"/>
  <c r="C1654" i="1"/>
  <c r="B1654" i="1"/>
  <c r="K1653" i="1"/>
  <c r="H1653" i="1"/>
  <c r="F1653" i="1"/>
  <c r="D1653" i="1"/>
  <c r="C1653" i="1"/>
  <c r="B1653" i="1"/>
  <c r="K1652" i="1"/>
  <c r="H1652" i="1"/>
  <c r="F1652" i="1"/>
  <c r="D1652" i="1"/>
  <c r="C1652" i="1"/>
  <c r="B1652" i="1"/>
  <c r="K1651" i="1"/>
  <c r="H1651" i="1"/>
  <c r="F1651" i="1"/>
  <c r="D1651" i="1"/>
  <c r="C1651" i="1"/>
  <c r="B1651" i="1"/>
  <c r="K1650" i="1"/>
  <c r="H1650" i="1"/>
  <c r="F1650" i="1"/>
  <c r="D1650" i="1"/>
  <c r="C1650" i="1"/>
  <c r="B1650" i="1"/>
  <c r="K1649" i="1"/>
  <c r="H1649" i="1"/>
  <c r="F1649" i="1"/>
  <c r="D1649" i="1"/>
  <c r="C1649" i="1"/>
  <c r="B1649" i="1"/>
  <c r="K1648" i="1"/>
  <c r="H1648" i="1"/>
  <c r="F1648" i="1"/>
  <c r="D1648" i="1"/>
  <c r="C1648" i="1"/>
  <c r="B1648" i="1"/>
  <c r="K1647" i="1"/>
  <c r="H1647" i="1"/>
  <c r="F1647" i="1"/>
  <c r="D1647" i="1"/>
  <c r="C1647" i="1"/>
  <c r="B1647" i="1"/>
  <c r="K1646" i="1"/>
  <c r="H1646" i="1"/>
  <c r="F1646" i="1"/>
  <c r="D1646" i="1"/>
  <c r="C1646" i="1"/>
  <c r="B1646" i="1"/>
  <c r="K1645" i="1"/>
  <c r="H1645" i="1"/>
  <c r="F1645" i="1"/>
  <c r="D1645" i="1"/>
  <c r="C1645" i="1"/>
  <c r="B1645" i="1"/>
  <c r="K1644" i="1"/>
  <c r="H1644" i="1"/>
  <c r="F1644" i="1"/>
  <c r="D1644" i="1"/>
  <c r="C1644" i="1"/>
  <c r="B1644" i="1"/>
  <c r="K1643" i="1"/>
  <c r="H1643" i="1"/>
  <c r="F1643" i="1"/>
  <c r="D1643" i="1"/>
  <c r="C1643" i="1"/>
  <c r="B1643" i="1"/>
  <c r="K1642" i="1"/>
  <c r="H1642" i="1"/>
  <c r="F1642" i="1"/>
  <c r="D1642" i="1"/>
  <c r="C1642" i="1"/>
  <c r="B1642" i="1"/>
  <c r="K1641" i="1"/>
  <c r="H1641" i="1"/>
  <c r="F1641" i="1"/>
  <c r="D1641" i="1"/>
  <c r="C1641" i="1"/>
  <c r="B1641" i="1"/>
  <c r="K1640" i="1"/>
  <c r="H1640" i="1"/>
  <c r="F1640" i="1"/>
  <c r="D1640" i="1"/>
  <c r="C1640" i="1"/>
  <c r="B1640" i="1"/>
  <c r="K1639" i="1"/>
  <c r="H1639" i="1"/>
  <c r="F1639" i="1"/>
  <c r="D1639" i="1"/>
  <c r="C1639" i="1"/>
  <c r="B1639" i="1"/>
  <c r="K1638" i="1"/>
  <c r="H1638" i="1"/>
  <c r="F1638" i="1"/>
  <c r="D1638" i="1"/>
  <c r="C1638" i="1"/>
  <c r="B1638" i="1"/>
  <c r="K1637" i="1"/>
  <c r="H1637" i="1"/>
  <c r="F1637" i="1"/>
  <c r="D1637" i="1"/>
  <c r="C1637" i="1"/>
  <c r="B1637" i="1"/>
  <c r="K1636" i="1"/>
  <c r="H1636" i="1"/>
  <c r="F1636" i="1"/>
  <c r="D1636" i="1"/>
  <c r="C1636" i="1"/>
  <c r="B1636" i="1"/>
  <c r="K1635" i="1"/>
  <c r="H1635" i="1"/>
  <c r="F1635" i="1"/>
  <c r="D1635" i="1"/>
  <c r="C1635" i="1"/>
  <c r="B1635" i="1"/>
  <c r="K1634" i="1"/>
  <c r="H1634" i="1"/>
  <c r="F1634" i="1"/>
  <c r="D1634" i="1"/>
  <c r="C1634" i="1"/>
  <c r="B1634" i="1"/>
  <c r="K1633" i="1"/>
  <c r="H1633" i="1"/>
  <c r="F1633" i="1"/>
  <c r="D1633" i="1"/>
  <c r="C1633" i="1"/>
  <c r="B1633" i="1"/>
  <c r="K1632" i="1"/>
  <c r="H1632" i="1"/>
  <c r="F1632" i="1"/>
  <c r="D1632" i="1"/>
  <c r="C1632" i="1"/>
  <c r="B1632" i="1"/>
  <c r="K1631" i="1"/>
  <c r="H1631" i="1"/>
  <c r="F1631" i="1"/>
  <c r="D1631" i="1"/>
  <c r="C1631" i="1"/>
  <c r="B1631" i="1"/>
  <c r="K1630" i="1"/>
  <c r="H1630" i="1"/>
  <c r="F1630" i="1"/>
  <c r="D1630" i="1"/>
  <c r="C1630" i="1"/>
  <c r="B1630" i="1"/>
  <c r="K1629" i="1"/>
  <c r="H1629" i="1"/>
  <c r="F1629" i="1"/>
  <c r="D1629" i="1"/>
  <c r="C1629" i="1"/>
  <c r="B1629" i="1"/>
  <c r="K1628" i="1"/>
  <c r="H1628" i="1"/>
  <c r="F1628" i="1"/>
  <c r="D1628" i="1"/>
  <c r="C1628" i="1"/>
  <c r="B1628" i="1"/>
  <c r="K1627" i="1"/>
  <c r="H1627" i="1"/>
  <c r="F1627" i="1"/>
  <c r="D1627" i="1"/>
  <c r="C1627" i="1"/>
  <c r="B1627" i="1"/>
  <c r="K1626" i="1"/>
  <c r="H1626" i="1"/>
  <c r="F1626" i="1"/>
  <c r="D1626" i="1"/>
  <c r="C1626" i="1"/>
  <c r="B1626" i="1"/>
  <c r="K1625" i="1"/>
  <c r="H1625" i="1"/>
  <c r="F1625" i="1"/>
  <c r="D1625" i="1"/>
  <c r="C1625" i="1"/>
  <c r="B1625" i="1"/>
  <c r="K1624" i="1"/>
  <c r="H1624" i="1"/>
  <c r="F1624" i="1"/>
  <c r="D1624" i="1"/>
  <c r="C1624" i="1"/>
  <c r="B1624" i="1"/>
  <c r="K1623" i="1"/>
  <c r="H1623" i="1"/>
  <c r="F1623" i="1"/>
  <c r="D1623" i="1"/>
  <c r="C1623" i="1"/>
  <c r="B1623" i="1"/>
  <c r="K1622" i="1"/>
  <c r="H1622" i="1"/>
  <c r="F1622" i="1"/>
  <c r="D1622" i="1"/>
  <c r="C1622" i="1"/>
  <c r="B1622" i="1"/>
  <c r="K1621" i="1"/>
  <c r="H1621" i="1"/>
  <c r="F1621" i="1"/>
  <c r="D1621" i="1"/>
  <c r="C1621" i="1"/>
  <c r="B1621" i="1"/>
  <c r="K1620" i="1"/>
  <c r="H1620" i="1"/>
  <c r="F1620" i="1"/>
  <c r="D1620" i="1"/>
  <c r="C1620" i="1"/>
  <c r="B1620" i="1"/>
  <c r="K1619" i="1"/>
  <c r="H1619" i="1"/>
  <c r="F1619" i="1"/>
  <c r="D1619" i="1"/>
  <c r="C1619" i="1"/>
  <c r="B1619" i="1"/>
  <c r="K1618" i="1"/>
  <c r="H1618" i="1"/>
  <c r="F1618" i="1"/>
  <c r="D1618" i="1"/>
  <c r="C1618" i="1"/>
  <c r="B1618" i="1"/>
  <c r="K1617" i="1"/>
  <c r="H1617" i="1"/>
  <c r="F1617" i="1"/>
  <c r="D1617" i="1"/>
  <c r="C1617" i="1"/>
  <c r="B1617" i="1"/>
  <c r="K1616" i="1"/>
  <c r="H1616" i="1"/>
  <c r="F1616" i="1"/>
  <c r="D1616" i="1"/>
  <c r="C1616" i="1"/>
  <c r="B1616" i="1"/>
  <c r="K1615" i="1"/>
  <c r="H1615" i="1"/>
  <c r="F1615" i="1"/>
  <c r="D1615" i="1"/>
  <c r="C1615" i="1"/>
  <c r="B1615" i="1"/>
  <c r="K1614" i="1"/>
  <c r="H1614" i="1"/>
  <c r="F1614" i="1"/>
  <c r="D1614" i="1"/>
  <c r="C1614" i="1"/>
  <c r="B1614" i="1"/>
  <c r="K1613" i="1"/>
  <c r="H1613" i="1"/>
  <c r="F1613" i="1"/>
  <c r="D1613" i="1"/>
  <c r="C1613" i="1"/>
  <c r="B1613" i="1"/>
  <c r="K1612" i="1"/>
  <c r="H1612" i="1"/>
  <c r="F1612" i="1"/>
  <c r="D1612" i="1"/>
  <c r="C1612" i="1"/>
  <c r="B1612" i="1"/>
  <c r="K1611" i="1"/>
  <c r="H1611" i="1"/>
  <c r="F1611" i="1"/>
  <c r="D1611" i="1"/>
  <c r="C1611" i="1"/>
  <c r="B1611" i="1"/>
  <c r="K1610" i="1"/>
  <c r="H1610" i="1"/>
  <c r="F1610" i="1"/>
  <c r="D1610" i="1"/>
  <c r="C1610" i="1"/>
  <c r="B1610" i="1"/>
  <c r="K1609" i="1"/>
  <c r="H1609" i="1"/>
  <c r="F1609" i="1"/>
  <c r="D1609" i="1"/>
  <c r="C1609" i="1"/>
  <c r="B1609" i="1"/>
  <c r="K1608" i="1"/>
  <c r="H1608" i="1"/>
  <c r="F1608" i="1"/>
  <c r="D1608" i="1"/>
  <c r="C1608" i="1"/>
  <c r="B1608" i="1"/>
  <c r="K1607" i="1"/>
  <c r="H1607" i="1"/>
  <c r="F1607" i="1"/>
  <c r="D1607" i="1"/>
  <c r="C1607" i="1"/>
  <c r="B1607" i="1"/>
  <c r="K1606" i="1"/>
  <c r="H1606" i="1"/>
  <c r="F1606" i="1"/>
  <c r="D1606" i="1"/>
  <c r="C1606" i="1"/>
  <c r="B1606" i="1"/>
  <c r="K1605" i="1"/>
  <c r="H1605" i="1"/>
  <c r="F1605" i="1"/>
  <c r="D1605" i="1"/>
  <c r="C1605" i="1"/>
  <c r="B1605" i="1"/>
  <c r="K1604" i="1"/>
  <c r="H1604" i="1"/>
  <c r="F1604" i="1"/>
  <c r="D1604" i="1"/>
  <c r="C1604" i="1"/>
  <c r="B1604" i="1"/>
  <c r="K1603" i="1"/>
  <c r="H1603" i="1"/>
  <c r="F1603" i="1"/>
  <c r="D1603" i="1"/>
  <c r="C1603" i="1"/>
  <c r="B1603" i="1"/>
  <c r="K1602" i="1"/>
  <c r="H1602" i="1"/>
  <c r="F1602" i="1"/>
  <c r="D1602" i="1"/>
  <c r="C1602" i="1"/>
  <c r="B1602" i="1"/>
  <c r="K1601" i="1"/>
  <c r="H1601" i="1"/>
  <c r="F1601" i="1"/>
  <c r="D1601" i="1"/>
  <c r="C1601" i="1"/>
  <c r="B1601" i="1"/>
  <c r="K1600" i="1"/>
  <c r="H1600" i="1"/>
  <c r="F1600" i="1"/>
  <c r="D1600" i="1"/>
  <c r="C1600" i="1"/>
  <c r="B1600" i="1"/>
  <c r="K1599" i="1"/>
  <c r="H1599" i="1"/>
  <c r="F1599" i="1"/>
  <c r="D1599" i="1"/>
  <c r="C1599" i="1"/>
  <c r="B1599" i="1"/>
  <c r="K1598" i="1"/>
  <c r="H1598" i="1"/>
  <c r="F1598" i="1"/>
  <c r="D1598" i="1"/>
  <c r="C1598" i="1"/>
  <c r="B1598" i="1"/>
  <c r="K1597" i="1"/>
  <c r="H1597" i="1"/>
  <c r="F1597" i="1"/>
  <c r="D1597" i="1"/>
  <c r="C1597" i="1"/>
  <c r="B1597" i="1"/>
  <c r="K1596" i="1"/>
  <c r="H1596" i="1"/>
  <c r="F1596" i="1"/>
  <c r="D1596" i="1"/>
  <c r="C1596" i="1"/>
  <c r="B1596" i="1"/>
  <c r="K1595" i="1"/>
  <c r="H1595" i="1"/>
  <c r="F1595" i="1"/>
  <c r="D1595" i="1"/>
  <c r="C1595" i="1"/>
  <c r="B1595" i="1"/>
  <c r="K1594" i="1"/>
  <c r="H1594" i="1"/>
  <c r="F1594" i="1"/>
  <c r="D1594" i="1"/>
  <c r="C1594" i="1"/>
  <c r="B1594" i="1"/>
  <c r="K1593" i="1"/>
  <c r="H1593" i="1"/>
  <c r="F1593" i="1"/>
  <c r="D1593" i="1"/>
  <c r="C1593" i="1"/>
  <c r="B1593" i="1"/>
  <c r="K1592" i="1"/>
  <c r="H1592" i="1"/>
  <c r="F1592" i="1"/>
  <c r="D1592" i="1"/>
  <c r="C1592" i="1"/>
  <c r="B1592" i="1"/>
  <c r="K1591" i="1"/>
  <c r="H1591" i="1"/>
  <c r="F1591" i="1"/>
  <c r="D1591" i="1"/>
  <c r="C1591" i="1"/>
  <c r="B1591" i="1"/>
  <c r="K1590" i="1"/>
  <c r="H1590" i="1"/>
  <c r="F1590" i="1"/>
  <c r="D1590" i="1"/>
  <c r="C1590" i="1"/>
  <c r="B1590" i="1"/>
  <c r="K1589" i="1"/>
  <c r="H1589" i="1"/>
  <c r="F1589" i="1"/>
  <c r="D1589" i="1"/>
  <c r="C1589" i="1"/>
  <c r="B1589" i="1"/>
  <c r="K1588" i="1"/>
  <c r="H1588" i="1"/>
  <c r="F1588" i="1"/>
  <c r="D1588" i="1"/>
  <c r="C1588" i="1"/>
  <c r="B1588" i="1"/>
  <c r="K1587" i="1"/>
  <c r="H1587" i="1"/>
  <c r="F1587" i="1"/>
  <c r="D1587" i="1"/>
  <c r="C1587" i="1"/>
  <c r="B1587" i="1"/>
  <c r="K1586" i="1"/>
  <c r="H1586" i="1"/>
  <c r="F1586" i="1"/>
  <c r="D1586" i="1"/>
  <c r="C1586" i="1"/>
  <c r="B1586" i="1"/>
  <c r="K1585" i="1"/>
  <c r="H1585" i="1"/>
  <c r="F1585" i="1"/>
  <c r="D1585" i="1"/>
  <c r="C1585" i="1"/>
  <c r="B1585" i="1"/>
  <c r="K1584" i="1"/>
  <c r="H1584" i="1"/>
  <c r="F1584" i="1"/>
  <c r="D1584" i="1"/>
  <c r="C1584" i="1"/>
  <c r="B1584" i="1"/>
  <c r="K1583" i="1"/>
  <c r="H1583" i="1"/>
  <c r="F1583" i="1"/>
  <c r="D1583" i="1"/>
  <c r="C1583" i="1"/>
  <c r="B1583" i="1"/>
  <c r="K1582" i="1"/>
  <c r="H1582" i="1"/>
  <c r="F1582" i="1"/>
  <c r="D1582" i="1"/>
  <c r="C1582" i="1"/>
  <c r="B1582" i="1"/>
  <c r="K1581" i="1"/>
  <c r="H1581" i="1"/>
  <c r="F1581" i="1"/>
  <c r="D1581" i="1"/>
  <c r="C1581" i="1"/>
  <c r="B1581" i="1"/>
  <c r="K1580" i="1"/>
  <c r="H1580" i="1"/>
  <c r="F1580" i="1"/>
  <c r="D1580" i="1"/>
  <c r="C1580" i="1"/>
  <c r="B1580" i="1"/>
  <c r="K1579" i="1"/>
  <c r="H1579" i="1"/>
  <c r="F1579" i="1"/>
  <c r="D1579" i="1"/>
  <c r="C1579" i="1"/>
  <c r="B1579" i="1"/>
  <c r="K1578" i="1"/>
  <c r="H1578" i="1"/>
  <c r="F1578" i="1"/>
  <c r="D1578" i="1"/>
  <c r="C1578" i="1"/>
  <c r="B1578" i="1"/>
  <c r="K1577" i="1"/>
  <c r="H1577" i="1"/>
  <c r="F1577" i="1"/>
  <c r="D1577" i="1"/>
  <c r="C1577" i="1"/>
  <c r="B1577" i="1"/>
  <c r="K1576" i="1"/>
  <c r="H1576" i="1"/>
  <c r="F1576" i="1"/>
  <c r="D1576" i="1"/>
  <c r="C1576" i="1"/>
  <c r="B1576" i="1"/>
  <c r="K1575" i="1"/>
  <c r="H1575" i="1"/>
  <c r="F1575" i="1"/>
  <c r="D1575" i="1"/>
  <c r="C1575" i="1"/>
  <c r="B1575" i="1"/>
  <c r="K1574" i="1"/>
  <c r="H1574" i="1"/>
  <c r="F1574" i="1"/>
  <c r="D1574" i="1"/>
  <c r="C1574" i="1"/>
  <c r="B1574" i="1"/>
  <c r="K1573" i="1"/>
  <c r="H1573" i="1"/>
  <c r="F1573" i="1"/>
  <c r="D1573" i="1"/>
  <c r="C1573" i="1"/>
  <c r="B1573" i="1"/>
  <c r="K1572" i="1"/>
  <c r="H1572" i="1"/>
  <c r="F1572" i="1"/>
  <c r="D1572" i="1"/>
  <c r="C1572" i="1"/>
  <c r="B1572" i="1"/>
  <c r="K1571" i="1"/>
  <c r="H1571" i="1"/>
  <c r="F1571" i="1"/>
  <c r="D1571" i="1"/>
  <c r="C1571" i="1"/>
  <c r="B1571" i="1"/>
  <c r="K1570" i="1"/>
  <c r="H1570" i="1"/>
  <c r="F1570" i="1"/>
  <c r="D1570" i="1"/>
  <c r="C1570" i="1"/>
  <c r="B1570" i="1"/>
  <c r="K1569" i="1"/>
  <c r="H1569" i="1"/>
  <c r="F1569" i="1"/>
  <c r="D1569" i="1"/>
  <c r="C1569" i="1"/>
  <c r="B1569" i="1"/>
  <c r="K1568" i="1"/>
  <c r="H1568" i="1"/>
  <c r="F1568" i="1"/>
  <c r="D1568" i="1"/>
  <c r="C1568" i="1"/>
  <c r="B1568" i="1"/>
  <c r="K1567" i="1"/>
  <c r="H1567" i="1"/>
  <c r="F1567" i="1"/>
  <c r="D1567" i="1"/>
  <c r="C1567" i="1"/>
  <c r="B1567" i="1"/>
  <c r="K1566" i="1"/>
  <c r="H1566" i="1"/>
  <c r="F1566" i="1"/>
  <c r="D1566" i="1"/>
  <c r="C1566" i="1"/>
  <c r="B1566" i="1"/>
  <c r="K1565" i="1"/>
  <c r="H1565" i="1"/>
  <c r="F1565" i="1"/>
  <c r="D1565" i="1"/>
  <c r="C1565" i="1"/>
  <c r="B1565" i="1"/>
  <c r="K1564" i="1"/>
  <c r="H1564" i="1"/>
  <c r="F1564" i="1"/>
  <c r="D1564" i="1"/>
  <c r="C1564" i="1"/>
  <c r="B1564" i="1"/>
  <c r="K1563" i="1"/>
  <c r="H1563" i="1"/>
  <c r="F1563" i="1"/>
  <c r="D1563" i="1"/>
  <c r="C1563" i="1"/>
  <c r="B1563" i="1"/>
  <c r="K1562" i="1"/>
  <c r="H1562" i="1"/>
  <c r="F1562" i="1"/>
  <c r="D1562" i="1"/>
  <c r="C1562" i="1"/>
  <c r="B1562" i="1"/>
  <c r="K1561" i="1"/>
  <c r="H1561" i="1"/>
  <c r="F1561" i="1"/>
  <c r="D1561" i="1"/>
  <c r="C1561" i="1"/>
  <c r="B1561" i="1"/>
  <c r="K1560" i="1"/>
  <c r="H1560" i="1"/>
  <c r="F1560" i="1"/>
  <c r="D1560" i="1"/>
  <c r="C1560" i="1"/>
  <c r="B1560" i="1"/>
  <c r="K1559" i="1"/>
  <c r="H1559" i="1"/>
  <c r="F1559" i="1"/>
  <c r="D1559" i="1"/>
  <c r="C1559" i="1"/>
  <c r="B1559" i="1"/>
  <c r="K1558" i="1"/>
  <c r="H1558" i="1"/>
  <c r="F1558" i="1"/>
  <c r="D1558" i="1"/>
  <c r="C1558" i="1"/>
  <c r="B1558" i="1"/>
  <c r="K1557" i="1"/>
  <c r="H1557" i="1"/>
  <c r="F1557" i="1"/>
  <c r="D1557" i="1"/>
  <c r="C1557" i="1"/>
  <c r="B1557" i="1"/>
  <c r="K1556" i="1"/>
  <c r="H1556" i="1"/>
  <c r="F1556" i="1"/>
  <c r="D1556" i="1"/>
  <c r="C1556" i="1"/>
  <c r="B1556" i="1"/>
  <c r="K1555" i="1"/>
  <c r="H1555" i="1"/>
  <c r="F1555" i="1"/>
  <c r="D1555" i="1"/>
  <c r="C1555" i="1"/>
  <c r="B1555" i="1"/>
  <c r="K1554" i="1"/>
  <c r="H1554" i="1"/>
  <c r="F1554" i="1"/>
  <c r="D1554" i="1"/>
  <c r="C1554" i="1"/>
  <c r="B1554" i="1"/>
  <c r="K1553" i="1"/>
  <c r="H1553" i="1"/>
  <c r="F1553" i="1"/>
  <c r="D1553" i="1"/>
  <c r="C1553" i="1"/>
  <c r="B1553" i="1"/>
  <c r="K1552" i="1"/>
  <c r="H1552" i="1"/>
  <c r="F1552" i="1"/>
  <c r="D1552" i="1"/>
  <c r="C1552" i="1"/>
  <c r="B1552" i="1"/>
  <c r="K1551" i="1"/>
  <c r="H1551" i="1"/>
  <c r="F1551" i="1"/>
  <c r="D1551" i="1"/>
  <c r="C1551" i="1"/>
  <c r="B1551" i="1"/>
  <c r="K1550" i="1"/>
  <c r="H1550" i="1"/>
  <c r="F1550" i="1"/>
  <c r="D1550" i="1"/>
  <c r="C1550" i="1"/>
  <c r="B1550" i="1"/>
  <c r="K1549" i="1"/>
  <c r="H1549" i="1"/>
  <c r="F1549" i="1"/>
  <c r="D1549" i="1"/>
  <c r="C1549" i="1"/>
  <c r="B1549" i="1"/>
  <c r="K1548" i="1"/>
  <c r="H1548" i="1"/>
  <c r="F1548" i="1"/>
  <c r="D1548" i="1"/>
  <c r="C1548" i="1"/>
  <c r="B1548" i="1"/>
  <c r="K1547" i="1"/>
  <c r="H1547" i="1"/>
  <c r="F1547" i="1"/>
  <c r="D1547" i="1"/>
  <c r="C1547" i="1"/>
  <c r="B1547" i="1"/>
  <c r="K1546" i="1"/>
  <c r="H1546" i="1"/>
  <c r="F1546" i="1"/>
  <c r="D1546" i="1"/>
  <c r="C1546" i="1"/>
  <c r="B1546" i="1"/>
  <c r="K1545" i="1"/>
  <c r="H1545" i="1"/>
  <c r="F1545" i="1"/>
  <c r="D1545" i="1"/>
  <c r="C1545" i="1"/>
  <c r="B1545" i="1"/>
  <c r="K1544" i="1"/>
  <c r="H1544" i="1"/>
  <c r="F1544" i="1"/>
  <c r="D1544" i="1"/>
  <c r="C1544" i="1"/>
  <c r="B1544" i="1"/>
  <c r="K1543" i="1"/>
  <c r="H1543" i="1"/>
  <c r="F1543" i="1"/>
  <c r="D1543" i="1"/>
  <c r="C1543" i="1"/>
  <c r="B1543" i="1"/>
  <c r="K1542" i="1"/>
  <c r="H1542" i="1"/>
  <c r="F1542" i="1"/>
  <c r="D1542" i="1"/>
  <c r="C1542" i="1"/>
  <c r="B1542" i="1"/>
  <c r="K1541" i="1"/>
  <c r="H1541" i="1"/>
  <c r="F1541" i="1"/>
  <c r="D1541" i="1"/>
  <c r="C1541" i="1"/>
  <c r="B1541" i="1"/>
  <c r="K1540" i="1"/>
  <c r="H1540" i="1"/>
  <c r="F1540" i="1"/>
  <c r="D1540" i="1"/>
  <c r="C1540" i="1"/>
  <c r="B1540" i="1"/>
  <c r="K1539" i="1"/>
  <c r="H1539" i="1"/>
  <c r="F1539" i="1"/>
  <c r="D1539" i="1"/>
  <c r="C1539" i="1"/>
  <c r="B1539" i="1"/>
  <c r="K1538" i="1"/>
  <c r="H1538" i="1"/>
  <c r="F1538" i="1"/>
  <c r="D1538" i="1"/>
  <c r="C1538" i="1"/>
  <c r="B1538" i="1"/>
  <c r="K1537" i="1"/>
  <c r="H1537" i="1"/>
  <c r="F1537" i="1"/>
  <c r="D1537" i="1"/>
  <c r="C1537" i="1"/>
  <c r="B1537" i="1"/>
  <c r="K1536" i="1"/>
  <c r="H1536" i="1"/>
  <c r="F1536" i="1"/>
  <c r="D1536" i="1"/>
  <c r="C1536" i="1"/>
  <c r="B1536" i="1"/>
  <c r="K1535" i="1"/>
  <c r="H1535" i="1"/>
  <c r="F1535" i="1"/>
  <c r="D1535" i="1"/>
  <c r="C1535" i="1"/>
  <c r="B1535" i="1"/>
  <c r="K1534" i="1"/>
  <c r="H1534" i="1"/>
  <c r="F1534" i="1"/>
  <c r="D1534" i="1"/>
  <c r="C1534" i="1"/>
  <c r="B1534" i="1"/>
  <c r="K1533" i="1"/>
  <c r="H1533" i="1"/>
  <c r="F1533" i="1"/>
  <c r="D1533" i="1"/>
  <c r="C1533" i="1"/>
  <c r="B1533" i="1"/>
  <c r="K1532" i="1"/>
  <c r="H1532" i="1"/>
  <c r="F1532" i="1"/>
  <c r="D1532" i="1"/>
  <c r="C1532" i="1"/>
  <c r="B1532" i="1"/>
  <c r="K1531" i="1"/>
  <c r="H1531" i="1"/>
  <c r="F1531" i="1"/>
  <c r="D1531" i="1"/>
  <c r="C1531" i="1"/>
  <c r="B1531" i="1"/>
  <c r="K1530" i="1"/>
  <c r="H1530" i="1"/>
  <c r="F1530" i="1"/>
  <c r="D1530" i="1"/>
  <c r="C1530" i="1"/>
  <c r="B1530" i="1"/>
  <c r="K1529" i="1"/>
  <c r="H1529" i="1"/>
  <c r="F1529" i="1"/>
  <c r="D1529" i="1"/>
  <c r="C1529" i="1"/>
  <c r="B1529" i="1"/>
  <c r="K1528" i="1"/>
  <c r="H1528" i="1"/>
  <c r="F1528" i="1"/>
  <c r="D1528" i="1"/>
  <c r="C1528" i="1"/>
  <c r="B1528" i="1"/>
  <c r="K1527" i="1"/>
  <c r="H1527" i="1"/>
  <c r="F1527" i="1"/>
  <c r="D1527" i="1"/>
  <c r="C1527" i="1"/>
  <c r="B1527" i="1"/>
  <c r="K1526" i="1"/>
  <c r="H1526" i="1"/>
  <c r="F1526" i="1"/>
  <c r="D1526" i="1"/>
  <c r="C1526" i="1"/>
  <c r="B1526" i="1"/>
  <c r="K1525" i="1"/>
  <c r="H1525" i="1"/>
  <c r="F1525" i="1"/>
  <c r="D1525" i="1"/>
  <c r="C1525" i="1"/>
  <c r="B1525" i="1"/>
  <c r="K1524" i="1"/>
  <c r="H1524" i="1"/>
  <c r="F1524" i="1"/>
  <c r="D1524" i="1"/>
  <c r="C1524" i="1"/>
  <c r="B1524" i="1"/>
  <c r="K1523" i="1"/>
  <c r="H1523" i="1"/>
  <c r="F1523" i="1"/>
  <c r="D1523" i="1"/>
  <c r="C1523" i="1"/>
  <c r="B1523" i="1"/>
  <c r="K1522" i="1"/>
  <c r="H1522" i="1"/>
  <c r="F1522" i="1"/>
  <c r="D1522" i="1"/>
  <c r="C1522" i="1"/>
  <c r="B1522" i="1"/>
  <c r="K1521" i="1"/>
  <c r="H1521" i="1"/>
  <c r="F1521" i="1"/>
  <c r="D1521" i="1"/>
  <c r="C1521" i="1"/>
  <c r="B1521" i="1"/>
  <c r="K1520" i="1"/>
  <c r="H1520" i="1"/>
  <c r="F1520" i="1"/>
  <c r="D1520" i="1"/>
  <c r="C1520" i="1"/>
  <c r="B1520" i="1"/>
  <c r="K1519" i="1"/>
  <c r="H1519" i="1"/>
  <c r="F1519" i="1"/>
  <c r="D1519" i="1"/>
  <c r="C1519" i="1"/>
  <c r="B1519" i="1"/>
  <c r="K1518" i="1"/>
  <c r="H1518" i="1"/>
  <c r="F1518" i="1"/>
  <c r="D1518" i="1"/>
  <c r="C1518" i="1"/>
  <c r="B1518" i="1"/>
  <c r="K1517" i="1"/>
  <c r="H1517" i="1"/>
  <c r="F1517" i="1"/>
  <c r="D1517" i="1"/>
  <c r="C1517" i="1"/>
  <c r="B1517" i="1"/>
  <c r="K1516" i="1"/>
  <c r="H1516" i="1"/>
  <c r="F1516" i="1"/>
  <c r="D1516" i="1"/>
  <c r="C1516" i="1"/>
  <c r="B1516" i="1"/>
  <c r="K1515" i="1"/>
  <c r="H1515" i="1"/>
  <c r="F1515" i="1"/>
  <c r="D1515" i="1"/>
  <c r="C1515" i="1"/>
  <c r="B1515" i="1"/>
  <c r="K1514" i="1"/>
  <c r="H1514" i="1"/>
  <c r="F1514" i="1"/>
  <c r="D1514" i="1"/>
  <c r="C1514" i="1"/>
  <c r="B1514" i="1"/>
  <c r="K1513" i="1"/>
  <c r="H1513" i="1"/>
  <c r="F1513" i="1"/>
  <c r="D1513" i="1"/>
  <c r="C1513" i="1"/>
  <c r="B1513" i="1"/>
  <c r="K1512" i="1"/>
  <c r="H1512" i="1"/>
  <c r="F1512" i="1"/>
  <c r="D1512" i="1"/>
  <c r="C1512" i="1"/>
  <c r="B1512" i="1"/>
  <c r="K1511" i="1"/>
  <c r="H1511" i="1"/>
  <c r="F1511" i="1"/>
  <c r="D1511" i="1"/>
  <c r="C1511" i="1"/>
  <c r="B1511" i="1"/>
  <c r="K1510" i="1"/>
  <c r="H1510" i="1"/>
  <c r="F1510" i="1"/>
  <c r="D1510" i="1"/>
  <c r="C1510" i="1"/>
  <c r="B1510" i="1"/>
  <c r="K1509" i="1"/>
  <c r="H1509" i="1"/>
  <c r="F1509" i="1"/>
  <c r="D1509" i="1"/>
  <c r="C1509" i="1"/>
  <c r="B1509" i="1"/>
  <c r="K1508" i="1"/>
  <c r="H1508" i="1"/>
  <c r="F1508" i="1"/>
  <c r="D1508" i="1"/>
  <c r="C1508" i="1"/>
  <c r="B1508" i="1"/>
  <c r="K1507" i="1"/>
  <c r="H1507" i="1"/>
  <c r="F1507" i="1"/>
  <c r="D1507" i="1"/>
  <c r="C1507" i="1"/>
  <c r="B1507" i="1"/>
  <c r="K1506" i="1"/>
  <c r="H1506" i="1"/>
  <c r="F1506" i="1"/>
  <c r="D1506" i="1"/>
  <c r="C1506" i="1"/>
  <c r="B1506" i="1"/>
  <c r="K1505" i="1"/>
  <c r="H1505" i="1"/>
  <c r="F1505" i="1"/>
  <c r="D1505" i="1"/>
  <c r="C1505" i="1"/>
  <c r="B1505" i="1"/>
  <c r="K1504" i="1"/>
  <c r="H1504" i="1"/>
  <c r="F1504" i="1"/>
  <c r="D1504" i="1"/>
  <c r="C1504" i="1"/>
  <c r="B1504" i="1"/>
  <c r="K1503" i="1"/>
  <c r="H1503" i="1"/>
  <c r="F1503" i="1"/>
  <c r="D1503" i="1"/>
  <c r="C1503" i="1"/>
  <c r="B1503" i="1"/>
  <c r="K1502" i="1"/>
  <c r="H1502" i="1"/>
  <c r="F1502" i="1"/>
  <c r="D1502" i="1"/>
  <c r="C1502" i="1"/>
  <c r="B1502" i="1"/>
  <c r="K1501" i="1"/>
  <c r="H1501" i="1"/>
  <c r="F1501" i="1"/>
  <c r="D1501" i="1"/>
  <c r="C1501" i="1"/>
  <c r="B1501" i="1"/>
  <c r="K1500" i="1"/>
  <c r="H1500" i="1"/>
  <c r="F1500" i="1"/>
  <c r="D1500" i="1"/>
  <c r="C1500" i="1"/>
  <c r="B1500" i="1"/>
  <c r="K1499" i="1"/>
  <c r="H1499" i="1"/>
  <c r="F1499" i="1"/>
  <c r="D1499" i="1"/>
  <c r="C1499" i="1"/>
  <c r="B1499" i="1"/>
  <c r="K1498" i="1"/>
  <c r="H1498" i="1"/>
  <c r="F1498" i="1"/>
  <c r="D1498" i="1"/>
  <c r="C1498" i="1"/>
  <c r="B1498" i="1"/>
  <c r="K1497" i="1"/>
  <c r="H1497" i="1"/>
  <c r="F1497" i="1"/>
  <c r="D1497" i="1"/>
  <c r="C1497" i="1"/>
  <c r="B1497" i="1"/>
  <c r="K1496" i="1"/>
  <c r="H1496" i="1"/>
  <c r="F1496" i="1"/>
  <c r="D1496" i="1"/>
  <c r="C1496" i="1"/>
  <c r="B1496" i="1"/>
  <c r="K1495" i="1"/>
  <c r="H1495" i="1"/>
  <c r="F1495" i="1"/>
  <c r="D1495" i="1"/>
  <c r="C1495" i="1"/>
  <c r="B1495" i="1"/>
  <c r="K1494" i="1"/>
  <c r="H1494" i="1"/>
  <c r="F1494" i="1"/>
  <c r="D1494" i="1"/>
  <c r="C1494" i="1"/>
  <c r="B1494" i="1"/>
  <c r="K1493" i="1"/>
  <c r="H1493" i="1"/>
  <c r="F1493" i="1"/>
  <c r="D1493" i="1"/>
  <c r="C1493" i="1"/>
  <c r="B1493" i="1"/>
  <c r="K1492" i="1"/>
  <c r="H1492" i="1"/>
  <c r="F1492" i="1"/>
  <c r="D1492" i="1"/>
  <c r="C1492" i="1"/>
  <c r="B1492" i="1"/>
  <c r="K1491" i="1"/>
  <c r="H1491" i="1"/>
  <c r="F1491" i="1"/>
  <c r="D1491" i="1"/>
  <c r="C1491" i="1"/>
  <c r="B1491" i="1"/>
  <c r="K1490" i="1"/>
  <c r="H1490" i="1"/>
  <c r="F1490" i="1"/>
  <c r="D1490" i="1"/>
  <c r="C1490" i="1"/>
  <c r="B1490" i="1"/>
  <c r="K1489" i="1"/>
  <c r="H1489" i="1"/>
  <c r="F1489" i="1"/>
  <c r="D1489" i="1"/>
  <c r="C1489" i="1"/>
  <c r="B1489" i="1"/>
  <c r="K1488" i="1"/>
  <c r="H1488" i="1"/>
  <c r="F1488" i="1"/>
  <c r="D1488" i="1"/>
  <c r="C1488" i="1"/>
  <c r="B1488" i="1"/>
  <c r="K1487" i="1"/>
  <c r="H1487" i="1"/>
  <c r="F1487" i="1"/>
  <c r="D1487" i="1"/>
  <c r="C1487" i="1"/>
  <c r="B1487" i="1"/>
  <c r="K1486" i="1"/>
  <c r="H1486" i="1"/>
  <c r="F1486" i="1"/>
  <c r="D1486" i="1"/>
  <c r="C1486" i="1"/>
  <c r="B1486" i="1"/>
  <c r="K1485" i="1"/>
  <c r="H1485" i="1"/>
  <c r="F1485" i="1"/>
  <c r="D1485" i="1"/>
  <c r="C1485" i="1"/>
  <c r="B1485" i="1"/>
  <c r="K1484" i="1"/>
  <c r="H1484" i="1"/>
  <c r="F1484" i="1"/>
  <c r="D1484" i="1"/>
  <c r="C1484" i="1"/>
  <c r="B1484" i="1"/>
  <c r="K1483" i="1"/>
  <c r="H1483" i="1"/>
  <c r="F1483" i="1"/>
  <c r="D1483" i="1"/>
  <c r="C1483" i="1"/>
  <c r="B1483" i="1"/>
  <c r="K1482" i="1"/>
  <c r="H1482" i="1"/>
  <c r="F1482" i="1"/>
  <c r="D1482" i="1"/>
  <c r="C1482" i="1"/>
  <c r="B1482" i="1"/>
  <c r="K1481" i="1"/>
  <c r="H1481" i="1"/>
  <c r="F1481" i="1"/>
  <c r="D1481" i="1"/>
  <c r="C1481" i="1"/>
  <c r="B1481" i="1"/>
  <c r="K1480" i="1"/>
  <c r="H1480" i="1"/>
  <c r="F1480" i="1"/>
  <c r="D1480" i="1"/>
  <c r="C1480" i="1"/>
  <c r="B1480" i="1"/>
  <c r="K1479" i="1"/>
  <c r="H1479" i="1"/>
  <c r="F1479" i="1"/>
  <c r="D1479" i="1"/>
  <c r="C1479" i="1"/>
  <c r="B1479" i="1"/>
  <c r="K1478" i="1"/>
  <c r="H1478" i="1"/>
  <c r="F1478" i="1"/>
  <c r="D1478" i="1"/>
  <c r="C1478" i="1"/>
  <c r="B1478" i="1"/>
  <c r="K1477" i="1"/>
  <c r="H1477" i="1"/>
  <c r="F1477" i="1"/>
  <c r="D1477" i="1"/>
  <c r="C1477" i="1"/>
  <c r="B1477" i="1"/>
  <c r="K1476" i="1"/>
  <c r="H1476" i="1"/>
  <c r="F1476" i="1"/>
  <c r="D1476" i="1"/>
  <c r="C1476" i="1"/>
  <c r="B1476" i="1"/>
  <c r="K1475" i="1"/>
  <c r="H1475" i="1"/>
  <c r="F1475" i="1"/>
  <c r="D1475" i="1"/>
  <c r="C1475" i="1"/>
  <c r="B1475" i="1"/>
  <c r="K1474" i="1"/>
  <c r="H1474" i="1"/>
  <c r="F1474" i="1"/>
  <c r="D1474" i="1"/>
  <c r="C1474" i="1"/>
  <c r="B1474" i="1"/>
  <c r="K1473" i="1"/>
  <c r="H1473" i="1"/>
  <c r="F1473" i="1"/>
  <c r="D1473" i="1"/>
  <c r="C1473" i="1"/>
  <c r="B1473" i="1"/>
  <c r="K1472" i="1"/>
  <c r="H1472" i="1"/>
  <c r="F1472" i="1"/>
  <c r="D1472" i="1"/>
  <c r="C1472" i="1"/>
  <c r="B1472" i="1"/>
  <c r="K1471" i="1"/>
  <c r="H1471" i="1"/>
  <c r="F1471" i="1"/>
  <c r="D1471" i="1"/>
  <c r="C1471" i="1"/>
  <c r="B1471" i="1"/>
  <c r="K1470" i="1"/>
  <c r="H1470" i="1"/>
  <c r="F1470" i="1"/>
  <c r="D1470" i="1"/>
  <c r="C1470" i="1"/>
  <c r="B1470" i="1"/>
  <c r="K1469" i="1"/>
  <c r="H1469" i="1"/>
  <c r="F1469" i="1"/>
  <c r="D1469" i="1"/>
  <c r="C1469" i="1"/>
  <c r="B1469" i="1"/>
  <c r="K1468" i="1"/>
  <c r="H1468" i="1"/>
  <c r="F1468" i="1"/>
  <c r="D1468" i="1"/>
  <c r="C1468" i="1"/>
  <c r="B1468" i="1"/>
  <c r="K1467" i="1"/>
  <c r="H1467" i="1"/>
  <c r="F1467" i="1"/>
  <c r="D1467" i="1"/>
  <c r="C1467" i="1"/>
  <c r="B1467" i="1"/>
  <c r="K1466" i="1"/>
  <c r="H1466" i="1"/>
  <c r="F1466" i="1"/>
  <c r="D1466" i="1"/>
  <c r="C1466" i="1"/>
  <c r="B1466" i="1"/>
  <c r="K1465" i="1"/>
  <c r="H1465" i="1"/>
  <c r="F1465" i="1"/>
  <c r="D1465" i="1"/>
  <c r="C1465" i="1"/>
  <c r="B1465" i="1"/>
  <c r="K1464" i="1"/>
  <c r="H1464" i="1"/>
  <c r="F1464" i="1"/>
  <c r="D1464" i="1"/>
  <c r="C1464" i="1"/>
  <c r="B1464" i="1"/>
  <c r="K1463" i="1"/>
  <c r="H1463" i="1"/>
  <c r="F1463" i="1"/>
  <c r="D1463" i="1"/>
  <c r="C1463" i="1"/>
  <c r="B1463" i="1"/>
  <c r="K1462" i="1"/>
  <c r="H1462" i="1"/>
  <c r="F1462" i="1"/>
  <c r="D1462" i="1"/>
  <c r="C1462" i="1"/>
  <c r="B1462" i="1"/>
  <c r="K1461" i="1"/>
  <c r="H1461" i="1"/>
  <c r="F1461" i="1"/>
  <c r="D1461" i="1"/>
  <c r="C1461" i="1"/>
  <c r="B1461" i="1"/>
  <c r="K1460" i="1"/>
  <c r="H1460" i="1"/>
  <c r="F1460" i="1"/>
  <c r="D1460" i="1"/>
  <c r="C1460" i="1"/>
  <c r="B1460" i="1"/>
  <c r="K1459" i="1"/>
  <c r="H1459" i="1"/>
  <c r="F1459" i="1"/>
  <c r="D1459" i="1"/>
  <c r="C1459" i="1"/>
  <c r="B1459" i="1"/>
  <c r="K1458" i="1"/>
  <c r="H1458" i="1"/>
  <c r="F1458" i="1"/>
  <c r="D1458" i="1"/>
  <c r="C1458" i="1"/>
  <c r="B1458" i="1"/>
  <c r="K1457" i="1"/>
  <c r="H1457" i="1"/>
  <c r="F1457" i="1"/>
  <c r="D1457" i="1"/>
  <c r="C1457" i="1"/>
  <c r="B1457" i="1"/>
  <c r="K1456" i="1"/>
  <c r="H1456" i="1"/>
  <c r="F1456" i="1"/>
  <c r="D1456" i="1"/>
  <c r="C1456" i="1"/>
  <c r="B1456" i="1"/>
  <c r="K1455" i="1"/>
  <c r="H1455" i="1"/>
  <c r="F1455" i="1"/>
  <c r="D1455" i="1"/>
  <c r="C1455" i="1"/>
  <c r="B1455" i="1"/>
  <c r="K1454" i="1"/>
  <c r="H1454" i="1"/>
  <c r="F1454" i="1"/>
  <c r="D1454" i="1"/>
  <c r="C1454" i="1"/>
  <c r="B1454" i="1"/>
  <c r="K1453" i="1"/>
  <c r="H1453" i="1"/>
  <c r="F1453" i="1"/>
  <c r="D1453" i="1"/>
  <c r="C1453" i="1"/>
  <c r="B1453" i="1"/>
  <c r="K1452" i="1"/>
  <c r="H1452" i="1"/>
  <c r="F1452" i="1"/>
  <c r="D1452" i="1"/>
  <c r="C1452" i="1"/>
  <c r="B1452" i="1"/>
  <c r="K1451" i="1"/>
  <c r="H1451" i="1"/>
  <c r="F1451" i="1"/>
  <c r="D1451" i="1"/>
  <c r="C1451" i="1"/>
  <c r="B1451" i="1"/>
  <c r="K1450" i="1"/>
  <c r="H1450" i="1"/>
  <c r="F1450" i="1"/>
  <c r="D1450" i="1"/>
  <c r="C1450" i="1"/>
  <c r="B1450" i="1"/>
  <c r="K1449" i="1"/>
  <c r="H1449" i="1"/>
  <c r="F1449" i="1"/>
  <c r="D1449" i="1"/>
  <c r="C1449" i="1"/>
  <c r="B1449" i="1"/>
  <c r="K1448" i="1"/>
  <c r="H1448" i="1"/>
  <c r="F1448" i="1"/>
  <c r="D1448" i="1"/>
  <c r="C1448" i="1"/>
  <c r="B1448" i="1"/>
  <c r="K1447" i="1"/>
  <c r="H1447" i="1"/>
  <c r="F1447" i="1"/>
  <c r="D1447" i="1"/>
  <c r="C1447" i="1"/>
  <c r="B1447" i="1"/>
  <c r="K1446" i="1"/>
  <c r="H1446" i="1"/>
  <c r="F1446" i="1"/>
  <c r="D1446" i="1"/>
  <c r="C1446" i="1"/>
  <c r="B1446" i="1"/>
  <c r="K1445" i="1"/>
  <c r="H1445" i="1"/>
  <c r="F1445" i="1"/>
  <c r="D1445" i="1"/>
  <c r="C1445" i="1"/>
  <c r="B1445" i="1"/>
  <c r="K1444" i="1"/>
  <c r="H1444" i="1"/>
  <c r="F1444" i="1"/>
  <c r="D1444" i="1"/>
  <c r="C1444" i="1"/>
  <c r="B1444" i="1"/>
  <c r="K1443" i="1"/>
  <c r="H1443" i="1"/>
  <c r="F1443" i="1"/>
  <c r="D1443" i="1"/>
  <c r="C1443" i="1"/>
  <c r="B1443" i="1"/>
  <c r="K1442" i="1"/>
  <c r="H1442" i="1"/>
  <c r="F1442" i="1"/>
  <c r="D1442" i="1"/>
  <c r="C1442" i="1"/>
  <c r="B1442" i="1"/>
  <c r="K1441" i="1"/>
  <c r="H1441" i="1"/>
  <c r="F1441" i="1"/>
  <c r="D1441" i="1"/>
  <c r="C1441" i="1"/>
  <c r="B1441" i="1"/>
  <c r="K1440" i="1"/>
  <c r="H1440" i="1"/>
  <c r="F1440" i="1"/>
  <c r="D1440" i="1"/>
  <c r="C1440" i="1"/>
  <c r="B1440" i="1"/>
  <c r="K1439" i="1"/>
  <c r="H1439" i="1"/>
  <c r="F1439" i="1"/>
  <c r="D1439" i="1"/>
  <c r="C1439" i="1"/>
  <c r="B1439" i="1"/>
  <c r="K1438" i="1"/>
  <c r="H1438" i="1"/>
  <c r="F1438" i="1"/>
  <c r="D1438" i="1"/>
  <c r="C1438" i="1"/>
  <c r="B1438" i="1"/>
  <c r="K1437" i="1"/>
  <c r="H1437" i="1"/>
  <c r="F1437" i="1"/>
  <c r="D1437" i="1"/>
  <c r="C1437" i="1"/>
  <c r="B1437" i="1"/>
  <c r="K1436" i="1"/>
  <c r="H1436" i="1"/>
  <c r="F1436" i="1"/>
  <c r="D1436" i="1"/>
  <c r="C1436" i="1"/>
  <c r="B1436" i="1"/>
  <c r="K1435" i="1"/>
  <c r="H1435" i="1"/>
  <c r="F1435" i="1"/>
  <c r="D1435" i="1"/>
  <c r="C1435" i="1"/>
  <c r="B1435" i="1"/>
  <c r="K1434" i="1"/>
  <c r="H1434" i="1"/>
  <c r="F1434" i="1"/>
  <c r="D1434" i="1"/>
  <c r="C1434" i="1"/>
  <c r="B1434" i="1"/>
  <c r="K1433" i="1"/>
  <c r="H1433" i="1"/>
  <c r="F1433" i="1"/>
  <c r="D1433" i="1"/>
  <c r="C1433" i="1"/>
  <c r="B1433" i="1"/>
  <c r="K1432" i="1"/>
  <c r="H1432" i="1"/>
  <c r="F1432" i="1"/>
  <c r="D1432" i="1"/>
  <c r="C1432" i="1"/>
  <c r="B1432" i="1"/>
  <c r="K1431" i="1"/>
  <c r="H1431" i="1"/>
  <c r="F1431" i="1"/>
  <c r="D1431" i="1"/>
  <c r="C1431" i="1"/>
  <c r="B1431" i="1"/>
  <c r="K1430" i="1"/>
  <c r="H1430" i="1"/>
  <c r="F1430" i="1"/>
  <c r="D1430" i="1"/>
  <c r="C1430" i="1"/>
  <c r="B1430" i="1"/>
  <c r="K1429" i="1"/>
  <c r="H1429" i="1"/>
  <c r="F1429" i="1"/>
  <c r="D1429" i="1"/>
  <c r="C1429" i="1"/>
  <c r="B1429" i="1"/>
  <c r="K1428" i="1"/>
  <c r="H1428" i="1"/>
  <c r="F1428" i="1"/>
  <c r="D1428" i="1"/>
  <c r="C1428" i="1"/>
  <c r="B1428" i="1"/>
  <c r="K1427" i="1"/>
  <c r="H1427" i="1"/>
  <c r="F1427" i="1"/>
  <c r="D1427" i="1"/>
  <c r="C1427" i="1"/>
  <c r="B1427" i="1"/>
  <c r="K1426" i="1"/>
  <c r="H1426" i="1"/>
  <c r="F1426" i="1"/>
  <c r="D1426" i="1"/>
  <c r="C1426" i="1"/>
  <c r="B1426" i="1"/>
  <c r="K1425" i="1"/>
  <c r="H1425" i="1"/>
  <c r="F1425" i="1"/>
  <c r="D1425" i="1"/>
  <c r="C1425" i="1"/>
  <c r="B1425" i="1"/>
  <c r="K1424" i="1"/>
  <c r="H1424" i="1"/>
  <c r="F1424" i="1"/>
  <c r="D1424" i="1"/>
  <c r="C1424" i="1"/>
  <c r="B1424" i="1"/>
  <c r="K1423" i="1"/>
  <c r="H1423" i="1"/>
  <c r="F1423" i="1"/>
  <c r="D1423" i="1"/>
  <c r="C1423" i="1"/>
  <c r="B1423" i="1"/>
  <c r="K1422" i="1"/>
  <c r="H1422" i="1"/>
  <c r="F1422" i="1"/>
  <c r="D1422" i="1"/>
  <c r="C1422" i="1"/>
  <c r="B1422" i="1"/>
  <c r="K1421" i="1"/>
  <c r="H1421" i="1"/>
  <c r="F1421" i="1"/>
  <c r="D1421" i="1"/>
  <c r="C1421" i="1"/>
  <c r="B1421" i="1"/>
  <c r="K1420" i="1"/>
  <c r="H1420" i="1"/>
  <c r="F1420" i="1"/>
  <c r="D1420" i="1"/>
  <c r="C1420" i="1"/>
  <c r="B1420" i="1"/>
  <c r="K1419" i="1"/>
  <c r="H1419" i="1"/>
  <c r="F1419" i="1"/>
  <c r="D1419" i="1"/>
  <c r="C1419" i="1"/>
  <c r="B1419" i="1"/>
  <c r="K1418" i="1"/>
  <c r="H1418" i="1"/>
  <c r="F1418" i="1"/>
  <c r="D1418" i="1"/>
  <c r="C1418" i="1"/>
  <c r="B1418" i="1"/>
  <c r="K1417" i="1"/>
  <c r="H1417" i="1"/>
  <c r="F1417" i="1"/>
  <c r="D1417" i="1"/>
  <c r="C1417" i="1"/>
  <c r="B1417" i="1"/>
  <c r="K1416" i="1"/>
  <c r="H1416" i="1"/>
  <c r="F1416" i="1"/>
  <c r="D1416" i="1"/>
  <c r="C1416" i="1"/>
  <c r="B1416" i="1"/>
  <c r="K1415" i="1"/>
  <c r="H1415" i="1"/>
  <c r="F1415" i="1"/>
  <c r="D1415" i="1"/>
  <c r="C1415" i="1"/>
  <c r="B1415" i="1"/>
  <c r="K1414" i="1"/>
  <c r="H1414" i="1"/>
  <c r="F1414" i="1"/>
  <c r="D1414" i="1"/>
  <c r="C1414" i="1"/>
  <c r="B1414" i="1"/>
  <c r="K1413" i="1"/>
  <c r="H1413" i="1"/>
  <c r="F1413" i="1"/>
  <c r="D1413" i="1"/>
  <c r="C1413" i="1"/>
  <c r="B1413" i="1"/>
  <c r="K1412" i="1"/>
  <c r="H1412" i="1"/>
  <c r="F1412" i="1"/>
  <c r="D1412" i="1"/>
  <c r="C1412" i="1"/>
  <c r="B1412" i="1"/>
  <c r="K1411" i="1"/>
  <c r="H1411" i="1"/>
  <c r="F1411" i="1"/>
  <c r="D1411" i="1"/>
  <c r="C1411" i="1"/>
  <c r="B1411" i="1"/>
  <c r="K1410" i="1"/>
  <c r="H1410" i="1"/>
  <c r="F1410" i="1"/>
  <c r="D1410" i="1"/>
  <c r="C1410" i="1"/>
  <c r="B1410" i="1"/>
  <c r="K1409" i="1"/>
  <c r="H1409" i="1"/>
  <c r="F1409" i="1"/>
  <c r="D1409" i="1"/>
  <c r="C1409" i="1"/>
  <c r="B1409" i="1"/>
  <c r="K1408" i="1"/>
  <c r="H1408" i="1"/>
  <c r="F1408" i="1"/>
  <c r="D1408" i="1"/>
  <c r="C1408" i="1"/>
  <c r="B1408" i="1"/>
  <c r="K1407" i="1"/>
  <c r="H1407" i="1"/>
  <c r="F1407" i="1"/>
  <c r="D1407" i="1"/>
  <c r="C1407" i="1"/>
  <c r="B1407" i="1"/>
  <c r="K1406" i="1"/>
  <c r="H1406" i="1"/>
  <c r="F1406" i="1"/>
  <c r="D1406" i="1"/>
  <c r="C1406" i="1"/>
  <c r="B1406" i="1"/>
  <c r="K1405" i="1"/>
  <c r="H1405" i="1"/>
  <c r="F1405" i="1"/>
  <c r="D1405" i="1"/>
  <c r="C1405" i="1"/>
  <c r="B1405" i="1"/>
  <c r="K1404" i="1"/>
  <c r="H1404" i="1"/>
  <c r="F1404" i="1"/>
  <c r="D1404" i="1"/>
  <c r="C1404" i="1"/>
  <c r="B1404" i="1"/>
  <c r="K1403" i="1"/>
  <c r="H1403" i="1"/>
  <c r="F1403" i="1"/>
  <c r="D1403" i="1"/>
  <c r="C1403" i="1"/>
  <c r="B1403" i="1"/>
  <c r="K1402" i="1"/>
  <c r="H1402" i="1"/>
  <c r="F1402" i="1"/>
  <c r="D1402" i="1"/>
  <c r="C1402" i="1"/>
  <c r="B1402" i="1"/>
  <c r="K1401" i="1"/>
  <c r="H1401" i="1"/>
  <c r="F1401" i="1"/>
  <c r="D1401" i="1"/>
  <c r="C1401" i="1"/>
  <c r="B1401" i="1"/>
  <c r="K1400" i="1"/>
  <c r="H1400" i="1"/>
  <c r="F1400" i="1"/>
  <c r="D1400" i="1"/>
  <c r="C1400" i="1"/>
  <c r="B1400" i="1"/>
  <c r="K1399" i="1"/>
  <c r="H1399" i="1"/>
  <c r="F1399" i="1"/>
  <c r="D1399" i="1"/>
  <c r="C1399" i="1"/>
  <c r="B1399" i="1"/>
  <c r="K1398" i="1"/>
  <c r="H1398" i="1"/>
  <c r="F1398" i="1"/>
  <c r="D1398" i="1"/>
  <c r="C1398" i="1"/>
  <c r="B1398" i="1"/>
  <c r="K1397" i="1"/>
  <c r="H1397" i="1"/>
  <c r="F1397" i="1"/>
  <c r="D1397" i="1"/>
  <c r="C1397" i="1"/>
  <c r="B1397" i="1"/>
  <c r="K1396" i="1"/>
  <c r="H1396" i="1"/>
  <c r="F1396" i="1"/>
  <c r="D1396" i="1"/>
  <c r="C1396" i="1"/>
  <c r="B1396" i="1"/>
  <c r="K1395" i="1"/>
  <c r="H1395" i="1"/>
  <c r="F1395" i="1"/>
  <c r="D1395" i="1"/>
  <c r="C1395" i="1"/>
  <c r="B1395" i="1"/>
  <c r="K1394" i="1"/>
  <c r="H1394" i="1"/>
  <c r="F1394" i="1"/>
  <c r="D1394" i="1"/>
  <c r="C1394" i="1"/>
  <c r="B1394" i="1"/>
  <c r="K1393" i="1"/>
  <c r="H1393" i="1"/>
  <c r="F1393" i="1"/>
  <c r="D1393" i="1"/>
  <c r="C1393" i="1"/>
  <c r="B1393" i="1"/>
  <c r="K1392" i="1"/>
  <c r="H1392" i="1"/>
  <c r="F1392" i="1"/>
  <c r="D1392" i="1"/>
  <c r="C1392" i="1"/>
  <c r="B1392" i="1"/>
  <c r="K1391" i="1"/>
  <c r="H1391" i="1"/>
  <c r="F1391" i="1"/>
  <c r="D1391" i="1"/>
  <c r="C1391" i="1"/>
  <c r="B1391" i="1"/>
  <c r="K1390" i="1"/>
  <c r="H1390" i="1"/>
  <c r="F1390" i="1"/>
  <c r="D1390" i="1"/>
  <c r="C1390" i="1"/>
  <c r="B1390" i="1"/>
  <c r="K1389" i="1"/>
  <c r="H1389" i="1"/>
  <c r="F1389" i="1"/>
  <c r="D1389" i="1"/>
  <c r="C1389" i="1"/>
  <c r="B1389" i="1"/>
  <c r="K1388" i="1"/>
  <c r="H1388" i="1"/>
  <c r="F1388" i="1"/>
  <c r="D1388" i="1"/>
  <c r="C1388" i="1"/>
  <c r="B1388" i="1"/>
  <c r="K1387" i="1"/>
  <c r="H1387" i="1"/>
  <c r="F1387" i="1"/>
  <c r="D1387" i="1"/>
  <c r="C1387" i="1"/>
  <c r="B1387" i="1"/>
  <c r="K1386" i="1"/>
  <c r="H1386" i="1"/>
  <c r="F1386" i="1"/>
  <c r="D1386" i="1"/>
  <c r="C1386" i="1"/>
  <c r="B1386" i="1"/>
  <c r="K1385" i="1"/>
  <c r="H1385" i="1"/>
  <c r="F1385" i="1"/>
  <c r="D1385" i="1"/>
  <c r="C1385" i="1"/>
  <c r="B1385" i="1"/>
  <c r="K1384" i="1"/>
  <c r="H1384" i="1"/>
  <c r="F1384" i="1"/>
  <c r="D1384" i="1"/>
  <c r="C1384" i="1"/>
  <c r="B1384" i="1"/>
  <c r="K1383" i="1"/>
  <c r="H1383" i="1"/>
  <c r="F1383" i="1"/>
  <c r="D1383" i="1"/>
  <c r="C1383" i="1"/>
  <c r="B1383" i="1"/>
  <c r="K1382" i="1"/>
  <c r="H1382" i="1"/>
  <c r="F1382" i="1"/>
  <c r="D1382" i="1"/>
  <c r="C1382" i="1"/>
  <c r="B1382" i="1"/>
  <c r="K1381" i="1"/>
  <c r="H1381" i="1"/>
  <c r="F1381" i="1"/>
  <c r="D1381" i="1"/>
  <c r="C1381" i="1"/>
  <c r="B1381" i="1"/>
  <c r="K1380" i="1"/>
  <c r="H1380" i="1"/>
  <c r="F1380" i="1"/>
  <c r="D1380" i="1"/>
  <c r="C1380" i="1"/>
  <c r="B1380" i="1"/>
  <c r="K1379" i="1"/>
  <c r="H1379" i="1"/>
  <c r="F1379" i="1"/>
  <c r="D1379" i="1"/>
  <c r="C1379" i="1"/>
  <c r="B1379" i="1"/>
  <c r="K1378" i="1"/>
  <c r="H1378" i="1"/>
  <c r="G1378" i="1"/>
  <c r="F1378" i="1"/>
  <c r="D1378" i="1"/>
  <c r="C1378" i="1"/>
  <c r="B1378" i="1"/>
  <c r="K1377" i="1"/>
  <c r="H1377" i="1"/>
  <c r="G1377" i="1"/>
  <c r="F1377" i="1"/>
  <c r="D1377" i="1"/>
  <c r="C1377" i="1"/>
  <c r="B1377" i="1"/>
  <c r="K1376" i="1"/>
  <c r="H1376" i="1"/>
  <c r="G1376" i="1"/>
  <c r="F1376" i="1"/>
  <c r="D1376" i="1"/>
  <c r="C1376" i="1"/>
  <c r="B1376" i="1"/>
  <c r="K1375" i="1"/>
  <c r="H1375" i="1"/>
  <c r="G1375" i="1"/>
  <c r="F1375" i="1"/>
  <c r="D1375" i="1"/>
  <c r="C1375" i="1"/>
  <c r="B1375" i="1"/>
  <c r="K1374" i="1"/>
  <c r="H1374" i="1"/>
  <c r="F1374" i="1"/>
  <c r="D1374" i="1"/>
  <c r="C1374" i="1"/>
  <c r="B1374" i="1"/>
  <c r="K1373" i="1"/>
  <c r="H1373" i="1"/>
  <c r="F1373" i="1"/>
  <c r="D1373" i="1"/>
  <c r="C1373" i="1"/>
  <c r="B1373" i="1"/>
  <c r="K1372" i="1"/>
  <c r="H1372" i="1"/>
  <c r="F1372" i="1"/>
  <c r="D1372" i="1"/>
  <c r="C1372" i="1"/>
  <c r="B1372" i="1"/>
  <c r="K1371" i="1"/>
  <c r="H1371" i="1"/>
  <c r="F1371" i="1"/>
  <c r="D1371" i="1"/>
  <c r="C1371" i="1"/>
  <c r="B1371" i="1"/>
  <c r="K1370" i="1"/>
  <c r="H1370" i="1"/>
  <c r="F1370" i="1"/>
  <c r="D1370" i="1"/>
  <c r="C1370" i="1"/>
  <c r="B1370" i="1"/>
  <c r="K1369" i="1"/>
  <c r="H1369" i="1"/>
  <c r="F1369" i="1"/>
  <c r="D1369" i="1"/>
  <c r="C1369" i="1"/>
  <c r="B1369" i="1"/>
  <c r="K1368" i="1"/>
  <c r="H1368" i="1"/>
  <c r="F1368" i="1"/>
  <c r="D1368" i="1"/>
  <c r="C1368" i="1"/>
  <c r="B1368" i="1"/>
  <c r="K1367" i="1"/>
  <c r="H1367" i="1"/>
  <c r="F1367" i="1"/>
  <c r="D1367" i="1"/>
  <c r="C1367" i="1"/>
  <c r="B1367" i="1"/>
  <c r="K1366" i="1"/>
  <c r="H1366" i="1"/>
  <c r="F1366" i="1"/>
  <c r="D1366" i="1"/>
  <c r="C1366" i="1"/>
  <c r="B1366" i="1"/>
  <c r="K1365" i="1"/>
  <c r="H1365" i="1"/>
  <c r="F1365" i="1"/>
  <c r="D1365" i="1"/>
  <c r="C1365" i="1"/>
  <c r="B1365" i="1"/>
  <c r="K1364" i="1"/>
  <c r="H1364" i="1"/>
  <c r="F1364" i="1"/>
  <c r="D1364" i="1"/>
  <c r="C1364" i="1"/>
  <c r="B1364" i="1"/>
  <c r="K1363" i="1"/>
  <c r="H1363" i="1"/>
  <c r="F1363" i="1"/>
  <c r="D1363" i="1"/>
  <c r="C1363" i="1"/>
  <c r="B1363" i="1"/>
  <c r="K1362" i="1"/>
  <c r="H1362" i="1"/>
  <c r="F1362" i="1"/>
  <c r="D1362" i="1"/>
  <c r="C1362" i="1"/>
  <c r="B1362" i="1"/>
  <c r="K1361" i="1"/>
  <c r="H1361" i="1"/>
  <c r="F1361" i="1"/>
  <c r="D1361" i="1"/>
  <c r="C1361" i="1"/>
  <c r="B1361" i="1"/>
  <c r="K1360" i="1"/>
  <c r="H1360" i="1"/>
  <c r="F1360" i="1"/>
  <c r="D1360" i="1"/>
  <c r="C1360" i="1"/>
  <c r="B1360" i="1"/>
  <c r="K1359" i="1"/>
  <c r="H1359" i="1"/>
  <c r="F1359" i="1"/>
  <c r="D1359" i="1"/>
  <c r="C1359" i="1"/>
  <c r="B1359" i="1"/>
  <c r="K1358" i="1"/>
  <c r="H1358" i="1"/>
  <c r="G1358" i="1"/>
  <c r="F1358" i="1"/>
  <c r="D1358" i="1"/>
  <c r="C1358" i="1"/>
  <c r="B1358" i="1"/>
  <c r="K1357" i="1"/>
  <c r="H1357" i="1"/>
  <c r="G1357" i="1"/>
  <c r="F1357" i="1"/>
  <c r="D1357" i="1"/>
  <c r="C1357" i="1"/>
  <c r="B1357" i="1"/>
  <c r="K1356" i="1"/>
  <c r="H1356" i="1"/>
  <c r="G1356" i="1"/>
  <c r="F1356" i="1"/>
  <c r="D1356" i="1"/>
  <c r="C1356" i="1"/>
  <c r="B1356" i="1"/>
  <c r="K1355" i="1"/>
  <c r="H1355" i="1"/>
  <c r="G1355" i="1"/>
  <c r="F1355" i="1"/>
  <c r="D1355" i="1"/>
  <c r="C1355" i="1"/>
  <c r="B1355" i="1"/>
  <c r="K1354" i="1"/>
  <c r="H1354" i="1"/>
  <c r="G1354" i="1"/>
  <c r="F1354" i="1"/>
  <c r="D1354" i="1"/>
  <c r="C1354" i="1"/>
  <c r="B1354" i="1"/>
  <c r="K1353" i="1"/>
  <c r="H1353" i="1"/>
  <c r="G1353" i="1"/>
  <c r="F1353" i="1"/>
  <c r="D1353" i="1"/>
  <c r="C1353" i="1"/>
  <c r="B1353" i="1"/>
  <c r="K1352" i="1"/>
  <c r="H1352" i="1"/>
  <c r="G1352" i="1"/>
  <c r="F1352" i="1"/>
  <c r="D1352" i="1"/>
  <c r="C1352" i="1"/>
  <c r="B1352" i="1"/>
  <c r="K1351" i="1"/>
  <c r="H1351" i="1"/>
  <c r="G1351" i="1"/>
  <c r="F1351" i="1"/>
  <c r="D1351" i="1"/>
  <c r="C1351" i="1"/>
  <c r="B1351" i="1"/>
  <c r="K1350" i="1"/>
  <c r="H1350" i="1"/>
  <c r="G1350" i="1"/>
  <c r="F1350" i="1"/>
  <c r="D1350" i="1"/>
  <c r="C1350" i="1"/>
  <c r="B1350" i="1"/>
  <c r="K1349" i="1"/>
  <c r="H1349" i="1"/>
  <c r="G1349" i="1"/>
  <c r="F1349" i="1"/>
  <c r="D1349" i="1"/>
  <c r="C1349" i="1"/>
  <c r="B1349" i="1"/>
  <c r="K1348" i="1"/>
  <c r="H1348" i="1"/>
  <c r="G1348" i="1"/>
  <c r="F1348" i="1"/>
  <c r="D1348" i="1"/>
  <c r="C1348" i="1"/>
  <c r="B1348" i="1"/>
  <c r="K1347" i="1"/>
  <c r="H1347" i="1"/>
  <c r="G1347" i="1"/>
  <c r="F1347" i="1"/>
  <c r="D1347" i="1"/>
  <c r="C1347" i="1"/>
  <c r="B1347" i="1"/>
  <c r="K1346" i="1"/>
  <c r="H1346" i="1"/>
  <c r="G1346" i="1"/>
  <c r="F1346" i="1"/>
  <c r="D1346" i="1"/>
  <c r="C1346" i="1"/>
  <c r="B1346" i="1"/>
  <c r="K1345" i="1"/>
  <c r="H1345" i="1"/>
  <c r="G1345" i="1"/>
  <c r="F1345" i="1"/>
  <c r="D1345" i="1"/>
  <c r="C1345" i="1"/>
  <c r="B1345" i="1"/>
  <c r="K1344" i="1"/>
  <c r="H1344" i="1"/>
  <c r="G1344" i="1"/>
  <c r="F1344" i="1"/>
  <c r="D1344" i="1"/>
  <c r="C1344" i="1"/>
  <c r="B1344" i="1"/>
  <c r="K1343" i="1"/>
  <c r="H1343" i="1"/>
  <c r="G1343" i="1"/>
  <c r="F1343" i="1"/>
  <c r="D1343" i="1"/>
  <c r="C1343" i="1"/>
  <c r="B1343" i="1"/>
  <c r="K1342" i="1"/>
  <c r="H1342" i="1"/>
  <c r="G1342" i="1"/>
  <c r="F1342" i="1"/>
  <c r="D1342" i="1"/>
  <c r="C1342" i="1"/>
  <c r="B1342" i="1"/>
  <c r="K1341" i="1"/>
  <c r="H1341" i="1"/>
  <c r="G1341" i="1"/>
  <c r="F1341" i="1"/>
  <c r="D1341" i="1"/>
  <c r="C1341" i="1"/>
  <c r="B1341" i="1"/>
  <c r="K1340" i="1"/>
  <c r="H1340" i="1"/>
  <c r="G1340" i="1"/>
  <c r="F1340" i="1"/>
  <c r="D1340" i="1"/>
  <c r="C1340" i="1"/>
  <c r="B1340" i="1"/>
  <c r="K1339" i="1"/>
  <c r="H1339" i="1"/>
  <c r="G1339" i="1"/>
  <c r="F1339" i="1"/>
  <c r="D1339" i="1"/>
  <c r="C1339" i="1"/>
  <c r="B1339" i="1"/>
  <c r="K1338" i="1"/>
  <c r="H1338" i="1"/>
  <c r="G1338" i="1"/>
  <c r="F1338" i="1"/>
  <c r="D1338" i="1"/>
  <c r="C1338" i="1"/>
  <c r="B1338" i="1"/>
  <c r="K1337" i="1"/>
  <c r="H1337" i="1"/>
  <c r="G1337" i="1"/>
  <c r="F1337" i="1"/>
  <c r="D1337" i="1"/>
  <c r="C1337" i="1"/>
  <c r="B1337" i="1"/>
  <c r="K1336" i="1"/>
  <c r="H1336" i="1"/>
  <c r="G1336" i="1"/>
  <c r="F1336" i="1"/>
  <c r="D1336" i="1"/>
  <c r="C1336" i="1"/>
  <c r="B1336" i="1"/>
  <c r="K1335" i="1"/>
  <c r="H1335" i="1"/>
  <c r="G1335" i="1"/>
  <c r="F1335" i="1"/>
  <c r="D1335" i="1"/>
  <c r="C1335" i="1"/>
  <c r="B1335" i="1"/>
  <c r="K1334" i="1"/>
  <c r="H1334" i="1"/>
  <c r="G1334" i="1"/>
  <c r="F1334" i="1"/>
  <c r="D1334" i="1"/>
  <c r="C1334" i="1"/>
  <c r="B1334" i="1"/>
  <c r="K1333" i="1"/>
  <c r="H1333" i="1"/>
  <c r="G1333" i="1"/>
  <c r="F1333" i="1"/>
  <c r="D1333" i="1"/>
  <c r="C1333" i="1"/>
  <c r="B1333" i="1"/>
  <c r="K1332" i="1"/>
  <c r="H1332" i="1"/>
  <c r="G1332" i="1"/>
  <c r="F1332" i="1"/>
  <c r="D1332" i="1"/>
  <c r="C1332" i="1"/>
  <c r="B1332" i="1"/>
  <c r="K1331" i="1"/>
  <c r="H1331" i="1"/>
  <c r="G1331" i="1"/>
  <c r="F1331" i="1"/>
  <c r="D1331" i="1"/>
  <c r="C1331" i="1"/>
  <c r="B1331" i="1"/>
  <c r="K1330" i="1"/>
  <c r="H1330" i="1"/>
  <c r="G1330" i="1"/>
  <c r="F1330" i="1"/>
  <c r="D1330" i="1"/>
  <c r="C1330" i="1"/>
  <c r="B1330" i="1"/>
  <c r="K1329" i="1"/>
  <c r="H1329" i="1"/>
  <c r="G1329" i="1"/>
  <c r="F1329" i="1"/>
  <c r="D1329" i="1"/>
  <c r="C1329" i="1"/>
  <c r="B1329" i="1"/>
  <c r="K1328" i="1"/>
  <c r="H1328" i="1"/>
  <c r="G1328" i="1"/>
  <c r="F1328" i="1"/>
  <c r="D1328" i="1"/>
  <c r="C1328" i="1"/>
  <c r="B1328" i="1"/>
  <c r="K1327" i="1"/>
  <c r="H1327" i="1"/>
  <c r="G1327" i="1"/>
  <c r="F1327" i="1"/>
  <c r="D1327" i="1"/>
  <c r="C1327" i="1"/>
  <c r="B1327" i="1"/>
  <c r="K1326" i="1"/>
  <c r="H1326" i="1"/>
  <c r="G1326" i="1"/>
  <c r="F1326" i="1"/>
  <c r="D1326" i="1"/>
  <c r="C1326" i="1"/>
  <c r="B1326" i="1"/>
  <c r="K1325" i="1"/>
  <c r="H1325" i="1"/>
  <c r="G1325" i="1"/>
  <c r="F1325" i="1"/>
  <c r="D1325" i="1"/>
  <c r="C1325" i="1"/>
  <c r="B1325" i="1"/>
  <c r="K1324" i="1"/>
  <c r="H1324" i="1"/>
  <c r="G1324" i="1"/>
  <c r="F1324" i="1"/>
  <c r="D1324" i="1"/>
  <c r="C1324" i="1"/>
  <c r="B1324" i="1"/>
  <c r="K1323" i="1"/>
  <c r="H1323" i="1"/>
  <c r="G1323" i="1"/>
  <c r="F1323" i="1"/>
  <c r="D1323" i="1"/>
  <c r="C1323" i="1"/>
  <c r="B1323" i="1"/>
  <c r="K1322" i="1"/>
  <c r="H1322" i="1"/>
  <c r="G1322" i="1"/>
  <c r="F1322" i="1"/>
  <c r="D1322" i="1"/>
  <c r="C1322" i="1"/>
  <c r="B1322" i="1"/>
  <c r="K1321" i="1"/>
  <c r="H1321" i="1"/>
  <c r="G1321" i="1"/>
  <c r="F1321" i="1"/>
  <c r="D1321" i="1"/>
  <c r="C1321" i="1"/>
  <c r="B1321" i="1"/>
  <c r="K1320" i="1"/>
  <c r="H1320" i="1"/>
  <c r="G1320" i="1"/>
  <c r="F1320" i="1"/>
  <c r="D1320" i="1"/>
  <c r="C1320" i="1"/>
  <c r="B1320" i="1"/>
  <c r="K1319" i="1"/>
  <c r="H1319" i="1"/>
  <c r="G1319" i="1"/>
  <c r="F1319" i="1"/>
  <c r="D1319" i="1"/>
  <c r="C1319" i="1"/>
  <c r="B1319" i="1"/>
  <c r="K1318" i="1"/>
  <c r="H1318" i="1"/>
  <c r="G1318" i="1"/>
  <c r="F1318" i="1"/>
  <c r="D1318" i="1"/>
  <c r="C1318" i="1"/>
  <c r="B1318" i="1"/>
  <c r="K1317" i="1"/>
  <c r="H1317" i="1"/>
  <c r="G1317" i="1"/>
  <c r="F1317" i="1"/>
  <c r="D1317" i="1"/>
  <c r="C1317" i="1"/>
  <c r="B1317" i="1"/>
  <c r="K1316" i="1"/>
  <c r="H1316" i="1"/>
  <c r="G1316" i="1"/>
  <c r="F1316" i="1"/>
  <c r="D1316" i="1"/>
  <c r="C1316" i="1"/>
  <c r="B1316" i="1"/>
  <c r="K1315" i="1"/>
  <c r="H1315" i="1"/>
  <c r="G1315" i="1"/>
  <c r="F1315" i="1"/>
  <c r="D1315" i="1"/>
  <c r="C1315" i="1"/>
  <c r="B1315" i="1"/>
  <c r="K1314" i="1"/>
  <c r="H1314" i="1"/>
  <c r="G1314" i="1"/>
  <c r="F1314" i="1"/>
  <c r="D1314" i="1"/>
  <c r="C1314" i="1"/>
  <c r="B1314" i="1"/>
  <c r="K1313" i="1"/>
  <c r="H1313" i="1"/>
  <c r="G1313" i="1"/>
  <c r="F1313" i="1"/>
  <c r="D1313" i="1"/>
  <c r="C1313" i="1"/>
  <c r="B1313" i="1"/>
  <c r="K1312" i="1"/>
  <c r="H1312" i="1"/>
  <c r="G1312" i="1"/>
  <c r="F1312" i="1"/>
  <c r="D1312" i="1"/>
  <c r="C1312" i="1"/>
  <c r="B1312" i="1"/>
  <c r="K1311" i="1"/>
  <c r="H1311" i="1"/>
  <c r="G1311" i="1"/>
  <c r="F1311" i="1"/>
  <c r="D1311" i="1"/>
  <c r="C1311" i="1"/>
  <c r="B1311" i="1"/>
  <c r="K1310" i="1"/>
  <c r="H1310" i="1"/>
  <c r="G1310" i="1"/>
  <c r="F1310" i="1"/>
  <c r="D1310" i="1"/>
  <c r="C1310" i="1"/>
  <c r="B1310" i="1"/>
  <c r="K1309" i="1"/>
  <c r="H1309" i="1"/>
  <c r="G1309" i="1"/>
  <c r="F1309" i="1"/>
  <c r="D1309" i="1"/>
  <c r="C1309" i="1"/>
  <c r="B1309" i="1"/>
  <c r="K1308" i="1"/>
  <c r="H1308" i="1"/>
  <c r="G1308" i="1"/>
  <c r="F1308" i="1"/>
  <c r="D1308" i="1"/>
  <c r="C1308" i="1"/>
  <c r="B1308" i="1"/>
  <c r="K1307" i="1"/>
  <c r="H1307" i="1"/>
  <c r="G1307" i="1"/>
  <c r="F1307" i="1"/>
  <c r="D1307" i="1"/>
  <c r="C1307" i="1"/>
  <c r="B1307" i="1"/>
  <c r="K1306" i="1"/>
  <c r="H1306" i="1"/>
  <c r="G1306" i="1"/>
  <c r="F1306" i="1"/>
  <c r="D1306" i="1"/>
  <c r="C1306" i="1"/>
  <c r="B1306" i="1"/>
  <c r="K1305" i="1"/>
  <c r="H1305" i="1"/>
  <c r="G1305" i="1"/>
  <c r="F1305" i="1"/>
  <c r="D1305" i="1"/>
  <c r="C1305" i="1"/>
  <c r="B1305" i="1"/>
  <c r="K1304" i="1"/>
  <c r="H1304" i="1"/>
  <c r="G1304" i="1"/>
  <c r="F1304" i="1"/>
  <c r="D1304" i="1"/>
  <c r="C1304" i="1"/>
  <c r="B1304" i="1"/>
  <c r="K1303" i="1"/>
  <c r="H1303" i="1"/>
  <c r="G1303" i="1"/>
  <c r="F1303" i="1"/>
  <c r="D1303" i="1"/>
  <c r="C1303" i="1"/>
  <c r="B1303" i="1"/>
  <c r="K1302" i="1"/>
  <c r="H1302" i="1"/>
  <c r="G1302" i="1"/>
  <c r="F1302" i="1"/>
  <c r="D1302" i="1"/>
  <c r="C1302" i="1"/>
  <c r="B1302" i="1"/>
  <c r="K1301" i="1"/>
  <c r="H1301" i="1"/>
  <c r="G1301" i="1"/>
  <c r="F1301" i="1"/>
  <c r="D1301" i="1"/>
  <c r="C1301" i="1"/>
  <c r="B1301" i="1"/>
  <c r="K1300" i="1"/>
  <c r="H1300" i="1"/>
  <c r="G1300" i="1"/>
  <c r="F1300" i="1"/>
  <c r="D1300" i="1"/>
  <c r="C1300" i="1"/>
  <c r="B1300" i="1"/>
  <c r="K1299" i="1"/>
  <c r="H1299" i="1"/>
  <c r="G1299" i="1"/>
  <c r="F1299" i="1"/>
  <c r="D1299" i="1"/>
  <c r="C1299" i="1"/>
  <c r="B1299" i="1"/>
  <c r="K1298" i="1"/>
  <c r="H1298" i="1"/>
  <c r="G1298" i="1"/>
  <c r="F1298" i="1"/>
  <c r="D1298" i="1"/>
  <c r="C1298" i="1"/>
  <c r="B1298" i="1"/>
  <c r="K1297" i="1"/>
  <c r="H1297" i="1"/>
  <c r="G1297" i="1"/>
  <c r="F1297" i="1"/>
  <c r="D1297" i="1"/>
  <c r="C1297" i="1"/>
  <c r="B1297" i="1"/>
  <c r="K1296" i="1"/>
  <c r="H1296" i="1"/>
  <c r="G1296" i="1"/>
  <c r="F1296" i="1"/>
  <c r="D1296" i="1"/>
  <c r="C1296" i="1"/>
  <c r="B1296" i="1"/>
  <c r="K1295" i="1"/>
  <c r="H1295" i="1"/>
  <c r="G1295" i="1"/>
  <c r="F1295" i="1"/>
  <c r="D1295" i="1"/>
  <c r="C1295" i="1"/>
  <c r="B1295" i="1"/>
  <c r="K1294" i="1"/>
  <c r="H1294" i="1"/>
  <c r="G1294" i="1"/>
  <c r="F1294" i="1"/>
  <c r="D1294" i="1"/>
  <c r="C1294" i="1"/>
  <c r="B1294" i="1"/>
  <c r="K1293" i="1"/>
  <c r="H1293" i="1"/>
  <c r="G1293" i="1"/>
  <c r="F1293" i="1"/>
  <c r="D1293" i="1"/>
  <c r="C1293" i="1"/>
  <c r="B1293" i="1"/>
  <c r="K1292" i="1"/>
  <c r="H1292" i="1"/>
  <c r="G1292" i="1"/>
  <c r="F1292" i="1"/>
  <c r="D1292" i="1"/>
  <c r="C1292" i="1"/>
  <c r="B1292" i="1"/>
  <c r="K1291" i="1"/>
  <c r="H1291" i="1"/>
  <c r="G1291" i="1"/>
  <c r="F1291" i="1"/>
  <c r="D1291" i="1"/>
  <c r="C1291" i="1"/>
  <c r="B1291" i="1"/>
  <c r="K1290" i="1"/>
  <c r="H1290" i="1"/>
  <c r="G1290" i="1"/>
  <c r="F1290" i="1"/>
  <c r="D1290" i="1"/>
  <c r="C1290" i="1"/>
  <c r="B1290" i="1"/>
  <c r="K1289" i="1"/>
  <c r="H1289" i="1"/>
  <c r="G1289" i="1"/>
  <c r="F1289" i="1"/>
  <c r="D1289" i="1"/>
  <c r="C1289" i="1"/>
  <c r="B1289" i="1"/>
  <c r="K1288" i="1"/>
  <c r="H1288" i="1"/>
  <c r="G1288" i="1"/>
  <c r="F1288" i="1"/>
  <c r="D1288" i="1"/>
  <c r="C1288" i="1"/>
  <c r="B1288" i="1"/>
  <c r="K1287" i="1"/>
  <c r="H1287" i="1"/>
  <c r="G1287" i="1"/>
  <c r="F1287" i="1"/>
  <c r="D1287" i="1"/>
  <c r="C1287" i="1"/>
  <c r="B1287" i="1"/>
  <c r="K1286" i="1"/>
  <c r="H1286" i="1"/>
  <c r="G1286" i="1"/>
  <c r="F1286" i="1"/>
  <c r="D1286" i="1"/>
  <c r="C1286" i="1"/>
  <c r="B1286" i="1"/>
  <c r="K1285" i="1"/>
  <c r="H1285" i="1"/>
  <c r="G1285" i="1"/>
  <c r="F1285" i="1"/>
  <c r="D1285" i="1"/>
  <c r="C1285" i="1"/>
  <c r="B1285" i="1"/>
  <c r="K1284" i="1"/>
  <c r="H1284" i="1"/>
  <c r="G1284" i="1"/>
  <c r="F1284" i="1"/>
  <c r="D1284" i="1"/>
  <c r="C1284" i="1"/>
  <c r="B1284" i="1"/>
  <c r="K1283" i="1"/>
  <c r="H1283" i="1"/>
  <c r="G1283" i="1"/>
  <c r="F1283" i="1"/>
  <c r="D1283" i="1"/>
  <c r="C1283" i="1"/>
  <c r="B1283" i="1"/>
  <c r="K1282" i="1"/>
  <c r="H1282" i="1"/>
  <c r="G1282" i="1"/>
  <c r="F1282" i="1"/>
  <c r="D1282" i="1"/>
  <c r="C1282" i="1"/>
  <c r="B1282" i="1"/>
  <c r="K1281" i="1"/>
  <c r="H1281" i="1"/>
  <c r="G1281" i="1"/>
  <c r="F1281" i="1"/>
  <c r="D1281" i="1"/>
  <c r="C1281" i="1"/>
  <c r="B1281" i="1"/>
  <c r="K1280" i="1"/>
  <c r="H1280" i="1"/>
  <c r="G1280" i="1"/>
  <c r="F1280" i="1"/>
  <c r="D1280" i="1"/>
  <c r="C1280" i="1"/>
  <c r="B1280" i="1"/>
  <c r="K1279" i="1"/>
  <c r="H1279" i="1"/>
  <c r="G1279" i="1"/>
  <c r="F1279" i="1"/>
  <c r="D1279" i="1"/>
  <c r="C1279" i="1"/>
  <c r="B1279" i="1"/>
  <c r="K1278" i="1"/>
  <c r="H1278" i="1"/>
  <c r="G1278" i="1"/>
  <c r="F1278" i="1"/>
  <c r="D1278" i="1"/>
  <c r="C1278" i="1"/>
  <c r="B1278" i="1"/>
  <c r="K1277" i="1"/>
  <c r="H1277" i="1"/>
  <c r="G1277" i="1"/>
  <c r="F1277" i="1"/>
  <c r="D1277" i="1"/>
  <c r="C1277" i="1"/>
  <c r="B1277" i="1"/>
  <c r="K1276" i="1"/>
  <c r="H1276" i="1"/>
  <c r="G1276" i="1"/>
  <c r="F1276" i="1"/>
  <c r="D1276" i="1"/>
  <c r="C1276" i="1"/>
  <c r="B1276" i="1"/>
  <c r="K1275" i="1"/>
  <c r="H1275" i="1"/>
  <c r="G1275" i="1"/>
  <c r="F1275" i="1"/>
  <c r="D1275" i="1"/>
  <c r="C1275" i="1"/>
  <c r="B1275" i="1"/>
  <c r="K1274" i="1"/>
  <c r="H1274" i="1"/>
  <c r="G1274" i="1"/>
  <c r="F1274" i="1"/>
  <c r="D1274" i="1"/>
  <c r="C1274" i="1"/>
  <c r="B1274" i="1"/>
  <c r="K1273" i="1"/>
  <c r="H1273" i="1"/>
  <c r="G1273" i="1"/>
  <c r="F1273" i="1"/>
  <c r="D1273" i="1"/>
  <c r="C1273" i="1"/>
  <c r="B1273" i="1"/>
  <c r="K1272" i="1"/>
  <c r="H1272" i="1"/>
  <c r="G1272" i="1"/>
  <c r="F1272" i="1"/>
  <c r="D1272" i="1"/>
  <c r="C1272" i="1"/>
  <c r="B1272" i="1"/>
  <c r="K1271" i="1"/>
  <c r="H1271" i="1"/>
  <c r="G1271" i="1"/>
  <c r="F1271" i="1"/>
  <c r="D1271" i="1"/>
  <c r="C1271" i="1"/>
  <c r="B1271" i="1"/>
  <c r="K1270" i="1"/>
  <c r="H1270" i="1"/>
  <c r="G1270" i="1"/>
  <c r="F1270" i="1"/>
  <c r="D1270" i="1"/>
  <c r="C1270" i="1"/>
  <c r="B1270" i="1"/>
  <c r="K1269" i="1"/>
  <c r="H1269" i="1"/>
  <c r="G1269" i="1"/>
  <c r="F1269" i="1"/>
  <c r="D1269" i="1"/>
  <c r="C1269" i="1"/>
  <c r="B1269" i="1"/>
  <c r="K1268" i="1"/>
  <c r="H1268" i="1"/>
  <c r="G1268" i="1"/>
  <c r="F1268" i="1"/>
  <c r="D1268" i="1"/>
  <c r="C1268" i="1"/>
  <c r="B1268" i="1"/>
  <c r="K1267" i="1"/>
  <c r="H1267" i="1"/>
  <c r="G1267" i="1"/>
  <c r="F1267" i="1"/>
  <c r="D1267" i="1"/>
  <c r="C1267" i="1"/>
  <c r="B1267" i="1"/>
  <c r="K1266" i="1"/>
  <c r="H1266" i="1"/>
  <c r="G1266" i="1"/>
  <c r="F1266" i="1"/>
  <c r="D1266" i="1"/>
  <c r="C1266" i="1"/>
  <c r="B1266" i="1"/>
  <c r="K1265" i="1"/>
  <c r="H1265" i="1"/>
  <c r="G1265" i="1"/>
  <c r="F1265" i="1"/>
  <c r="D1265" i="1"/>
  <c r="C1265" i="1"/>
  <c r="B1265" i="1"/>
  <c r="K1264" i="1"/>
  <c r="H1264" i="1"/>
  <c r="G1264" i="1"/>
  <c r="F1264" i="1"/>
  <c r="D1264" i="1"/>
  <c r="C1264" i="1"/>
  <c r="B1264" i="1"/>
  <c r="K1263" i="1"/>
  <c r="H1263" i="1"/>
  <c r="G1263" i="1"/>
  <c r="F1263" i="1"/>
  <c r="D1263" i="1"/>
  <c r="C1263" i="1"/>
  <c r="B1263" i="1"/>
  <c r="K1262" i="1"/>
  <c r="H1262" i="1"/>
  <c r="G1262" i="1"/>
  <c r="F1262" i="1"/>
  <c r="D1262" i="1"/>
  <c r="C1262" i="1"/>
  <c r="B1262" i="1"/>
  <c r="K1261" i="1"/>
  <c r="H1261" i="1"/>
  <c r="G1261" i="1"/>
  <c r="F1261" i="1"/>
  <c r="D1261" i="1"/>
  <c r="C1261" i="1"/>
  <c r="B1261" i="1"/>
  <c r="K1260" i="1"/>
  <c r="H1260" i="1"/>
  <c r="G1260" i="1"/>
  <c r="F1260" i="1"/>
  <c r="D1260" i="1"/>
  <c r="C1260" i="1"/>
  <c r="B1260" i="1"/>
  <c r="K1259" i="1"/>
  <c r="H1259" i="1"/>
  <c r="G1259" i="1"/>
  <c r="F1259" i="1"/>
  <c r="D1259" i="1"/>
  <c r="C1259" i="1"/>
  <c r="B1259" i="1"/>
  <c r="K1258" i="1"/>
  <c r="H1258" i="1"/>
  <c r="G1258" i="1"/>
  <c r="F1258" i="1"/>
  <c r="D1258" i="1"/>
  <c r="C1258" i="1"/>
  <c r="B1258" i="1"/>
  <c r="K1257" i="1"/>
  <c r="H1257" i="1"/>
  <c r="G1257" i="1"/>
  <c r="F1257" i="1"/>
  <c r="D1257" i="1"/>
  <c r="C1257" i="1"/>
  <c r="B1257" i="1"/>
  <c r="K1256" i="1"/>
  <c r="H1256" i="1"/>
  <c r="G1256" i="1"/>
  <c r="F1256" i="1"/>
  <c r="D1256" i="1"/>
  <c r="C1256" i="1"/>
  <c r="B1256" i="1"/>
  <c r="K1255" i="1"/>
  <c r="H1255" i="1"/>
  <c r="G1255" i="1"/>
  <c r="F1255" i="1"/>
  <c r="D1255" i="1"/>
  <c r="C1255" i="1"/>
  <c r="B1255" i="1"/>
  <c r="K1254" i="1"/>
  <c r="H1254" i="1"/>
  <c r="G1254" i="1"/>
  <c r="F1254" i="1"/>
  <c r="D1254" i="1"/>
  <c r="C1254" i="1"/>
  <c r="B1254" i="1"/>
  <c r="K1253" i="1"/>
  <c r="H1253" i="1"/>
  <c r="G1253" i="1"/>
  <c r="F1253" i="1"/>
  <c r="D1253" i="1"/>
  <c r="C1253" i="1"/>
  <c r="B1253" i="1"/>
  <c r="K1252" i="1"/>
  <c r="H1252" i="1"/>
  <c r="G1252" i="1"/>
  <c r="F1252" i="1"/>
  <c r="D1252" i="1"/>
  <c r="C1252" i="1"/>
  <c r="B1252" i="1"/>
  <c r="K1251" i="1"/>
  <c r="H1251" i="1"/>
  <c r="G1251" i="1"/>
  <c r="F1251" i="1"/>
  <c r="D1251" i="1"/>
  <c r="C1251" i="1"/>
  <c r="B1251" i="1"/>
  <c r="K1250" i="1"/>
  <c r="H1250" i="1"/>
  <c r="G1250" i="1"/>
  <c r="F1250" i="1"/>
  <c r="D1250" i="1"/>
  <c r="C1250" i="1"/>
  <c r="B1250" i="1"/>
  <c r="K1249" i="1"/>
  <c r="H1249" i="1"/>
  <c r="G1249" i="1"/>
  <c r="F1249" i="1"/>
  <c r="D1249" i="1"/>
  <c r="C1249" i="1"/>
  <c r="B1249" i="1"/>
  <c r="K1248" i="1"/>
  <c r="H1248" i="1"/>
  <c r="G1248" i="1"/>
  <c r="F1248" i="1"/>
  <c r="D1248" i="1"/>
  <c r="C1248" i="1"/>
  <c r="B1248" i="1"/>
  <c r="K1247" i="1"/>
  <c r="H1247" i="1"/>
  <c r="G1247" i="1"/>
  <c r="F1247" i="1"/>
  <c r="D1247" i="1"/>
  <c r="C1247" i="1"/>
  <c r="B1247" i="1"/>
  <c r="K1246" i="1"/>
  <c r="H1246" i="1"/>
  <c r="G1246" i="1"/>
  <c r="F1246" i="1"/>
  <c r="D1246" i="1"/>
  <c r="C1246" i="1"/>
  <c r="B1246" i="1"/>
  <c r="K1245" i="1"/>
  <c r="H1245" i="1"/>
  <c r="G1245" i="1"/>
  <c r="F1245" i="1"/>
  <c r="D1245" i="1"/>
  <c r="C1245" i="1"/>
  <c r="B1245" i="1"/>
  <c r="K1244" i="1"/>
  <c r="H1244" i="1"/>
  <c r="G1244" i="1"/>
  <c r="F1244" i="1"/>
  <c r="D1244" i="1"/>
  <c r="C1244" i="1"/>
  <c r="B1244" i="1"/>
  <c r="K1243" i="1"/>
  <c r="H1243" i="1"/>
  <c r="G1243" i="1"/>
  <c r="F1243" i="1"/>
  <c r="D1243" i="1"/>
  <c r="C1243" i="1"/>
  <c r="B1243" i="1"/>
  <c r="K1242" i="1"/>
  <c r="H1242" i="1"/>
  <c r="G1242" i="1"/>
  <c r="F1242" i="1"/>
  <c r="D1242" i="1"/>
  <c r="C1242" i="1"/>
  <c r="B1242" i="1"/>
  <c r="K1241" i="1"/>
  <c r="H1241" i="1"/>
  <c r="G1241" i="1"/>
  <c r="F1241" i="1"/>
  <c r="D1241" i="1"/>
  <c r="C1241" i="1"/>
  <c r="B1241" i="1"/>
  <c r="K1240" i="1"/>
  <c r="H1240" i="1"/>
  <c r="G1240" i="1"/>
  <c r="F1240" i="1"/>
  <c r="D1240" i="1"/>
  <c r="C1240" i="1"/>
  <c r="B1240" i="1"/>
  <c r="K1239" i="1"/>
  <c r="H1239" i="1"/>
  <c r="G1239" i="1"/>
  <c r="F1239" i="1"/>
  <c r="D1239" i="1"/>
  <c r="C1239" i="1"/>
  <c r="B1239" i="1"/>
  <c r="K1238" i="1"/>
  <c r="H1238" i="1"/>
  <c r="G1238" i="1"/>
  <c r="F1238" i="1"/>
  <c r="D1238" i="1"/>
  <c r="C1238" i="1"/>
  <c r="B1238" i="1"/>
  <c r="K1237" i="1"/>
  <c r="H1237" i="1"/>
  <c r="G1237" i="1"/>
  <c r="F1237" i="1"/>
  <c r="D1237" i="1"/>
  <c r="C1237" i="1"/>
  <c r="B1237" i="1"/>
  <c r="K1236" i="1"/>
  <c r="H1236" i="1"/>
  <c r="G1236" i="1"/>
  <c r="F1236" i="1"/>
  <c r="D1236" i="1"/>
  <c r="C1236" i="1"/>
  <c r="B1236" i="1"/>
  <c r="K1235" i="1"/>
  <c r="H1235" i="1"/>
  <c r="G1235" i="1"/>
  <c r="F1235" i="1"/>
  <c r="D1235" i="1"/>
  <c r="C1235" i="1"/>
  <c r="B1235" i="1"/>
  <c r="K1234" i="1"/>
  <c r="H1234" i="1"/>
  <c r="G1234" i="1"/>
  <c r="F1234" i="1"/>
  <c r="D1234" i="1"/>
  <c r="C1234" i="1"/>
  <c r="B1234" i="1"/>
  <c r="K1233" i="1"/>
  <c r="H1233" i="1"/>
  <c r="G1233" i="1"/>
  <c r="F1233" i="1"/>
  <c r="D1233" i="1"/>
  <c r="C1233" i="1"/>
  <c r="B1233" i="1"/>
  <c r="K1232" i="1"/>
  <c r="H1232" i="1"/>
  <c r="G1232" i="1"/>
  <c r="F1232" i="1"/>
  <c r="D1232" i="1"/>
  <c r="C1232" i="1"/>
  <c r="B1232" i="1"/>
  <c r="K1231" i="1"/>
  <c r="H1231" i="1"/>
  <c r="G1231" i="1"/>
  <c r="F1231" i="1"/>
  <c r="D1231" i="1"/>
  <c r="C1231" i="1"/>
  <c r="B1231" i="1"/>
  <c r="K1230" i="1"/>
  <c r="H1230" i="1"/>
  <c r="G1230" i="1"/>
  <c r="F1230" i="1"/>
  <c r="D1230" i="1"/>
  <c r="C1230" i="1"/>
  <c r="B1230" i="1"/>
  <c r="K1229" i="1"/>
  <c r="H1229" i="1"/>
  <c r="G1229" i="1"/>
  <c r="F1229" i="1"/>
  <c r="D1229" i="1"/>
  <c r="C1229" i="1"/>
  <c r="B1229" i="1"/>
  <c r="K1228" i="1"/>
  <c r="H1228" i="1"/>
  <c r="G1228" i="1"/>
  <c r="F1228" i="1"/>
  <c r="D1228" i="1"/>
  <c r="C1228" i="1"/>
  <c r="B1228" i="1"/>
  <c r="K1227" i="1"/>
  <c r="H1227" i="1"/>
  <c r="G1227" i="1"/>
  <c r="F1227" i="1"/>
  <c r="D1227" i="1"/>
  <c r="C1227" i="1"/>
  <c r="B1227" i="1"/>
  <c r="K1226" i="1"/>
  <c r="H1226" i="1"/>
  <c r="G1226" i="1"/>
  <c r="F1226" i="1"/>
  <c r="D1226" i="1"/>
  <c r="C1226" i="1"/>
  <c r="B1226" i="1"/>
  <c r="K1225" i="1"/>
  <c r="H1225" i="1"/>
  <c r="G1225" i="1"/>
  <c r="F1225" i="1"/>
  <c r="D1225" i="1"/>
  <c r="C1225" i="1"/>
  <c r="B1225" i="1"/>
  <c r="K1224" i="1"/>
  <c r="H1224" i="1"/>
  <c r="G1224" i="1"/>
  <c r="F1224" i="1"/>
  <c r="D1224" i="1"/>
  <c r="C1224" i="1"/>
  <c r="B1224" i="1"/>
  <c r="K1223" i="1"/>
  <c r="H1223" i="1"/>
  <c r="G1223" i="1"/>
  <c r="F1223" i="1"/>
  <c r="D1223" i="1"/>
  <c r="C1223" i="1"/>
  <c r="B1223" i="1"/>
  <c r="K1222" i="1"/>
  <c r="H1222" i="1"/>
  <c r="G1222" i="1"/>
  <c r="F1222" i="1"/>
  <c r="D1222" i="1"/>
  <c r="C1222" i="1"/>
  <c r="B1222" i="1"/>
  <c r="K1221" i="1"/>
  <c r="H1221" i="1"/>
  <c r="G1221" i="1"/>
  <c r="F1221" i="1"/>
  <c r="D1221" i="1"/>
  <c r="C1221" i="1"/>
  <c r="B1221" i="1"/>
  <c r="K1220" i="1"/>
  <c r="H1220" i="1"/>
  <c r="G1220" i="1"/>
  <c r="F1220" i="1"/>
  <c r="D1220" i="1"/>
  <c r="C1220" i="1"/>
  <c r="B1220" i="1"/>
  <c r="K1219" i="1"/>
  <c r="H1219" i="1"/>
  <c r="G1219" i="1"/>
  <c r="F1219" i="1"/>
  <c r="D1219" i="1"/>
  <c r="C1219" i="1"/>
  <c r="B1219" i="1"/>
  <c r="K1218" i="1"/>
  <c r="H1218" i="1"/>
  <c r="G1218" i="1"/>
  <c r="F1218" i="1"/>
  <c r="D1218" i="1"/>
  <c r="C1218" i="1"/>
  <c r="B1218" i="1"/>
  <c r="K1217" i="1"/>
  <c r="H1217" i="1"/>
  <c r="G1217" i="1"/>
  <c r="F1217" i="1"/>
  <c r="D1217" i="1"/>
  <c r="C1217" i="1"/>
  <c r="B1217" i="1"/>
  <c r="K1216" i="1"/>
  <c r="H1216" i="1"/>
  <c r="G1216" i="1"/>
  <c r="F1216" i="1"/>
  <c r="D1216" i="1"/>
  <c r="C1216" i="1"/>
  <c r="B1216" i="1"/>
  <c r="K1215" i="1"/>
  <c r="H1215" i="1"/>
  <c r="G1215" i="1"/>
  <c r="F1215" i="1"/>
  <c r="D1215" i="1"/>
  <c r="C1215" i="1"/>
  <c r="B1215" i="1"/>
  <c r="K1214" i="1"/>
  <c r="H1214" i="1"/>
  <c r="G1214" i="1"/>
  <c r="F1214" i="1"/>
  <c r="D1214" i="1"/>
  <c r="C1214" i="1"/>
  <c r="B1214" i="1"/>
  <c r="K1213" i="1"/>
  <c r="H1213" i="1"/>
  <c r="G1213" i="1"/>
  <c r="F1213" i="1"/>
  <c r="D1213" i="1"/>
  <c r="C1213" i="1"/>
  <c r="B1213" i="1"/>
  <c r="K1212" i="1"/>
  <c r="H1212" i="1"/>
  <c r="G1212" i="1"/>
  <c r="F1212" i="1"/>
  <c r="D1212" i="1"/>
  <c r="C1212" i="1"/>
  <c r="B1212" i="1"/>
  <c r="K1211" i="1"/>
  <c r="H1211" i="1"/>
  <c r="G1211" i="1"/>
  <c r="F1211" i="1"/>
  <c r="D1211" i="1"/>
  <c r="C1211" i="1"/>
  <c r="B1211" i="1"/>
  <c r="K1210" i="1"/>
  <c r="H1210" i="1"/>
  <c r="G1210" i="1"/>
  <c r="F1210" i="1"/>
  <c r="D1210" i="1"/>
  <c r="C1210" i="1"/>
  <c r="B1210" i="1"/>
  <c r="K1209" i="1"/>
  <c r="H1209" i="1"/>
  <c r="G1209" i="1"/>
  <c r="F1209" i="1"/>
  <c r="D1209" i="1"/>
  <c r="C1209" i="1"/>
  <c r="B1209" i="1"/>
  <c r="K1208" i="1"/>
  <c r="H1208" i="1"/>
  <c r="G1208" i="1"/>
  <c r="F1208" i="1"/>
  <c r="D1208" i="1"/>
  <c r="C1208" i="1"/>
  <c r="B1208" i="1"/>
  <c r="K1207" i="1"/>
  <c r="H1207" i="1"/>
  <c r="G1207" i="1"/>
  <c r="F1207" i="1"/>
  <c r="D1207" i="1"/>
  <c r="C1207" i="1"/>
  <c r="B1207" i="1"/>
  <c r="K1206" i="1"/>
  <c r="H1206" i="1"/>
  <c r="G1206" i="1"/>
  <c r="F1206" i="1"/>
  <c r="D1206" i="1"/>
  <c r="C1206" i="1"/>
  <c r="B1206" i="1"/>
  <c r="K1205" i="1"/>
  <c r="H1205" i="1"/>
  <c r="G1205" i="1"/>
  <c r="F1205" i="1"/>
  <c r="D1205" i="1"/>
  <c r="C1205" i="1"/>
  <c r="B1205" i="1"/>
  <c r="K1204" i="1"/>
  <c r="H1204" i="1"/>
  <c r="G1204" i="1"/>
  <c r="F1204" i="1"/>
  <c r="D1204" i="1"/>
  <c r="C1204" i="1"/>
  <c r="B1204" i="1"/>
  <c r="K1203" i="1"/>
  <c r="H1203" i="1"/>
  <c r="G1203" i="1"/>
  <c r="F1203" i="1"/>
  <c r="D1203" i="1"/>
  <c r="C1203" i="1"/>
  <c r="B1203" i="1"/>
  <c r="K1202" i="1"/>
  <c r="H1202" i="1"/>
  <c r="G1202" i="1"/>
  <c r="F1202" i="1"/>
  <c r="D1202" i="1"/>
  <c r="C1202" i="1"/>
  <c r="B1202" i="1"/>
  <c r="K1201" i="1"/>
  <c r="H1201" i="1"/>
  <c r="G1201" i="1"/>
  <c r="F1201" i="1"/>
  <c r="D1201" i="1"/>
  <c r="C1201" i="1"/>
  <c r="B1201" i="1"/>
  <c r="K1200" i="1"/>
  <c r="H1200" i="1"/>
  <c r="G1200" i="1"/>
  <c r="F1200" i="1"/>
  <c r="D1200" i="1"/>
  <c r="C1200" i="1"/>
  <c r="B1200" i="1"/>
  <c r="K1199" i="1"/>
  <c r="H1199" i="1"/>
  <c r="G1199" i="1"/>
  <c r="F1199" i="1"/>
  <c r="D1199" i="1"/>
  <c r="C1199" i="1"/>
  <c r="B1199" i="1"/>
  <c r="K1198" i="1"/>
  <c r="H1198" i="1"/>
  <c r="G1198" i="1"/>
  <c r="F1198" i="1"/>
  <c r="D1198" i="1"/>
  <c r="C1198" i="1"/>
  <c r="B1198" i="1"/>
  <c r="K1197" i="1"/>
  <c r="H1197" i="1"/>
  <c r="G1197" i="1"/>
  <c r="F1197" i="1"/>
  <c r="D1197" i="1"/>
  <c r="C1197" i="1"/>
  <c r="B1197" i="1"/>
  <c r="K1196" i="1"/>
  <c r="H1196" i="1"/>
  <c r="G1196" i="1"/>
  <c r="F1196" i="1"/>
  <c r="D1196" i="1"/>
  <c r="C1196" i="1"/>
  <c r="B1196" i="1"/>
  <c r="K1195" i="1"/>
  <c r="H1195" i="1"/>
  <c r="G1195" i="1"/>
  <c r="F1195" i="1"/>
  <c r="D1195" i="1"/>
  <c r="C1195" i="1"/>
  <c r="B1195" i="1"/>
  <c r="K1194" i="1"/>
  <c r="H1194" i="1"/>
  <c r="G1194" i="1"/>
  <c r="F1194" i="1"/>
  <c r="D1194" i="1"/>
  <c r="C1194" i="1"/>
  <c r="B1194" i="1"/>
  <c r="K1193" i="1"/>
  <c r="H1193" i="1"/>
  <c r="G1193" i="1"/>
  <c r="F1193" i="1"/>
  <c r="D1193" i="1"/>
  <c r="C1193" i="1"/>
  <c r="B1193" i="1"/>
  <c r="K1192" i="1"/>
  <c r="H1192" i="1"/>
  <c r="G1192" i="1"/>
  <c r="F1192" i="1"/>
  <c r="D1192" i="1"/>
  <c r="C1192" i="1"/>
  <c r="B1192" i="1"/>
  <c r="K1191" i="1"/>
  <c r="H1191" i="1"/>
  <c r="G1191" i="1"/>
  <c r="F1191" i="1"/>
  <c r="D1191" i="1"/>
  <c r="C1191" i="1"/>
  <c r="B1191" i="1"/>
  <c r="K1190" i="1"/>
  <c r="H1190" i="1"/>
  <c r="G1190" i="1"/>
  <c r="F1190" i="1"/>
  <c r="D1190" i="1"/>
  <c r="C1190" i="1"/>
  <c r="B1190" i="1"/>
  <c r="K1189" i="1"/>
  <c r="H1189" i="1"/>
  <c r="G1189" i="1"/>
  <c r="F1189" i="1"/>
  <c r="D1189" i="1"/>
  <c r="C1189" i="1"/>
  <c r="B1189" i="1"/>
  <c r="K1188" i="1"/>
  <c r="H1188" i="1"/>
  <c r="G1188" i="1"/>
  <c r="F1188" i="1"/>
  <c r="D1188" i="1"/>
  <c r="C1188" i="1"/>
  <c r="B1188" i="1"/>
  <c r="K1187" i="1"/>
  <c r="H1187" i="1"/>
  <c r="G1187" i="1"/>
  <c r="F1187" i="1"/>
  <c r="D1187" i="1"/>
  <c r="C1187" i="1"/>
  <c r="B1187" i="1"/>
  <c r="K1186" i="1"/>
  <c r="H1186" i="1"/>
  <c r="G1186" i="1"/>
  <c r="F1186" i="1"/>
  <c r="D1186" i="1"/>
  <c r="C1186" i="1"/>
  <c r="B1186" i="1"/>
  <c r="K1185" i="1"/>
  <c r="H1185" i="1"/>
  <c r="G1185" i="1"/>
  <c r="F1185" i="1"/>
  <c r="D1185" i="1"/>
  <c r="C1185" i="1"/>
  <c r="B1185" i="1"/>
  <c r="K1184" i="1"/>
  <c r="H1184" i="1"/>
  <c r="G1184" i="1"/>
  <c r="F1184" i="1"/>
  <c r="D1184" i="1"/>
  <c r="C1184" i="1"/>
  <c r="B1184" i="1"/>
  <c r="K1183" i="1"/>
  <c r="H1183" i="1"/>
  <c r="G1183" i="1"/>
  <c r="F1183" i="1"/>
  <c r="D1183" i="1"/>
  <c r="C1183" i="1"/>
  <c r="B1183" i="1"/>
  <c r="K1182" i="1"/>
  <c r="H1182" i="1"/>
  <c r="G1182" i="1"/>
  <c r="F1182" i="1"/>
  <c r="D1182" i="1"/>
  <c r="C1182" i="1"/>
  <c r="B1182" i="1"/>
  <c r="K1181" i="1"/>
  <c r="H1181" i="1"/>
  <c r="G1181" i="1"/>
  <c r="F1181" i="1"/>
  <c r="D1181" i="1"/>
  <c r="C1181" i="1"/>
  <c r="B1181" i="1"/>
  <c r="K1180" i="1"/>
  <c r="H1180" i="1"/>
  <c r="G1180" i="1"/>
  <c r="F1180" i="1"/>
  <c r="D1180" i="1"/>
  <c r="C1180" i="1"/>
  <c r="B1180" i="1"/>
  <c r="K1179" i="1"/>
  <c r="H1179" i="1"/>
  <c r="G1179" i="1"/>
  <c r="F1179" i="1"/>
  <c r="D1179" i="1"/>
  <c r="C1179" i="1"/>
  <c r="B1179" i="1"/>
  <c r="K1178" i="1"/>
  <c r="H1178" i="1"/>
  <c r="G1178" i="1"/>
  <c r="F1178" i="1"/>
  <c r="D1178" i="1"/>
  <c r="C1178" i="1"/>
  <c r="B1178" i="1"/>
  <c r="K1177" i="1"/>
  <c r="H1177" i="1"/>
  <c r="G1177" i="1"/>
  <c r="F1177" i="1"/>
  <c r="D1177" i="1"/>
  <c r="C1177" i="1"/>
  <c r="B1177" i="1"/>
  <c r="K1176" i="1"/>
  <c r="H1176" i="1"/>
  <c r="G1176" i="1"/>
  <c r="F1176" i="1"/>
  <c r="D1176" i="1"/>
  <c r="C1176" i="1"/>
  <c r="B1176" i="1"/>
  <c r="K1175" i="1"/>
  <c r="H1175" i="1"/>
  <c r="G1175" i="1"/>
  <c r="F1175" i="1"/>
  <c r="D1175" i="1"/>
  <c r="C1175" i="1"/>
  <c r="B1175" i="1"/>
  <c r="K1174" i="1"/>
  <c r="H1174" i="1"/>
  <c r="G1174" i="1"/>
  <c r="F1174" i="1"/>
  <c r="D1174" i="1"/>
  <c r="C1174" i="1"/>
  <c r="B1174" i="1"/>
  <c r="K1173" i="1"/>
  <c r="H1173" i="1"/>
  <c r="G1173" i="1"/>
  <c r="F1173" i="1"/>
  <c r="D1173" i="1"/>
  <c r="C1173" i="1"/>
  <c r="B1173" i="1"/>
  <c r="K1172" i="1"/>
  <c r="H1172" i="1"/>
  <c r="G1172" i="1"/>
  <c r="F1172" i="1"/>
  <c r="D1172" i="1"/>
  <c r="C1172" i="1"/>
  <c r="B1172" i="1"/>
  <c r="K1171" i="1"/>
  <c r="H1171" i="1"/>
  <c r="G1171" i="1"/>
  <c r="F1171" i="1"/>
  <c r="D1171" i="1"/>
  <c r="C1171" i="1"/>
  <c r="B1171" i="1"/>
  <c r="K1170" i="1"/>
  <c r="H1170" i="1"/>
  <c r="G1170" i="1"/>
  <c r="F1170" i="1"/>
  <c r="D1170" i="1"/>
  <c r="C1170" i="1"/>
  <c r="B1170" i="1"/>
  <c r="K1169" i="1"/>
  <c r="H1169" i="1"/>
  <c r="G1169" i="1"/>
  <c r="F1169" i="1"/>
  <c r="D1169" i="1"/>
  <c r="C1169" i="1"/>
  <c r="B1169" i="1"/>
  <c r="K1168" i="1"/>
  <c r="H1168" i="1"/>
  <c r="G1168" i="1"/>
  <c r="F1168" i="1"/>
  <c r="D1168" i="1"/>
  <c r="C1168" i="1"/>
  <c r="B1168" i="1"/>
  <c r="K1167" i="1"/>
  <c r="H1167" i="1"/>
  <c r="G1167" i="1"/>
  <c r="F1167" i="1"/>
  <c r="D1167" i="1"/>
  <c r="C1167" i="1"/>
  <c r="B1167" i="1"/>
  <c r="K1166" i="1"/>
  <c r="H1166" i="1"/>
  <c r="G1166" i="1"/>
  <c r="F1166" i="1"/>
  <c r="D1166" i="1"/>
  <c r="C1166" i="1"/>
  <c r="B1166" i="1"/>
  <c r="K1165" i="1"/>
  <c r="H1165" i="1"/>
  <c r="G1165" i="1"/>
  <c r="F1165" i="1"/>
  <c r="D1165" i="1"/>
  <c r="C1165" i="1"/>
  <c r="B1165" i="1"/>
  <c r="K1164" i="1"/>
  <c r="H1164" i="1"/>
  <c r="G1164" i="1"/>
  <c r="F1164" i="1"/>
  <c r="D1164" i="1"/>
  <c r="C1164" i="1"/>
  <c r="B1164" i="1"/>
  <c r="K1163" i="1"/>
  <c r="H1163" i="1"/>
  <c r="G1163" i="1"/>
  <c r="F1163" i="1"/>
  <c r="D1163" i="1"/>
  <c r="C1163" i="1"/>
  <c r="B1163" i="1"/>
  <c r="K1162" i="1"/>
  <c r="H1162" i="1"/>
  <c r="G1162" i="1"/>
  <c r="F1162" i="1"/>
  <c r="D1162" i="1"/>
  <c r="C1162" i="1"/>
  <c r="B1162" i="1"/>
  <c r="K1161" i="1"/>
  <c r="H1161" i="1"/>
  <c r="G1161" i="1"/>
  <c r="F1161" i="1"/>
  <c r="D1161" i="1"/>
  <c r="C1161" i="1"/>
  <c r="B1161" i="1"/>
  <c r="K1160" i="1"/>
  <c r="H1160" i="1"/>
  <c r="G1160" i="1"/>
  <c r="F1160" i="1"/>
  <c r="D1160" i="1"/>
  <c r="C1160" i="1"/>
  <c r="B1160" i="1"/>
  <c r="K1159" i="1"/>
  <c r="H1159" i="1"/>
  <c r="G1159" i="1"/>
  <c r="F1159" i="1"/>
  <c r="D1159" i="1"/>
  <c r="C1159" i="1"/>
  <c r="B1159" i="1"/>
  <c r="K1158" i="1"/>
  <c r="H1158" i="1"/>
  <c r="G1158" i="1"/>
  <c r="F1158" i="1"/>
  <c r="D1158" i="1"/>
  <c r="C1158" i="1"/>
  <c r="B1158" i="1"/>
  <c r="K1157" i="1"/>
  <c r="H1157" i="1"/>
  <c r="G1157" i="1"/>
  <c r="F1157" i="1"/>
  <c r="D1157" i="1"/>
  <c r="C1157" i="1"/>
  <c r="B1157" i="1"/>
  <c r="K1156" i="1"/>
  <c r="H1156" i="1"/>
  <c r="G1156" i="1"/>
  <c r="F1156" i="1"/>
  <c r="D1156" i="1"/>
  <c r="C1156" i="1"/>
  <c r="B1156" i="1"/>
  <c r="K1155" i="1"/>
  <c r="H1155" i="1"/>
  <c r="G1155" i="1"/>
  <c r="F1155" i="1"/>
  <c r="D1155" i="1"/>
  <c r="C1155" i="1"/>
  <c r="B1155" i="1"/>
  <c r="K1154" i="1"/>
  <c r="H1154" i="1"/>
  <c r="G1154" i="1"/>
  <c r="F1154" i="1"/>
  <c r="D1154" i="1"/>
  <c r="C1154" i="1"/>
  <c r="B1154" i="1"/>
  <c r="K1153" i="1"/>
  <c r="H1153" i="1"/>
  <c r="G1153" i="1"/>
  <c r="F1153" i="1"/>
  <c r="D1153" i="1"/>
  <c r="C1153" i="1"/>
  <c r="B1153" i="1"/>
  <c r="K1152" i="1"/>
  <c r="H1152" i="1"/>
  <c r="G1152" i="1"/>
  <c r="F1152" i="1"/>
  <c r="D1152" i="1"/>
  <c r="C1152" i="1"/>
  <c r="B1152" i="1"/>
  <c r="K1151" i="1"/>
  <c r="H1151" i="1"/>
  <c r="G1151" i="1"/>
  <c r="F1151" i="1"/>
  <c r="D1151" i="1"/>
  <c r="C1151" i="1"/>
  <c r="B1151" i="1"/>
  <c r="K1150" i="1"/>
  <c r="H1150" i="1"/>
  <c r="G1150" i="1"/>
  <c r="F1150" i="1"/>
  <c r="D1150" i="1"/>
  <c r="C1150" i="1"/>
  <c r="B1150" i="1"/>
  <c r="K1149" i="1"/>
  <c r="H1149" i="1"/>
  <c r="G1149" i="1"/>
  <c r="F1149" i="1"/>
  <c r="D1149" i="1"/>
  <c r="C1149" i="1"/>
  <c r="B1149" i="1"/>
  <c r="K1148" i="1"/>
  <c r="H1148" i="1"/>
  <c r="G1148" i="1"/>
  <c r="F1148" i="1"/>
  <c r="D1148" i="1"/>
  <c r="C1148" i="1"/>
  <c r="B1148" i="1"/>
  <c r="K1147" i="1"/>
  <c r="H1147" i="1"/>
  <c r="G1147" i="1"/>
  <c r="F1147" i="1"/>
  <c r="D1147" i="1"/>
  <c r="C1147" i="1"/>
  <c r="B1147" i="1"/>
  <c r="K1146" i="1"/>
  <c r="H1146" i="1"/>
  <c r="G1146" i="1"/>
  <c r="F1146" i="1"/>
  <c r="D1146" i="1"/>
  <c r="C1146" i="1"/>
  <c r="B1146" i="1"/>
  <c r="K1145" i="1"/>
  <c r="H1145" i="1"/>
  <c r="G1145" i="1"/>
  <c r="F1145" i="1"/>
  <c r="D1145" i="1"/>
  <c r="C1145" i="1"/>
  <c r="B1145" i="1"/>
  <c r="K1144" i="1"/>
  <c r="H1144" i="1"/>
  <c r="G1144" i="1"/>
  <c r="F1144" i="1"/>
  <c r="D1144" i="1"/>
  <c r="C1144" i="1"/>
  <c r="B1144" i="1"/>
  <c r="K1143" i="1"/>
  <c r="H1143" i="1"/>
  <c r="G1143" i="1"/>
  <c r="F1143" i="1"/>
  <c r="D1143" i="1"/>
  <c r="C1143" i="1"/>
  <c r="B1143" i="1"/>
  <c r="K1142" i="1"/>
  <c r="H1142" i="1"/>
  <c r="G1142" i="1"/>
  <c r="F1142" i="1"/>
  <c r="D1142" i="1"/>
  <c r="C1142" i="1"/>
  <c r="B1142" i="1"/>
  <c r="K1141" i="1"/>
  <c r="H1141" i="1"/>
  <c r="G1141" i="1"/>
  <c r="F1141" i="1"/>
  <c r="D1141" i="1"/>
  <c r="C1141" i="1"/>
  <c r="B1141" i="1"/>
  <c r="K1140" i="1"/>
  <c r="H1140" i="1"/>
  <c r="G1140" i="1"/>
  <c r="F1140" i="1"/>
  <c r="D1140" i="1"/>
  <c r="C1140" i="1"/>
  <c r="B1140" i="1"/>
  <c r="K1139" i="1"/>
  <c r="H1139" i="1"/>
  <c r="G1139" i="1"/>
  <c r="F1139" i="1"/>
  <c r="D1139" i="1"/>
  <c r="C1139" i="1"/>
  <c r="B1139" i="1"/>
  <c r="K1138" i="1"/>
  <c r="H1138" i="1"/>
  <c r="G1138" i="1"/>
  <c r="F1138" i="1"/>
  <c r="D1138" i="1"/>
  <c r="C1138" i="1"/>
  <c r="B1138" i="1"/>
  <c r="K1137" i="1"/>
  <c r="H1137" i="1"/>
  <c r="G1137" i="1"/>
  <c r="F1137" i="1"/>
  <c r="D1137" i="1"/>
  <c r="C1137" i="1"/>
  <c r="B1137" i="1"/>
  <c r="K1136" i="1"/>
  <c r="H1136" i="1"/>
  <c r="G1136" i="1"/>
  <c r="F1136" i="1"/>
  <c r="D1136" i="1"/>
  <c r="C1136" i="1"/>
  <c r="B1136" i="1"/>
  <c r="K1135" i="1"/>
  <c r="H1135" i="1"/>
  <c r="G1135" i="1"/>
  <c r="F1135" i="1"/>
  <c r="D1135" i="1"/>
  <c r="C1135" i="1"/>
  <c r="B1135" i="1"/>
  <c r="K1134" i="1"/>
  <c r="H1134" i="1"/>
  <c r="G1134" i="1"/>
  <c r="F1134" i="1"/>
  <c r="D1134" i="1"/>
  <c r="C1134" i="1"/>
  <c r="B1134" i="1"/>
  <c r="K1133" i="1"/>
  <c r="H1133" i="1"/>
  <c r="G1133" i="1"/>
  <c r="F1133" i="1"/>
  <c r="D1133" i="1"/>
  <c r="C1133" i="1"/>
  <c r="B1133" i="1"/>
  <c r="K1132" i="1"/>
  <c r="H1132" i="1"/>
  <c r="G1132" i="1"/>
  <c r="F1132" i="1"/>
  <c r="D1132" i="1"/>
  <c r="C1132" i="1"/>
  <c r="B1132" i="1"/>
  <c r="K1131" i="1"/>
  <c r="H1131" i="1"/>
  <c r="G1131" i="1"/>
  <c r="F1131" i="1"/>
  <c r="D1131" i="1"/>
  <c r="C1131" i="1"/>
  <c r="B1131" i="1"/>
  <c r="K1130" i="1"/>
  <c r="H1130" i="1"/>
  <c r="G1130" i="1"/>
  <c r="F1130" i="1"/>
  <c r="D1130" i="1"/>
  <c r="C1130" i="1"/>
  <c r="B1130" i="1"/>
  <c r="K1129" i="1"/>
  <c r="H1129" i="1"/>
  <c r="G1129" i="1"/>
  <c r="F1129" i="1"/>
  <c r="D1129" i="1"/>
  <c r="C1129" i="1"/>
  <c r="B1129" i="1"/>
  <c r="K1128" i="1"/>
  <c r="H1128" i="1"/>
  <c r="G1128" i="1"/>
  <c r="F1128" i="1"/>
  <c r="D1128" i="1"/>
  <c r="C1128" i="1"/>
  <c r="B1128" i="1"/>
  <c r="K1127" i="1"/>
  <c r="H1127" i="1"/>
  <c r="G1127" i="1"/>
  <c r="F1127" i="1"/>
  <c r="D1127" i="1"/>
  <c r="C1127" i="1"/>
  <c r="B1127" i="1"/>
  <c r="K1126" i="1"/>
  <c r="H1126" i="1"/>
  <c r="G1126" i="1"/>
  <c r="F1126" i="1"/>
  <c r="D1126" i="1"/>
  <c r="C1126" i="1"/>
  <c r="B1126" i="1"/>
  <c r="K1125" i="1"/>
  <c r="H1125" i="1"/>
  <c r="G1125" i="1"/>
  <c r="F1125" i="1"/>
  <c r="D1125" i="1"/>
  <c r="C1125" i="1"/>
  <c r="B1125" i="1"/>
  <c r="K1124" i="1"/>
  <c r="H1124" i="1"/>
  <c r="G1124" i="1"/>
  <c r="F1124" i="1"/>
  <c r="D1124" i="1"/>
  <c r="C1124" i="1"/>
  <c r="B1124" i="1"/>
  <c r="K1123" i="1"/>
  <c r="H1123" i="1"/>
  <c r="G1123" i="1"/>
  <c r="F1123" i="1"/>
  <c r="D1123" i="1"/>
  <c r="C1123" i="1"/>
  <c r="B1123" i="1"/>
  <c r="K1122" i="1"/>
  <c r="H1122" i="1"/>
  <c r="G1122" i="1"/>
  <c r="F1122" i="1"/>
  <c r="D1122" i="1"/>
  <c r="C1122" i="1"/>
  <c r="B1122" i="1"/>
  <c r="K1121" i="1"/>
  <c r="H1121" i="1"/>
  <c r="G1121" i="1"/>
  <c r="F1121" i="1"/>
  <c r="D1121" i="1"/>
  <c r="C1121" i="1"/>
  <c r="B1121" i="1"/>
  <c r="K1120" i="1"/>
  <c r="H1120" i="1"/>
  <c r="G1120" i="1"/>
  <c r="F1120" i="1"/>
  <c r="D1120" i="1"/>
  <c r="C1120" i="1"/>
  <c r="B1120" i="1"/>
  <c r="K1119" i="1"/>
  <c r="H1119" i="1"/>
  <c r="G1119" i="1"/>
  <c r="F1119" i="1"/>
  <c r="D1119" i="1"/>
  <c r="C1119" i="1"/>
  <c r="B1119" i="1"/>
  <c r="K1118" i="1"/>
  <c r="H1118" i="1"/>
  <c r="G1118" i="1"/>
  <c r="F1118" i="1"/>
  <c r="D1118" i="1"/>
  <c r="C1118" i="1"/>
  <c r="B1118" i="1"/>
  <c r="K1117" i="1"/>
  <c r="H1117" i="1"/>
  <c r="G1117" i="1"/>
  <c r="F1117" i="1"/>
  <c r="D1117" i="1"/>
  <c r="C1117" i="1"/>
  <c r="B1117" i="1"/>
  <c r="K1116" i="1"/>
  <c r="H1116" i="1"/>
  <c r="G1116" i="1"/>
  <c r="F1116" i="1"/>
  <c r="D1116" i="1"/>
  <c r="C1116" i="1"/>
  <c r="B1116" i="1"/>
  <c r="K1115" i="1"/>
  <c r="H1115" i="1"/>
  <c r="G1115" i="1"/>
  <c r="F1115" i="1"/>
  <c r="D1115" i="1"/>
  <c r="C1115" i="1"/>
  <c r="B1115" i="1"/>
  <c r="K1114" i="1"/>
  <c r="H1114" i="1"/>
  <c r="G1114" i="1"/>
  <c r="F1114" i="1"/>
  <c r="D1114" i="1"/>
  <c r="C1114" i="1"/>
  <c r="B1114" i="1"/>
  <c r="K1113" i="1"/>
  <c r="H1113" i="1"/>
  <c r="G1113" i="1"/>
  <c r="F1113" i="1"/>
  <c r="D1113" i="1"/>
  <c r="C1113" i="1"/>
  <c r="B1113" i="1"/>
  <c r="K1112" i="1"/>
  <c r="H1112" i="1"/>
  <c r="G1112" i="1"/>
  <c r="F1112" i="1"/>
  <c r="D1112" i="1"/>
  <c r="C1112" i="1"/>
  <c r="B1112" i="1"/>
  <c r="K1111" i="1"/>
  <c r="H1111" i="1"/>
  <c r="G1111" i="1"/>
  <c r="F1111" i="1"/>
  <c r="D1111" i="1"/>
  <c r="C1111" i="1"/>
  <c r="B1111" i="1"/>
  <c r="K1110" i="1"/>
  <c r="H1110" i="1"/>
  <c r="G1110" i="1"/>
  <c r="F1110" i="1"/>
  <c r="D1110" i="1"/>
  <c r="C1110" i="1"/>
  <c r="B1110" i="1"/>
  <c r="K1109" i="1"/>
  <c r="H1109" i="1"/>
  <c r="G1109" i="1"/>
  <c r="F1109" i="1"/>
  <c r="D1109" i="1"/>
  <c r="C1109" i="1"/>
  <c r="B1109" i="1"/>
  <c r="K1108" i="1"/>
  <c r="H1108" i="1"/>
  <c r="G1108" i="1"/>
  <c r="F1108" i="1"/>
  <c r="D1108" i="1"/>
  <c r="C1108" i="1"/>
  <c r="B1108" i="1"/>
  <c r="K1107" i="1"/>
  <c r="H1107" i="1"/>
  <c r="G1107" i="1"/>
  <c r="F1107" i="1"/>
  <c r="D1107" i="1"/>
  <c r="C1107" i="1"/>
  <c r="B1107" i="1"/>
  <c r="K1106" i="1"/>
  <c r="H1106" i="1"/>
  <c r="G1106" i="1"/>
  <c r="F1106" i="1"/>
  <c r="D1106" i="1"/>
  <c r="C1106" i="1"/>
  <c r="B1106" i="1"/>
  <c r="K1105" i="1"/>
  <c r="H1105" i="1"/>
  <c r="G1105" i="1"/>
  <c r="F1105" i="1"/>
  <c r="D1105" i="1"/>
  <c r="C1105" i="1"/>
  <c r="B1105" i="1"/>
  <c r="K1104" i="1"/>
  <c r="H1104" i="1"/>
  <c r="G1104" i="1"/>
  <c r="F1104" i="1"/>
  <c r="D1104" i="1"/>
  <c r="C1104" i="1"/>
  <c r="B1104" i="1"/>
  <c r="K1103" i="1"/>
  <c r="H1103" i="1"/>
  <c r="G1103" i="1"/>
  <c r="F1103" i="1"/>
  <c r="D1103" i="1"/>
  <c r="C1103" i="1"/>
  <c r="B1103" i="1"/>
  <c r="K1102" i="1"/>
  <c r="H1102" i="1"/>
  <c r="G1102" i="1"/>
  <c r="F1102" i="1"/>
  <c r="D1102" i="1"/>
  <c r="C1102" i="1"/>
  <c r="B1102" i="1"/>
  <c r="K1101" i="1"/>
  <c r="H1101" i="1"/>
  <c r="G1101" i="1"/>
  <c r="F1101" i="1"/>
  <c r="D1101" i="1"/>
  <c r="C1101" i="1"/>
  <c r="B1101" i="1"/>
  <c r="K1100" i="1"/>
  <c r="H1100" i="1"/>
  <c r="G1100" i="1"/>
  <c r="F1100" i="1"/>
  <c r="D1100" i="1"/>
  <c r="C1100" i="1"/>
  <c r="B1100" i="1"/>
  <c r="K1099" i="1"/>
  <c r="H1099" i="1"/>
  <c r="G1099" i="1"/>
  <c r="F1099" i="1"/>
  <c r="D1099" i="1"/>
  <c r="C1099" i="1"/>
  <c r="B1099" i="1"/>
  <c r="K1098" i="1"/>
  <c r="H1098" i="1"/>
  <c r="G1098" i="1"/>
  <c r="F1098" i="1"/>
  <c r="D1098" i="1"/>
  <c r="C1098" i="1"/>
  <c r="B1098" i="1"/>
  <c r="K1097" i="1"/>
  <c r="H1097" i="1"/>
  <c r="G1097" i="1"/>
  <c r="F1097" i="1"/>
  <c r="D1097" i="1"/>
  <c r="C1097" i="1"/>
  <c r="B1097" i="1"/>
  <c r="K1096" i="1"/>
  <c r="H1096" i="1"/>
  <c r="G1096" i="1"/>
  <c r="F1096" i="1"/>
  <c r="D1096" i="1"/>
  <c r="C1096" i="1"/>
  <c r="B1096" i="1"/>
  <c r="K1095" i="1"/>
  <c r="H1095" i="1"/>
  <c r="G1095" i="1"/>
  <c r="F1095" i="1"/>
  <c r="D1095" i="1"/>
  <c r="C1095" i="1"/>
  <c r="B1095" i="1"/>
  <c r="K1094" i="1"/>
  <c r="H1094" i="1"/>
  <c r="G1094" i="1"/>
  <c r="F1094" i="1"/>
  <c r="D1094" i="1"/>
  <c r="C1094" i="1"/>
  <c r="B1094" i="1"/>
  <c r="K1093" i="1"/>
  <c r="H1093" i="1"/>
  <c r="G1093" i="1"/>
  <c r="F1093" i="1"/>
  <c r="D1093" i="1"/>
  <c r="C1093" i="1"/>
  <c r="B1093" i="1"/>
  <c r="K1092" i="1"/>
  <c r="H1092" i="1"/>
  <c r="G1092" i="1"/>
  <c r="F1092" i="1"/>
  <c r="D1092" i="1"/>
  <c r="C1092" i="1"/>
  <c r="B1092" i="1"/>
  <c r="K1091" i="1"/>
  <c r="H1091" i="1"/>
  <c r="G1091" i="1"/>
  <c r="F1091" i="1"/>
  <c r="D1091" i="1"/>
  <c r="C1091" i="1"/>
  <c r="B1091" i="1"/>
  <c r="K1090" i="1"/>
  <c r="H1090" i="1"/>
  <c r="G1090" i="1"/>
  <c r="F1090" i="1"/>
  <c r="D1090" i="1"/>
  <c r="C1090" i="1"/>
  <c r="B1090" i="1"/>
  <c r="K1089" i="1"/>
  <c r="H1089" i="1"/>
  <c r="G1089" i="1"/>
  <c r="F1089" i="1"/>
  <c r="D1089" i="1"/>
  <c r="C1089" i="1"/>
  <c r="B1089" i="1"/>
  <c r="K1088" i="1"/>
  <c r="H1088" i="1"/>
  <c r="G1088" i="1"/>
  <c r="F1088" i="1"/>
  <c r="D1088" i="1"/>
  <c r="C1088" i="1"/>
  <c r="B1088" i="1"/>
  <c r="K1087" i="1"/>
  <c r="H1087" i="1"/>
  <c r="G1087" i="1"/>
  <c r="F1087" i="1"/>
  <c r="D1087" i="1"/>
  <c r="C1087" i="1"/>
  <c r="B1087" i="1"/>
  <c r="K1086" i="1"/>
  <c r="H1086" i="1"/>
  <c r="G1086" i="1"/>
  <c r="F1086" i="1"/>
  <c r="D1086" i="1"/>
  <c r="C1086" i="1"/>
  <c r="B1086" i="1"/>
  <c r="K1085" i="1"/>
  <c r="H1085" i="1"/>
  <c r="G1085" i="1"/>
  <c r="F1085" i="1"/>
  <c r="D1085" i="1"/>
  <c r="C1085" i="1"/>
  <c r="B1085" i="1"/>
  <c r="K1084" i="1"/>
  <c r="H1084" i="1"/>
  <c r="G1084" i="1"/>
  <c r="F1084" i="1"/>
  <c r="D1084" i="1"/>
  <c r="C1084" i="1"/>
  <c r="B1084" i="1"/>
  <c r="K1083" i="1"/>
  <c r="H1083" i="1"/>
  <c r="G1083" i="1"/>
  <c r="F1083" i="1"/>
  <c r="D1083" i="1"/>
  <c r="C1083" i="1"/>
  <c r="B1083" i="1"/>
  <c r="K1082" i="1"/>
  <c r="H1082" i="1"/>
  <c r="G1082" i="1"/>
  <c r="F1082" i="1"/>
  <c r="D1082" i="1"/>
  <c r="C1082" i="1"/>
  <c r="B1082" i="1"/>
  <c r="K1081" i="1"/>
  <c r="H1081" i="1"/>
  <c r="G1081" i="1"/>
  <c r="F1081" i="1"/>
  <c r="D1081" i="1"/>
  <c r="C1081" i="1"/>
  <c r="B1081" i="1"/>
  <c r="K1080" i="1"/>
  <c r="H1080" i="1"/>
  <c r="G1080" i="1"/>
  <c r="F1080" i="1"/>
  <c r="D1080" i="1"/>
  <c r="C1080" i="1"/>
  <c r="B1080" i="1"/>
  <c r="K1079" i="1"/>
  <c r="H1079" i="1"/>
  <c r="G1079" i="1"/>
  <c r="F1079" i="1"/>
  <c r="D1079" i="1"/>
  <c r="C1079" i="1"/>
  <c r="B1079" i="1"/>
  <c r="K1078" i="1"/>
  <c r="H1078" i="1"/>
  <c r="G1078" i="1"/>
  <c r="F1078" i="1"/>
  <c r="D1078" i="1"/>
  <c r="C1078" i="1"/>
  <c r="B1078" i="1"/>
  <c r="K1077" i="1"/>
  <c r="H1077" i="1"/>
  <c r="G1077" i="1"/>
  <c r="F1077" i="1"/>
  <c r="D1077" i="1"/>
  <c r="C1077" i="1"/>
  <c r="B1077" i="1"/>
  <c r="K1076" i="1"/>
  <c r="H1076" i="1"/>
  <c r="G1076" i="1"/>
  <c r="F1076" i="1"/>
  <c r="D1076" i="1"/>
  <c r="C1076" i="1"/>
  <c r="B1076" i="1"/>
  <c r="K1075" i="1"/>
  <c r="H1075" i="1"/>
  <c r="G1075" i="1"/>
  <c r="F1075" i="1"/>
  <c r="D1075" i="1"/>
  <c r="C1075" i="1"/>
  <c r="B1075" i="1"/>
  <c r="K1074" i="1"/>
  <c r="H1074" i="1"/>
  <c r="G1074" i="1"/>
  <c r="F1074" i="1"/>
  <c r="D1074" i="1"/>
  <c r="C1074" i="1"/>
  <c r="B1074" i="1"/>
  <c r="K1073" i="1"/>
  <c r="H1073" i="1"/>
  <c r="G1073" i="1"/>
  <c r="F1073" i="1"/>
  <c r="D1073" i="1"/>
  <c r="C1073" i="1"/>
  <c r="B1073" i="1"/>
  <c r="K1072" i="1"/>
  <c r="H1072" i="1"/>
  <c r="G1072" i="1"/>
  <c r="F1072" i="1"/>
  <c r="D1072" i="1"/>
  <c r="C1072" i="1"/>
  <c r="B1072" i="1"/>
  <c r="K1071" i="1"/>
  <c r="H1071" i="1"/>
  <c r="G1071" i="1"/>
  <c r="F1071" i="1"/>
  <c r="D1071" i="1"/>
  <c r="C1071" i="1"/>
  <c r="B1071" i="1"/>
  <c r="K1070" i="1"/>
  <c r="H1070" i="1"/>
  <c r="G1070" i="1"/>
  <c r="F1070" i="1"/>
  <c r="D1070" i="1"/>
  <c r="C1070" i="1"/>
  <c r="B1070" i="1"/>
  <c r="K1069" i="1"/>
  <c r="H1069" i="1"/>
  <c r="G1069" i="1"/>
  <c r="F1069" i="1"/>
  <c r="D1069" i="1"/>
  <c r="C1069" i="1"/>
  <c r="B1069" i="1"/>
  <c r="K1068" i="1"/>
  <c r="H1068" i="1"/>
  <c r="G1068" i="1"/>
  <c r="F1068" i="1"/>
  <c r="D1068" i="1"/>
  <c r="C1068" i="1"/>
  <c r="B1068" i="1"/>
  <c r="K1067" i="1"/>
  <c r="H1067" i="1"/>
  <c r="G1067" i="1"/>
  <c r="F1067" i="1"/>
  <c r="D1067" i="1"/>
  <c r="C1067" i="1"/>
  <c r="B1067" i="1"/>
  <c r="K1066" i="1"/>
  <c r="H1066" i="1"/>
  <c r="G1066" i="1"/>
  <c r="F1066" i="1"/>
  <c r="D1066" i="1"/>
  <c r="C1066" i="1"/>
  <c r="B1066" i="1"/>
  <c r="K1065" i="1"/>
  <c r="H1065" i="1"/>
  <c r="G1065" i="1"/>
  <c r="F1065" i="1"/>
  <c r="D1065" i="1"/>
  <c r="C1065" i="1"/>
  <c r="B1065" i="1"/>
  <c r="K1064" i="1"/>
  <c r="H1064" i="1"/>
  <c r="G1064" i="1"/>
  <c r="F1064" i="1"/>
  <c r="D1064" i="1"/>
  <c r="C1064" i="1"/>
  <c r="B1064" i="1"/>
  <c r="K1063" i="1"/>
  <c r="H1063" i="1"/>
  <c r="G1063" i="1"/>
  <c r="F1063" i="1"/>
  <c r="D1063" i="1"/>
  <c r="C1063" i="1"/>
  <c r="B1063" i="1"/>
  <c r="K1062" i="1"/>
  <c r="H1062" i="1"/>
  <c r="G1062" i="1"/>
  <c r="F1062" i="1"/>
  <c r="D1062" i="1"/>
  <c r="C1062" i="1"/>
  <c r="B1062" i="1"/>
  <c r="K1061" i="1"/>
  <c r="H1061" i="1"/>
  <c r="G1061" i="1"/>
  <c r="F1061" i="1"/>
  <c r="D1061" i="1"/>
  <c r="C1061" i="1"/>
  <c r="B1061" i="1"/>
  <c r="K1060" i="1"/>
  <c r="H1060" i="1"/>
  <c r="G1060" i="1"/>
  <c r="F1060" i="1"/>
  <c r="D1060" i="1"/>
  <c r="C1060" i="1"/>
  <c r="B1060" i="1"/>
  <c r="K1059" i="1"/>
  <c r="H1059" i="1"/>
  <c r="G1059" i="1"/>
  <c r="F1059" i="1"/>
  <c r="D1059" i="1"/>
  <c r="C1059" i="1"/>
  <c r="B1059" i="1"/>
  <c r="K1058" i="1"/>
  <c r="H1058" i="1"/>
  <c r="G1058" i="1"/>
  <c r="F1058" i="1"/>
  <c r="D1058" i="1"/>
  <c r="C1058" i="1"/>
  <c r="B1058" i="1"/>
  <c r="K1057" i="1"/>
  <c r="H1057" i="1"/>
  <c r="G1057" i="1"/>
  <c r="F1057" i="1"/>
  <c r="D1057" i="1"/>
  <c r="C1057" i="1"/>
  <c r="B1057" i="1"/>
  <c r="K1056" i="1"/>
  <c r="H1056" i="1"/>
  <c r="G1056" i="1"/>
  <c r="F1056" i="1"/>
  <c r="D1056" i="1"/>
  <c r="C1056" i="1"/>
  <c r="B1056" i="1"/>
  <c r="K1055" i="1"/>
  <c r="H1055" i="1"/>
  <c r="G1055" i="1"/>
  <c r="F1055" i="1"/>
  <c r="D1055" i="1"/>
  <c r="C1055" i="1"/>
  <c r="B1055" i="1"/>
  <c r="K1054" i="1"/>
  <c r="H1054" i="1"/>
  <c r="G1054" i="1"/>
  <c r="F1054" i="1"/>
  <c r="D1054" i="1"/>
  <c r="C1054" i="1"/>
  <c r="B1054" i="1"/>
  <c r="K1053" i="1"/>
  <c r="H1053" i="1"/>
  <c r="G1053" i="1"/>
  <c r="F1053" i="1"/>
  <c r="D1053" i="1"/>
  <c r="C1053" i="1"/>
  <c r="B1053" i="1"/>
  <c r="K1052" i="1"/>
  <c r="H1052" i="1"/>
  <c r="G1052" i="1"/>
  <c r="F1052" i="1"/>
  <c r="D1052" i="1"/>
  <c r="C1052" i="1"/>
  <c r="B1052" i="1"/>
  <c r="K1051" i="1"/>
  <c r="H1051" i="1"/>
  <c r="G1051" i="1"/>
  <c r="F1051" i="1"/>
  <c r="D1051" i="1"/>
  <c r="C1051" i="1"/>
  <c r="B1051" i="1"/>
  <c r="K1050" i="1"/>
  <c r="H1050" i="1"/>
  <c r="G1050" i="1"/>
  <c r="F1050" i="1"/>
  <c r="D1050" i="1"/>
  <c r="C1050" i="1"/>
  <c r="B1050" i="1"/>
  <c r="K1049" i="1"/>
  <c r="H1049" i="1"/>
  <c r="G1049" i="1"/>
  <c r="F1049" i="1"/>
  <c r="D1049" i="1"/>
  <c r="C1049" i="1"/>
  <c r="B1049" i="1"/>
  <c r="K1048" i="1"/>
  <c r="H1048" i="1"/>
  <c r="G1048" i="1"/>
  <c r="F1048" i="1"/>
  <c r="D1048" i="1"/>
  <c r="C1048" i="1"/>
  <c r="B1048" i="1"/>
  <c r="K1047" i="1"/>
  <c r="H1047" i="1"/>
  <c r="G1047" i="1"/>
  <c r="F1047" i="1"/>
  <c r="D1047" i="1"/>
  <c r="C1047" i="1"/>
  <c r="B1047" i="1"/>
  <c r="K1046" i="1"/>
  <c r="H1046" i="1"/>
  <c r="G1046" i="1"/>
  <c r="F1046" i="1"/>
  <c r="D1046" i="1"/>
  <c r="C1046" i="1"/>
  <c r="B1046" i="1"/>
  <c r="K1045" i="1"/>
  <c r="H1045" i="1"/>
  <c r="G1045" i="1"/>
  <c r="F1045" i="1"/>
  <c r="D1045" i="1"/>
  <c r="C1045" i="1"/>
  <c r="B1045" i="1"/>
  <c r="K1044" i="1"/>
  <c r="H1044" i="1"/>
  <c r="G1044" i="1"/>
  <c r="F1044" i="1"/>
  <c r="D1044" i="1"/>
  <c r="C1044" i="1"/>
  <c r="B1044" i="1"/>
  <c r="K1043" i="1"/>
  <c r="H1043" i="1"/>
  <c r="G1043" i="1"/>
  <c r="F1043" i="1"/>
  <c r="D1043" i="1"/>
  <c r="C1043" i="1"/>
  <c r="B1043" i="1"/>
  <c r="K1042" i="1"/>
  <c r="H1042" i="1"/>
  <c r="G1042" i="1"/>
  <c r="F1042" i="1"/>
  <c r="D1042" i="1"/>
  <c r="C1042" i="1"/>
  <c r="B1042" i="1"/>
  <c r="K1041" i="1"/>
  <c r="H1041" i="1"/>
  <c r="G1041" i="1"/>
  <c r="F1041" i="1"/>
  <c r="D1041" i="1"/>
  <c r="C1041" i="1"/>
  <c r="B1041" i="1"/>
  <c r="K1040" i="1"/>
  <c r="H1040" i="1"/>
  <c r="G1040" i="1"/>
  <c r="F1040" i="1"/>
  <c r="D1040" i="1"/>
  <c r="C1040" i="1"/>
  <c r="B1040" i="1"/>
  <c r="K1039" i="1"/>
  <c r="H1039" i="1"/>
  <c r="G1039" i="1"/>
  <c r="F1039" i="1"/>
  <c r="D1039" i="1"/>
  <c r="C1039" i="1"/>
  <c r="B1039" i="1"/>
  <c r="K1038" i="1"/>
  <c r="H1038" i="1"/>
  <c r="G1038" i="1"/>
  <c r="F1038" i="1"/>
  <c r="D1038" i="1"/>
  <c r="C1038" i="1"/>
  <c r="B1038" i="1"/>
  <c r="K1037" i="1"/>
  <c r="H1037" i="1"/>
  <c r="G1037" i="1"/>
  <c r="F1037" i="1"/>
  <c r="D1037" i="1"/>
  <c r="C1037" i="1"/>
  <c r="B1037" i="1"/>
  <c r="K1036" i="1"/>
  <c r="H1036" i="1"/>
  <c r="G1036" i="1"/>
  <c r="F1036" i="1"/>
  <c r="D1036" i="1"/>
  <c r="C1036" i="1"/>
  <c r="B1036" i="1"/>
  <c r="K1035" i="1"/>
  <c r="H1035" i="1"/>
  <c r="G1035" i="1"/>
  <c r="F1035" i="1"/>
  <c r="D1035" i="1"/>
  <c r="C1035" i="1"/>
  <c r="B1035" i="1"/>
  <c r="K1034" i="1"/>
  <c r="H1034" i="1"/>
  <c r="G1034" i="1"/>
  <c r="F1034" i="1"/>
  <c r="D1034" i="1"/>
  <c r="C1034" i="1"/>
  <c r="B1034" i="1"/>
  <c r="K1033" i="1"/>
  <c r="H1033" i="1"/>
  <c r="G1033" i="1"/>
  <c r="F1033" i="1"/>
  <c r="D1033" i="1"/>
  <c r="C1033" i="1"/>
  <c r="B1033" i="1"/>
  <c r="K1032" i="1"/>
  <c r="H1032" i="1"/>
  <c r="G1032" i="1"/>
  <c r="F1032" i="1"/>
  <c r="D1032" i="1"/>
  <c r="C1032" i="1"/>
  <c r="B1032" i="1"/>
  <c r="K1031" i="1"/>
  <c r="H1031" i="1"/>
  <c r="G1031" i="1"/>
  <c r="F1031" i="1"/>
  <c r="D1031" i="1"/>
  <c r="C1031" i="1"/>
  <c r="B1031" i="1"/>
  <c r="K1030" i="1"/>
  <c r="H1030" i="1"/>
  <c r="G1030" i="1"/>
  <c r="F1030" i="1"/>
  <c r="D1030" i="1"/>
  <c r="C1030" i="1"/>
  <c r="B1030" i="1"/>
  <c r="K1029" i="1"/>
  <c r="H1029" i="1"/>
  <c r="G1029" i="1"/>
  <c r="F1029" i="1"/>
  <c r="D1029" i="1"/>
  <c r="C1029" i="1"/>
  <c r="B1029" i="1"/>
  <c r="K1028" i="1"/>
  <c r="H1028" i="1"/>
  <c r="G1028" i="1"/>
  <c r="F1028" i="1"/>
  <c r="D1028" i="1"/>
  <c r="C1028" i="1"/>
  <c r="B1028" i="1"/>
  <c r="K1027" i="1"/>
  <c r="H1027" i="1"/>
  <c r="G1027" i="1"/>
  <c r="F1027" i="1"/>
  <c r="D1027" i="1"/>
  <c r="C1027" i="1"/>
  <c r="B1027" i="1"/>
  <c r="K1026" i="1"/>
  <c r="H1026" i="1"/>
  <c r="G1026" i="1"/>
  <c r="F1026" i="1"/>
  <c r="D1026" i="1"/>
  <c r="C1026" i="1"/>
  <c r="B1026" i="1"/>
  <c r="K1025" i="1"/>
  <c r="H1025" i="1"/>
  <c r="G1025" i="1"/>
  <c r="F1025" i="1"/>
  <c r="D1025" i="1"/>
  <c r="C1025" i="1"/>
  <c r="B1025" i="1"/>
  <c r="K1024" i="1"/>
  <c r="H1024" i="1"/>
  <c r="G1024" i="1"/>
  <c r="F1024" i="1"/>
  <c r="D1024" i="1"/>
  <c r="C1024" i="1"/>
  <c r="B1024" i="1"/>
  <c r="K1023" i="1"/>
  <c r="H1023" i="1"/>
  <c r="G1023" i="1"/>
  <c r="F1023" i="1"/>
  <c r="D1023" i="1"/>
  <c r="C1023" i="1"/>
  <c r="B1023" i="1"/>
  <c r="K1022" i="1"/>
  <c r="H1022" i="1"/>
  <c r="G1022" i="1"/>
  <c r="F1022" i="1"/>
  <c r="D1022" i="1"/>
  <c r="C1022" i="1"/>
  <c r="B1022" i="1"/>
  <c r="K1021" i="1"/>
  <c r="H1021" i="1"/>
  <c r="G1021" i="1"/>
  <c r="F1021" i="1"/>
  <c r="D1021" i="1"/>
  <c r="C1021" i="1"/>
  <c r="B1021" i="1"/>
  <c r="K1020" i="1"/>
  <c r="H1020" i="1"/>
  <c r="G1020" i="1"/>
  <c r="F1020" i="1"/>
  <c r="D1020" i="1"/>
  <c r="C1020" i="1"/>
  <c r="B1020" i="1"/>
  <c r="K1019" i="1"/>
  <c r="H1019" i="1"/>
  <c r="G1019" i="1"/>
  <c r="F1019" i="1"/>
  <c r="D1019" i="1"/>
  <c r="C1019" i="1"/>
  <c r="B1019" i="1"/>
  <c r="K1018" i="1"/>
  <c r="H1018" i="1"/>
  <c r="G1018" i="1"/>
  <c r="F1018" i="1"/>
  <c r="D1018" i="1"/>
  <c r="C1018" i="1"/>
  <c r="B1018" i="1"/>
  <c r="K1017" i="1"/>
  <c r="H1017" i="1"/>
  <c r="G1017" i="1"/>
  <c r="F1017" i="1"/>
  <c r="D1017" i="1"/>
  <c r="C1017" i="1"/>
  <c r="B1017" i="1"/>
  <c r="K1016" i="1"/>
  <c r="H1016" i="1"/>
  <c r="G1016" i="1"/>
  <c r="F1016" i="1"/>
  <c r="D1016" i="1"/>
  <c r="C1016" i="1"/>
  <c r="B1016" i="1"/>
  <c r="K1015" i="1"/>
  <c r="H1015" i="1"/>
  <c r="G1015" i="1"/>
  <c r="F1015" i="1"/>
  <c r="D1015" i="1"/>
  <c r="C1015" i="1"/>
  <c r="B1015" i="1"/>
  <c r="K1014" i="1"/>
  <c r="H1014" i="1"/>
  <c r="G1014" i="1"/>
  <c r="F1014" i="1"/>
  <c r="D1014" i="1"/>
  <c r="C1014" i="1"/>
  <c r="B1014" i="1"/>
  <c r="K1013" i="1"/>
  <c r="H1013" i="1"/>
  <c r="G1013" i="1"/>
  <c r="F1013" i="1"/>
  <c r="D1013" i="1"/>
  <c r="C1013" i="1"/>
  <c r="B1013" i="1"/>
  <c r="K1012" i="1"/>
  <c r="H1012" i="1"/>
  <c r="G1012" i="1"/>
  <c r="F1012" i="1"/>
  <c r="D1012" i="1"/>
  <c r="C1012" i="1"/>
  <c r="B1012" i="1"/>
  <c r="K1011" i="1"/>
  <c r="H1011" i="1"/>
  <c r="G1011" i="1"/>
  <c r="F1011" i="1"/>
  <c r="D1011" i="1"/>
  <c r="C1011" i="1"/>
  <c r="B1011" i="1"/>
  <c r="K1010" i="1"/>
  <c r="H1010" i="1"/>
  <c r="G1010" i="1"/>
  <c r="F1010" i="1"/>
  <c r="D1010" i="1"/>
  <c r="C1010" i="1"/>
  <c r="B1010" i="1"/>
  <c r="K1009" i="1"/>
  <c r="H1009" i="1"/>
  <c r="G1009" i="1"/>
  <c r="F1009" i="1"/>
  <c r="D1009" i="1"/>
  <c r="C1009" i="1"/>
  <c r="B1009" i="1"/>
  <c r="K1008" i="1"/>
  <c r="H1008" i="1"/>
  <c r="G1008" i="1"/>
  <c r="F1008" i="1"/>
  <c r="D1008" i="1"/>
  <c r="C1008" i="1"/>
  <c r="B1008" i="1"/>
  <c r="K1007" i="1"/>
  <c r="H1007" i="1"/>
  <c r="G1007" i="1"/>
  <c r="F1007" i="1"/>
  <c r="D1007" i="1"/>
  <c r="C1007" i="1"/>
  <c r="B1007" i="1"/>
  <c r="K1006" i="1"/>
  <c r="H1006" i="1"/>
  <c r="G1006" i="1"/>
  <c r="F1006" i="1"/>
  <c r="D1006" i="1"/>
  <c r="C1006" i="1"/>
  <c r="B1006" i="1"/>
  <c r="K1005" i="1"/>
  <c r="H1005" i="1"/>
  <c r="G1005" i="1"/>
  <c r="F1005" i="1"/>
  <c r="D1005" i="1"/>
  <c r="C1005" i="1"/>
  <c r="B1005" i="1"/>
  <c r="K1004" i="1"/>
  <c r="H1004" i="1"/>
  <c r="G1004" i="1"/>
  <c r="F1004" i="1"/>
  <c r="D1004" i="1"/>
  <c r="C1004" i="1"/>
  <c r="B1004" i="1"/>
  <c r="K1003" i="1"/>
  <c r="H1003" i="1"/>
  <c r="G1003" i="1"/>
  <c r="F1003" i="1"/>
  <c r="D1003" i="1"/>
  <c r="C1003" i="1"/>
  <c r="B1003" i="1"/>
  <c r="K1002" i="1"/>
  <c r="H1002" i="1"/>
  <c r="G1002" i="1"/>
  <c r="F1002" i="1"/>
  <c r="D1002" i="1"/>
  <c r="C1002" i="1"/>
  <c r="B1002" i="1"/>
  <c r="K1001" i="1"/>
  <c r="H1001" i="1"/>
  <c r="G1001" i="1"/>
  <c r="F1001" i="1"/>
  <c r="D1001" i="1"/>
  <c r="C1001" i="1"/>
  <c r="B1001" i="1"/>
  <c r="K1000" i="1"/>
  <c r="H1000" i="1"/>
  <c r="G1000" i="1"/>
  <c r="F1000" i="1"/>
  <c r="D1000" i="1"/>
  <c r="C1000" i="1"/>
  <c r="B1000" i="1"/>
  <c r="K999" i="1"/>
  <c r="H999" i="1"/>
  <c r="G999" i="1"/>
  <c r="F999" i="1"/>
  <c r="D999" i="1"/>
  <c r="C999" i="1"/>
  <c r="B999" i="1"/>
  <c r="K998" i="1"/>
  <c r="H998" i="1"/>
  <c r="G998" i="1"/>
  <c r="F998" i="1"/>
  <c r="D998" i="1"/>
  <c r="C998" i="1"/>
  <c r="B998" i="1"/>
  <c r="K997" i="1"/>
  <c r="H997" i="1"/>
  <c r="G997" i="1"/>
  <c r="F997" i="1"/>
  <c r="D997" i="1"/>
  <c r="C997" i="1"/>
  <c r="B997" i="1"/>
  <c r="K996" i="1"/>
  <c r="H996" i="1"/>
  <c r="G996" i="1"/>
  <c r="F996" i="1"/>
  <c r="D996" i="1"/>
  <c r="C996" i="1"/>
  <c r="B996" i="1"/>
  <c r="K995" i="1"/>
  <c r="H995" i="1"/>
  <c r="G995" i="1"/>
  <c r="F995" i="1"/>
  <c r="D995" i="1"/>
  <c r="C995" i="1"/>
  <c r="B995" i="1"/>
  <c r="K994" i="1"/>
  <c r="H994" i="1"/>
  <c r="G994" i="1"/>
  <c r="F994" i="1"/>
  <c r="D994" i="1"/>
  <c r="C994" i="1"/>
  <c r="B994" i="1"/>
  <c r="K993" i="1"/>
  <c r="H993" i="1"/>
  <c r="G993" i="1"/>
  <c r="F993" i="1"/>
  <c r="D993" i="1"/>
  <c r="C993" i="1"/>
  <c r="B993" i="1"/>
  <c r="K992" i="1"/>
  <c r="H992" i="1"/>
  <c r="G992" i="1"/>
  <c r="F992" i="1"/>
  <c r="D992" i="1"/>
  <c r="C992" i="1"/>
  <c r="B992" i="1"/>
  <c r="K991" i="1"/>
  <c r="H991" i="1"/>
  <c r="G991" i="1"/>
  <c r="F991" i="1"/>
  <c r="D991" i="1"/>
  <c r="C991" i="1"/>
  <c r="B991" i="1"/>
  <c r="K990" i="1"/>
  <c r="H990" i="1"/>
  <c r="G990" i="1"/>
  <c r="F990" i="1"/>
  <c r="D990" i="1"/>
  <c r="C990" i="1"/>
  <c r="B990" i="1"/>
  <c r="K989" i="1"/>
  <c r="H989" i="1"/>
  <c r="G989" i="1"/>
  <c r="F989" i="1"/>
  <c r="D989" i="1"/>
  <c r="C989" i="1"/>
  <c r="B989" i="1"/>
  <c r="K988" i="1"/>
  <c r="H988" i="1"/>
  <c r="G988" i="1"/>
  <c r="F988" i="1"/>
  <c r="D988" i="1"/>
  <c r="C988" i="1"/>
  <c r="B988" i="1"/>
  <c r="K987" i="1"/>
  <c r="H987" i="1"/>
  <c r="G987" i="1"/>
  <c r="F987" i="1"/>
  <c r="D987" i="1"/>
  <c r="C987" i="1"/>
  <c r="B987" i="1"/>
  <c r="K986" i="1"/>
  <c r="H986" i="1"/>
  <c r="G986" i="1"/>
  <c r="F986" i="1"/>
  <c r="D986" i="1"/>
  <c r="C986" i="1"/>
  <c r="B986" i="1"/>
  <c r="K985" i="1"/>
  <c r="H985" i="1"/>
  <c r="G985" i="1"/>
  <c r="F985" i="1"/>
  <c r="D985" i="1"/>
  <c r="C985" i="1"/>
  <c r="B985" i="1"/>
  <c r="K984" i="1"/>
  <c r="H984" i="1"/>
  <c r="G984" i="1"/>
  <c r="F984" i="1"/>
  <c r="D984" i="1"/>
  <c r="C984" i="1"/>
  <c r="B984" i="1"/>
  <c r="K983" i="1"/>
  <c r="H983" i="1"/>
  <c r="G983" i="1"/>
  <c r="F983" i="1"/>
  <c r="D983" i="1"/>
  <c r="C983" i="1"/>
  <c r="B983" i="1"/>
  <c r="K982" i="1"/>
  <c r="H982" i="1"/>
  <c r="G982" i="1"/>
  <c r="F982" i="1"/>
  <c r="D982" i="1"/>
  <c r="C982" i="1"/>
  <c r="B982" i="1"/>
  <c r="K981" i="1"/>
  <c r="H981" i="1"/>
  <c r="G981" i="1"/>
  <c r="F981" i="1"/>
  <c r="D981" i="1"/>
  <c r="C981" i="1"/>
  <c r="B981" i="1"/>
  <c r="K980" i="1"/>
  <c r="H980" i="1"/>
  <c r="G980" i="1"/>
  <c r="F980" i="1"/>
  <c r="D980" i="1"/>
  <c r="C980" i="1"/>
  <c r="B980" i="1"/>
  <c r="K979" i="1"/>
  <c r="H979" i="1"/>
  <c r="G979" i="1"/>
  <c r="F979" i="1"/>
  <c r="D979" i="1"/>
  <c r="C979" i="1"/>
  <c r="B979" i="1"/>
  <c r="K978" i="1"/>
  <c r="H978" i="1"/>
  <c r="G978" i="1"/>
  <c r="F978" i="1"/>
  <c r="D978" i="1"/>
  <c r="C978" i="1"/>
  <c r="B978" i="1"/>
  <c r="K977" i="1"/>
  <c r="H977" i="1"/>
  <c r="G977" i="1"/>
  <c r="F977" i="1"/>
  <c r="D977" i="1"/>
  <c r="C977" i="1"/>
  <c r="B977" i="1"/>
  <c r="K976" i="1"/>
  <c r="H976" i="1"/>
  <c r="G976" i="1"/>
  <c r="F976" i="1"/>
  <c r="D976" i="1"/>
  <c r="C976" i="1"/>
  <c r="B976" i="1"/>
  <c r="K975" i="1"/>
  <c r="H975" i="1"/>
  <c r="G975" i="1"/>
  <c r="F975" i="1"/>
  <c r="D975" i="1"/>
  <c r="C975" i="1"/>
  <c r="B975" i="1"/>
  <c r="K974" i="1"/>
  <c r="H974" i="1"/>
  <c r="G974" i="1"/>
  <c r="F974" i="1"/>
  <c r="D974" i="1"/>
  <c r="C974" i="1"/>
  <c r="B974" i="1"/>
  <c r="K973" i="1"/>
  <c r="H973" i="1"/>
  <c r="G973" i="1"/>
  <c r="F973" i="1"/>
  <c r="D973" i="1"/>
  <c r="C973" i="1"/>
  <c r="B973" i="1"/>
  <c r="K972" i="1"/>
  <c r="H972" i="1"/>
  <c r="G972" i="1"/>
  <c r="F972" i="1"/>
  <c r="D972" i="1"/>
  <c r="C972" i="1"/>
  <c r="B972" i="1"/>
  <c r="K971" i="1"/>
  <c r="H971" i="1"/>
  <c r="G971" i="1"/>
  <c r="F971" i="1"/>
  <c r="D971" i="1"/>
  <c r="C971" i="1"/>
  <c r="B971" i="1"/>
  <c r="K970" i="1"/>
  <c r="H970" i="1"/>
  <c r="G970" i="1"/>
  <c r="F970" i="1"/>
  <c r="D970" i="1"/>
  <c r="C970" i="1"/>
  <c r="B970" i="1"/>
  <c r="K969" i="1"/>
  <c r="H969" i="1"/>
  <c r="G969" i="1"/>
  <c r="F969" i="1"/>
  <c r="D969" i="1"/>
  <c r="C969" i="1"/>
  <c r="B969" i="1"/>
  <c r="K968" i="1"/>
  <c r="H968" i="1"/>
  <c r="G968" i="1"/>
  <c r="F968" i="1"/>
  <c r="D968" i="1"/>
  <c r="C968" i="1"/>
  <c r="B968" i="1"/>
  <c r="K967" i="1"/>
  <c r="H967" i="1"/>
  <c r="G967" i="1"/>
  <c r="F967" i="1"/>
  <c r="D967" i="1"/>
  <c r="C967" i="1"/>
  <c r="B967" i="1"/>
  <c r="K966" i="1"/>
  <c r="H966" i="1"/>
  <c r="G966" i="1"/>
  <c r="F966" i="1"/>
  <c r="D966" i="1"/>
  <c r="C966" i="1"/>
  <c r="B966" i="1"/>
  <c r="K965" i="1"/>
  <c r="H965" i="1"/>
  <c r="G965" i="1"/>
  <c r="F965" i="1"/>
  <c r="D965" i="1"/>
  <c r="C965" i="1"/>
  <c r="B965" i="1"/>
  <c r="K964" i="1"/>
  <c r="H964" i="1"/>
  <c r="G964" i="1"/>
  <c r="F964" i="1"/>
  <c r="D964" i="1"/>
  <c r="C964" i="1"/>
  <c r="B964" i="1"/>
  <c r="K963" i="1"/>
  <c r="H963" i="1"/>
  <c r="G963" i="1"/>
  <c r="F963" i="1"/>
  <c r="D963" i="1"/>
  <c r="C963" i="1"/>
  <c r="B963" i="1"/>
  <c r="K962" i="1"/>
  <c r="H962" i="1"/>
  <c r="G962" i="1"/>
  <c r="F962" i="1"/>
  <c r="D962" i="1"/>
  <c r="C962" i="1"/>
  <c r="B962" i="1"/>
  <c r="K961" i="1"/>
  <c r="H961" i="1"/>
  <c r="G961" i="1"/>
  <c r="F961" i="1"/>
  <c r="D961" i="1"/>
  <c r="C961" i="1"/>
  <c r="B961" i="1"/>
  <c r="K960" i="1"/>
  <c r="H960" i="1"/>
  <c r="G960" i="1"/>
  <c r="F960" i="1"/>
  <c r="D960" i="1"/>
  <c r="C960" i="1"/>
  <c r="B960" i="1"/>
  <c r="K959" i="1"/>
  <c r="H959" i="1"/>
  <c r="G959" i="1"/>
  <c r="F959" i="1"/>
  <c r="D959" i="1"/>
  <c r="C959" i="1"/>
  <c r="B959" i="1"/>
  <c r="K958" i="1"/>
  <c r="H958" i="1"/>
  <c r="G958" i="1"/>
  <c r="F958" i="1"/>
  <c r="D958" i="1"/>
  <c r="C958" i="1"/>
  <c r="B958" i="1"/>
  <c r="K957" i="1"/>
  <c r="H957" i="1"/>
  <c r="G957" i="1"/>
  <c r="F957" i="1"/>
  <c r="D957" i="1"/>
  <c r="C957" i="1"/>
  <c r="B957" i="1"/>
  <c r="K956" i="1"/>
  <c r="H956" i="1"/>
  <c r="G956" i="1"/>
  <c r="F956" i="1"/>
  <c r="D956" i="1"/>
  <c r="C956" i="1"/>
  <c r="B956" i="1"/>
  <c r="K955" i="1"/>
  <c r="H955" i="1"/>
  <c r="G955" i="1"/>
  <c r="F955" i="1"/>
  <c r="D955" i="1"/>
  <c r="C955" i="1"/>
  <c r="B955" i="1"/>
  <c r="K954" i="1"/>
  <c r="H954" i="1"/>
  <c r="G954" i="1"/>
  <c r="F954" i="1"/>
  <c r="D954" i="1"/>
  <c r="C954" i="1"/>
  <c r="B954" i="1"/>
  <c r="K953" i="1"/>
  <c r="H953" i="1"/>
  <c r="G953" i="1"/>
  <c r="F953" i="1"/>
  <c r="D953" i="1"/>
  <c r="C953" i="1"/>
  <c r="B953" i="1"/>
  <c r="K952" i="1"/>
  <c r="H952" i="1"/>
  <c r="G952" i="1"/>
  <c r="F952" i="1"/>
  <c r="D952" i="1"/>
  <c r="C952" i="1"/>
  <c r="B952" i="1"/>
  <c r="K951" i="1"/>
  <c r="H951" i="1"/>
  <c r="G951" i="1"/>
  <c r="F951" i="1"/>
  <c r="D951" i="1"/>
  <c r="C951" i="1"/>
  <c r="B951" i="1"/>
  <c r="K950" i="1"/>
  <c r="H950" i="1"/>
  <c r="G950" i="1"/>
  <c r="F950" i="1"/>
  <c r="D950" i="1"/>
  <c r="C950" i="1"/>
  <c r="B950" i="1"/>
  <c r="K949" i="1"/>
  <c r="H949" i="1"/>
  <c r="G949" i="1"/>
  <c r="F949" i="1"/>
  <c r="D949" i="1"/>
  <c r="C949" i="1"/>
  <c r="B949" i="1"/>
  <c r="K948" i="1"/>
  <c r="H948" i="1"/>
  <c r="G948" i="1"/>
  <c r="F948" i="1"/>
  <c r="D948" i="1"/>
  <c r="C948" i="1"/>
  <c r="B948" i="1"/>
  <c r="K947" i="1"/>
  <c r="H947" i="1"/>
  <c r="G947" i="1"/>
  <c r="F947" i="1"/>
  <c r="D947" i="1"/>
  <c r="C947" i="1"/>
  <c r="B947" i="1"/>
  <c r="K946" i="1"/>
  <c r="H946" i="1"/>
  <c r="G946" i="1"/>
  <c r="F946" i="1"/>
  <c r="D946" i="1"/>
  <c r="C946" i="1"/>
  <c r="B946" i="1"/>
  <c r="K945" i="1"/>
  <c r="H945" i="1"/>
  <c r="G945" i="1"/>
  <c r="F945" i="1"/>
  <c r="D945" i="1"/>
  <c r="C945" i="1"/>
  <c r="B945" i="1"/>
  <c r="K944" i="1"/>
  <c r="H944" i="1"/>
  <c r="G944" i="1"/>
  <c r="F944" i="1"/>
  <c r="D944" i="1"/>
  <c r="C944" i="1"/>
  <c r="B944" i="1"/>
  <c r="K943" i="1"/>
  <c r="H943" i="1"/>
  <c r="G943" i="1"/>
  <c r="F943" i="1"/>
  <c r="D943" i="1"/>
  <c r="C943" i="1"/>
  <c r="B943" i="1"/>
  <c r="K942" i="1"/>
  <c r="H942" i="1"/>
  <c r="G942" i="1"/>
  <c r="F942" i="1"/>
  <c r="D942" i="1"/>
  <c r="C942" i="1"/>
  <c r="B942" i="1"/>
  <c r="K941" i="1"/>
  <c r="H941" i="1"/>
  <c r="G941" i="1"/>
  <c r="F941" i="1"/>
  <c r="D941" i="1"/>
  <c r="C941" i="1"/>
  <c r="B941" i="1"/>
  <c r="K940" i="1"/>
  <c r="H940" i="1"/>
  <c r="G940" i="1"/>
  <c r="F940" i="1"/>
  <c r="D940" i="1"/>
  <c r="C940" i="1"/>
  <c r="B940" i="1"/>
  <c r="K939" i="1"/>
  <c r="H939" i="1"/>
  <c r="G939" i="1"/>
  <c r="F939" i="1"/>
  <c r="D939" i="1"/>
  <c r="C939" i="1"/>
  <c r="B939" i="1"/>
  <c r="K938" i="1"/>
  <c r="H938" i="1"/>
  <c r="G938" i="1"/>
  <c r="F938" i="1"/>
  <c r="D938" i="1"/>
  <c r="C938" i="1"/>
  <c r="B938" i="1"/>
  <c r="K937" i="1"/>
  <c r="H937" i="1"/>
  <c r="G937" i="1"/>
  <c r="F937" i="1"/>
  <c r="D937" i="1"/>
  <c r="C937" i="1"/>
  <c r="B937" i="1"/>
  <c r="K936" i="1"/>
  <c r="H936" i="1"/>
  <c r="G936" i="1"/>
  <c r="F936" i="1"/>
  <c r="D936" i="1"/>
  <c r="C936" i="1"/>
  <c r="B936" i="1"/>
  <c r="K935" i="1"/>
  <c r="H935" i="1"/>
  <c r="G935" i="1"/>
  <c r="F935" i="1"/>
  <c r="D935" i="1"/>
  <c r="C935" i="1"/>
  <c r="B935" i="1"/>
  <c r="K934" i="1"/>
  <c r="H934" i="1"/>
  <c r="G934" i="1"/>
  <c r="F934" i="1"/>
  <c r="D934" i="1"/>
  <c r="C934" i="1"/>
  <c r="B934" i="1"/>
  <c r="K933" i="1"/>
  <c r="H933" i="1"/>
  <c r="G933" i="1"/>
  <c r="F933" i="1"/>
  <c r="D933" i="1"/>
  <c r="C933" i="1"/>
  <c r="B933" i="1"/>
  <c r="K932" i="1"/>
  <c r="H932" i="1"/>
  <c r="G932" i="1"/>
  <c r="F932" i="1"/>
  <c r="D932" i="1"/>
  <c r="C932" i="1"/>
  <c r="B932" i="1"/>
  <c r="K931" i="1"/>
  <c r="H931" i="1"/>
  <c r="G931" i="1"/>
  <c r="F931" i="1"/>
  <c r="D931" i="1"/>
  <c r="C931" i="1"/>
  <c r="B931" i="1"/>
  <c r="K930" i="1"/>
  <c r="H930" i="1"/>
  <c r="G930" i="1"/>
  <c r="F930" i="1"/>
  <c r="D930" i="1"/>
  <c r="C930" i="1"/>
  <c r="B930" i="1"/>
  <c r="K929" i="1"/>
  <c r="H929" i="1"/>
  <c r="G929" i="1"/>
  <c r="F929" i="1"/>
  <c r="D929" i="1"/>
  <c r="C929" i="1"/>
  <c r="B929" i="1"/>
  <c r="K928" i="1"/>
  <c r="H928" i="1"/>
  <c r="G928" i="1"/>
  <c r="F928" i="1"/>
  <c r="D928" i="1"/>
  <c r="C928" i="1"/>
  <c r="B928" i="1"/>
  <c r="K927" i="1"/>
  <c r="H927" i="1"/>
  <c r="G927" i="1"/>
  <c r="F927" i="1"/>
  <c r="D927" i="1"/>
  <c r="C927" i="1"/>
  <c r="B927" i="1"/>
  <c r="K926" i="1"/>
  <c r="H926" i="1"/>
  <c r="F926" i="1"/>
  <c r="D926" i="1"/>
  <c r="C926" i="1"/>
  <c r="B926" i="1"/>
  <c r="K925" i="1"/>
  <c r="H925" i="1"/>
  <c r="F925" i="1"/>
  <c r="D925" i="1"/>
  <c r="C925" i="1"/>
  <c r="B925" i="1"/>
  <c r="K924" i="1"/>
  <c r="H924" i="1"/>
  <c r="F924" i="1"/>
  <c r="D924" i="1"/>
  <c r="C924" i="1"/>
  <c r="B924" i="1"/>
  <c r="K923" i="1"/>
  <c r="H923" i="1"/>
  <c r="F923" i="1"/>
  <c r="D923" i="1"/>
  <c r="C923" i="1"/>
  <c r="B923" i="1"/>
  <c r="K922" i="1"/>
  <c r="H922" i="1"/>
  <c r="F922" i="1"/>
  <c r="D922" i="1"/>
  <c r="C922" i="1"/>
  <c r="B922" i="1"/>
  <c r="K921" i="1"/>
  <c r="H921" i="1"/>
  <c r="F921" i="1"/>
  <c r="D921" i="1"/>
  <c r="C921" i="1"/>
  <c r="B921" i="1"/>
  <c r="K920" i="1"/>
  <c r="H920" i="1"/>
  <c r="F920" i="1"/>
  <c r="D920" i="1"/>
  <c r="C920" i="1"/>
  <c r="B920" i="1"/>
  <c r="K919" i="1"/>
  <c r="H919" i="1"/>
  <c r="F919" i="1"/>
  <c r="D919" i="1"/>
  <c r="C919" i="1"/>
  <c r="B919" i="1"/>
  <c r="K918" i="1"/>
  <c r="H918" i="1"/>
  <c r="F918" i="1"/>
  <c r="D918" i="1"/>
  <c r="C918" i="1"/>
  <c r="B918" i="1"/>
  <c r="K917" i="1"/>
  <c r="H917" i="1"/>
  <c r="F917" i="1"/>
  <c r="D917" i="1"/>
  <c r="C917" i="1"/>
  <c r="B917" i="1"/>
  <c r="K916" i="1"/>
  <c r="H916" i="1"/>
  <c r="F916" i="1"/>
  <c r="D916" i="1"/>
  <c r="C916" i="1"/>
  <c r="B916" i="1"/>
  <c r="K915" i="1"/>
  <c r="H915" i="1"/>
  <c r="F915" i="1"/>
  <c r="D915" i="1"/>
  <c r="C915" i="1"/>
  <c r="B915" i="1"/>
  <c r="K914" i="1"/>
  <c r="H914" i="1"/>
  <c r="F914" i="1"/>
  <c r="D914" i="1"/>
  <c r="C914" i="1"/>
  <c r="B914" i="1"/>
  <c r="K913" i="1"/>
  <c r="H913" i="1"/>
  <c r="F913" i="1"/>
  <c r="D913" i="1"/>
  <c r="C913" i="1"/>
  <c r="B913" i="1"/>
  <c r="K912" i="1"/>
  <c r="H912" i="1"/>
  <c r="F912" i="1"/>
  <c r="D912" i="1"/>
  <c r="C912" i="1"/>
  <c r="B912" i="1"/>
  <c r="K911" i="1"/>
  <c r="H911" i="1"/>
  <c r="F911" i="1"/>
  <c r="D911" i="1"/>
  <c r="C911" i="1"/>
  <c r="B911" i="1"/>
  <c r="K910" i="1"/>
  <c r="H910" i="1"/>
  <c r="F910" i="1"/>
  <c r="D910" i="1"/>
  <c r="C910" i="1"/>
  <c r="B910" i="1"/>
  <c r="K909" i="1"/>
  <c r="H909" i="1"/>
  <c r="F909" i="1"/>
  <c r="D909" i="1"/>
  <c r="C909" i="1"/>
  <c r="B909" i="1"/>
  <c r="K908" i="1"/>
  <c r="H908" i="1"/>
  <c r="F908" i="1"/>
  <c r="D908" i="1"/>
  <c r="C908" i="1"/>
  <c r="B908" i="1"/>
  <c r="K907" i="1"/>
  <c r="H907" i="1"/>
  <c r="F907" i="1"/>
  <c r="D907" i="1"/>
  <c r="C907" i="1"/>
  <c r="B907" i="1"/>
  <c r="K906" i="1"/>
  <c r="H906" i="1"/>
  <c r="F906" i="1"/>
  <c r="D906" i="1"/>
  <c r="C906" i="1"/>
  <c r="B906" i="1"/>
  <c r="K905" i="1"/>
  <c r="H905" i="1"/>
  <c r="F905" i="1"/>
  <c r="D905" i="1"/>
  <c r="C905" i="1"/>
  <c r="B905" i="1"/>
  <c r="K904" i="1"/>
  <c r="H904" i="1"/>
  <c r="F904" i="1"/>
  <c r="D904" i="1"/>
  <c r="C904" i="1"/>
  <c r="B904" i="1"/>
  <c r="K903" i="1"/>
  <c r="H903" i="1"/>
  <c r="F903" i="1"/>
  <c r="D903" i="1"/>
  <c r="C903" i="1"/>
  <c r="B903" i="1"/>
  <c r="K902" i="1"/>
  <c r="H902" i="1"/>
  <c r="F902" i="1"/>
  <c r="D902" i="1"/>
  <c r="C902" i="1"/>
  <c r="B902" i="1"/>
  <c r="K901" i="1"/>
  <c r="H901" i="1"/>
  <c r="F901" i="1"/>
  <c r="D901" i="1"/>
  <c r="C901" i="1"/>
  <c r="B901" i="1"/>
  <c r="K900" i="1"/>
  <c r="H900" i="1"/>
  <c r="F900" i="1"/>
  <c r="D900" i="1"/>
  <c r="C900" i="1"/>
  <c r="B900" i="1"/>
  <c r="K899" i="1"/>
  <c r="H899" i="1"/>
  <c r="F899" i="1"/>
  <c r="D899" i="1"/>
  <c r="C899" i="1"/>
  <c r="B899" i="1"/>
  <c r="K898" i="1"/>
  <c r="H898" i="1"/>
  <c r="F898" i="1"/>
  <c r="D898" i="1"/>
  <c r="C898" i="1"/>
  <c r="B898" i="1"/>
  <c r="K897" i="1"/>
  <c r="H897" i="1"/>
  <c r="F897" i="1"/>
  <c r="D897" i="1"/>
  <c r="C897" i="1"/>
  <c r="B897" i="1"/>
  <c r="K896" i="1"/>
  <c r="H896" i="1"/>
  <c r="F896" i="1"/>
  <c r="D896" i="1"/>
  <c r="C896" i="1"/>
  <c r="B896" i="1"/>
  <c r="K895" i="1"/>
  <c r="H895" i="1"/>
  <c r="F895" i="1"/>
  <c r="D895" i="1"/>
  <c r="C895" i="1"/>
  <c r="B895" i="1"/>
  <c r="K894" i="1"/>
  <c r="H894" i="1"/>
  <c r="F894" i="1"/>
  <c r="D894" i="1"/>
  <c r="C894" i="1"/>
  <c r="B894" i="1"/>
  <c r="K893" i="1"/>
  <c r="H893" i="1"/>
  <c r="F893" i="1"/>
  <c r="D893" i="1"/>
  <c r="C893" i="1"/>
  <c r="B893" i="1"/>
  <c r="K892" i="1"/>
  <c r="H892" i="1"/>
  <c r="F892" i="1"/>
  <c r="D892" i="1"/>
  <c r="C892" i="1"/>
  <c r="B892" i="1"/>
  <c r="K891" i="1"/>
  <c r="H891" i="1"/>
  <c r="F891" i="1"/>
  <c r="D891" i="1"/>
  <c r="C891" i="1"/>
  <c r="B891" i="1"/>
  <c r="K890" i="1"/>
  <c r="H890" i="1"/>
  <c r="F890" i="1"/>
  <c r="D890" i="1"/>
  <c r="C890" i="1"/>
  <c r="B890" i="1"/>
  <c r="K889" i="1"/>
  <c r="H889" i="1"/>
  <c r="F889" i="1"/>
  <c r="D889" i="1"/>
  <c r="C889" i="1"/>
  <c r="B889" i="1"/>
  <c r="K888" i="1"/>
  <c r="H888" i="1"/>
  <c r="F888" i="1"/>
  <c r="D888" i="1"/>
  <c r="C888" i="1"/>
  <c r="B888" i="1"/>
  <c r="K887" i="1"/>
  <c r="H887" i="1"/>
  <c r="F887" i="1"/>
  <c r="D887" i="1"/>
  <c r="C887" i="1"/>
  <c r="B887" i="1"/>
  <c r="K886" i="1"/>
  <c r="H886" i="1"/>
  <c r="F886" i="1"/>
  <c r="D886" i="1"/>
  <c r="C886" i="1"/>
  <c r="B886" i="1"/>
  <c r="K885" i="1"/>
  <c r="H885" i="1"/>
  <c r="F885" i="1"/>
  <c r="D885" i="1"/>
  <c r="C885" i="1"/>
  <c r="B885" i="1"/>
  <c r="K884" i="1"/>
  <c r="H884" i="1"/>
  <c r="F884" i="1"/>
  <c r="D884" i="1"/>
  <c r="C884" i="1"/>
  <c r="B884" i="1"/>
  <c r="K883" i="1"/>
  <c r="H883" i="1"/>
  <c r="F883" i="1"/>
  <c r="D883" i="1"/>
  <c r="C883" i="1"/>
  <c r="B883" i="1"/>
  <c r="K882" i="1"/>
  <c r="H882" i="1"/>
  <c r="F882" i="1"/>
  <c r="D882" i="1"/>
  <c r="C882" i="1"/>
  <c r="B882" i="1"/>
  <c r="K881" i="1"/>
  <c r="H881" i="1"/>
  <c r="F881" i="1"/>
  <c r="D881" i="1"/>
  <c r="C881" i="1"/>
  <c r="B881" i="1"/>
  <c r="K880" i="1"/>
  <c r="H880" i="1"/>
  <c r="F880" i="1"/>
  <c r="D880" i="1"/>
  <c r="C880" i="1"/>
  <c r="B880" i="1"/>
  <c r="K879" i="1"/>
  <c r="H879" i="1"/>
  <c r="F879" i="1"/>
  <c r="D879" i="1"/>
  <c r="C879" i="1"/>
  <c r="B879" i="1"/>
  <c r="K878" i="1"/>
  <c r="H878" i="1"/>
  <c r="F878" i="1"/>
  <c r="D878" i="1"/>
  <c r="C878" i="1"/>
  <c r="B878" i="1"/>
  <c r="K877" i="1"/>
  <c r="H877" i="1"/>
  <c r="F877" i="1"/>
  <c r="D877" i="1"/>
  <c r="C877" i="1"/>
  <c r="B877" i="1"/>
  <c r="K876" i="1"/>
  <c r="H876" i="1"/>
  <c r="F876" i="1"/>
  <c r="D876" i="1"/>
  <c r="C876" i="1"/>
  <c r="B876" i="1"/>
  <c r="K875" i="1"/>
  <c r="H875" i="1"/>
  <c r="F875" i="1"/>
  <c r="D875" i="1"/>
  <c r="C875" i="1"/>
  <c r="B875" i="1"/>
  <c r="K874" i="1"/>
  <c r="H874" i="1"/>
  <c r="F874" i="1"/>
  <c r="D874" i="1"/>
  <c r="C874" i="1"/>
  <c r="B874" i="1"/>
  <c r="K873" i="1"/>
  <c r="H873" i="1"/>
  <c r="F873" i="1"/>
  <c r="D873" i="1"/>
  <c r="C873" i="1"/>
  <c r="B873" i="1"/>
  <c r="K872" i="1"/>
  <c r="H872" i="1"/>
  <c r="F872" i="1"/>
  <c r="D872" i="1"/>
  <c r="C872" i="1"/>
  <c r="B872" i="1"/>
  <c r="K871" i="1"/>
  <c r="H871" i="1"/>
  <c r="F871" i="1"/>
  <c r="D871" i="1"/>
  <c r="C871" i="1"/>
  <c r="B871" i="1"/>
  <c r="K870" i="1"/>
  <c r="H870" i="1"/>
  <c r="F870" i="1"/>
  <c r="D870" i="1"/>
  <c r="C870" i="1"/>
  <c r="B870" i="1"/>
  <c r="K869" i="1"/>
  <c r="H869" i="1"/>
  <c r="F869" i="1"/>
  <c r="D869" i="1"/>
  <c r="C869" i="1"/>
  <c r="B869" i="1"/>
  <c r="K868" i="1"/>
  <c r="H868" i="1"/>
  <c r="F868" i="1"/>
  <c r="D868" i="1"/>
  <c r="C868" i="1"/>
  <c r="B868" i="1"/>
  <c r="K867" i="1"/>
  <c r="H867" i="1"/>
  <c r="F867" i="1"/>
  <c r="D867" i="1"/>
  <c r="C867" i="1"/>
  <c r="B867" i="1"/>
  <c r="K866" i="1"/>
  <c r="H866" i="1"/>
  <c r="F866" i="1"/>
  <c r="D866" i="1"/>
  <c r="C866" i="1"/>
  <c r="B866" i="1"/>
  <c r="K865" i="1"/>
  <c r="H865" i="1"/>
  <c r="F865" i="1"/>
  <c r="D865" i="1"/>
  <c r="C865" i="1"/>
  <c r="B865" i="1"/>
  <c r="K864" i="1"/>
  <c r="H864" i="1"/>
  <c r="F864" i="1"/>
  <c r="D864" i="1"/>
  <c r="C864" i="1"/>
  <c r="B864" i="1"/>
  <c r="K863" i="1"/>
  <c r="H863" i="1"/>
  <c r="F863" i="1"/>
  <c r="D863" i="1"/>
  <c r="C863" i="1"/>
  <c r="B863" i="1"/>
  <c r="K862" i="1"/>
  <c r="H862" i="1"/>
  <c r="F862" i="1"/>
  <c r="D862" i="1"/>
  <c r="C862" i="1"/>
  <c r="B862" i="1"/>
  <c r="K861" i="1"/>
  <c r="H861" i="1"/>
  <c r="F861" i="1"/>
  <c r="D861" i="1"/>
  <c r="C861" i="1"/>
  <c r="B861" i="1"/>
  <c r="K860" i="1"/>
  <c r="H860" i="1"/>
  <c r="G860" i="1"/>
  <c r="F860" i="1"/>
  <c r="D860" i="1"/>
  <c r="C860" i="1"/>
  <c r="B860" i="1"/>
  <c r="K859" i="1"/>
  <c r="H859" i="1"/>
  <c r="G859" i="1"/>
  <c r="F859" i="1"/>
  <c r="D859" i="1"/>
  <c r="C859" i="1"/>
  <c r="B859" i="1"/>
  <c r="K858" i="1"/>
  <c r="H858" i="1"/>
  <c r="G858" i="1"/>
  <c r="F858" i="1"/>
  <c r="D858" i="1"/>
  <c r="C858" i="1"/>
  <c r="B858" i="1"/>
  <c r="K857" i="1"/>
  <c r="H857" i="1"/>
  <c r="G857" i="1"/>
  <c r="F857" i="1"/>
  <c r="D857" i="1"/>
  <c r="C857" i="1"/>
  <c r="B857" i="1"/>
  <c r="K856" i="1"/>
  <c r="H856" i="1"/>
  <c r="G856" i="1"/>
  <c r="F856" i="1"/>
  <c r="D856" i="1"/>
  <c r="C856" i="1"/>
  <c r="B856" i="1"/>
  <c r="K855" i="1"/>
  <c r="H855" i="1"/>
  <c r="G855" i="1"/>
  <c r="F855" i="1"/>
  <c r="D855" i="1"/>
  <c r="C855" i="1"/>
  <c r="B855" i="1"/>
  <c r="K854" i="1"/>
  <c r="H854" i="1"/>
  <c r="G854" i="1"/>
  <c r="F854" i="1"/>
  <c r="D854" i="1"/>
  <c r="C854" i="1"/>
  <c r="B854" i="1"/>
  <c r="K853" i="1"/>
  <c r="H853" i="1"/>
  <c r="G853" i="1"/>
  <c r="F853" i="1"/>
  <c r="D853" i="1"/>
  <c r="C853" i="1"/>
  <c r="B853" i="1"/>
  <c r="K852" i="1"/>
  <c r="H852" i="1"/>
  <c r="G852" i="1"/>
  <c r="F852" i="1"/>
  <c r="D852" i="1"/>
  <c r="C852" i="1"/>
  <c r="B852" i="1"/>
  <c r="K851" i="1"/>
  <c r="H851" i="1"/>
  <c r="G851" i="1"/>
  <c r="F851" i="1"/>
  <c r="D851" i="1"/>
  <c r="C851" i="1"/>
  <c r="B851" i="1"/>
  <c r="K850" i="1"/>
  <c r="H850" i="1"/>
  <c r="G850" i="1"/>
  <c r="F850" i="1"/>
  <c r="D850" i="1"/>
  <c r="C850" i="1"/>
  <c r="B850" i="1"/>
  <c r="K849" i="1"/>
  <c r="H849" i="1"/>
  <c r="G849" i="1"/>
  <c r="F849" i="1"/>
  <c r="D849" i="1"/>
  <c r="C849" i="1"/>
  <c r="B849" i="1"/>
  <c r="K848" i="1"/>
  <c r="H848" i="1"/>
  <c r="G848" i="1"/>
  <c r="F848" i="1"/>
  <c r="D848" i="1"/>
  <c r="C848" i="1"/>
  <c r="B848" i="1"/>
  <c r="K847" i="1"/>
  <c r="H847" i="1"/>
  <c r="G847" i="1"/>
  <c r="F847" i="1"/>
  <c r="D847" i="1"/>
  <c r="C847" i="1"/>
  <c r="B847" i="1"/>
  <c r="K846" i="1"/>
  <c r="H846" i="1"/>
  <c r="G846" i="1"/>
  <c r="F846" i="1"/>
  <c r="D846" i="1"/>
  <c r="C846" i="1"/>
  <c r="B846" i="1"/>
  <c r="K845" i="1"/>
  <c r="H845" i="1"/>
  <c r="G845" i="1"/>
  <c r="F845" i="1"/>
  <c r="D845" i="1"/>
  <c r="C845" i="1"/>
  <c r="B845" i="1"/>
  <c r="K844" i="1"/>
  <c r="H844" i="1"/>
  <c r="G844" i="1"/>
  <c r="F844" i="1"/>
  <c r="D844" i="1"/>
  <c r="C844" i="1"/>
  <c r="B844" i="1"/>
  <c r="K843" i="1"/>
  <c r="H843" i="1"/>
  <c r="G843" i="1"/>
  <c r="F843" i="1"/>
  <c r="D843" i="1"/>
  <c r="C843" i="1"/>
  <c r="B843" i="1"/>
  <c r="K842" i="1"/>
  <c r="H842" i="1"/>
  <c r="G842" i="1"/>
  <c r="F842" i="1"/>
  <c r="D842" i="1"/>
  <c r="C842" i="1"/>
  <c r="B842" i="1"/>
  <c r="K841" i="1"/>
  <c r="H841" i="1"/>
  <c r="G841" i="1"/>
  <c r="F841" i="1"/>
  <c r="D841" i="1"/>
  <c r="C841" i="1"/>
  <c r="B841" i="1"/>
  <c r="K840" i="1"/>
  <c r="H840" i="1"/>
  <c r="G840" i="1"/>
  <c r="F840" i="1"/>
  <c r="D840" i="1"/>
  <c r="C840" i="1"/>
  <c r="B840" i="1"/>
  <c r="K839" i="1"/>
  <c r="H839" i="1"/>
  <c r="G839" i="1"/>
  <c r="F839" i="1"/>
  <c r="D839" i="1"/>
  <c r="C839" i="1"/>
  <c r="B839" i="1"/>
  <c r="K838" i="1"/>
  <c r="H838" i="1"/>
  <c r="G838" i="1"/>
  <c r="F838" i="1"/>
  <c r="D838" i="1"/>
  <c r="C838" i="1"/>
  <c r="B838" i="1"/>
  <c r="K837" i="1"/>
  <c r="H837" i="1"/>
  <c r="G837" i="1"/>
  <c r="F837" i="1"/>
  <c r="D837" i="1"/>
  <c r="C837" i="1"/>
  <c r="B837" i="1"/>
  <c r="K836" i="1"/>
  <c r="H836" i="1"/>
  <c r="G836" i="1"/>
  <c r="F836" i="1"/>
  <c r="D836" i="1"/>
  <c r="C836" i="1"/>
  <c r="B836" i="1"/>
  <c r="K835" i="1"/>
  <c r="H835" i="1"/>
  <c r="G835" i="1"/>
  <c r="F835" i="1"/>
  <c r="D835" i="1"/>
  <c r="C835" i="1"/>
  <c r="B835" i="1"/>
  <c r="K834" i="1"/>
  <c r="H834" i="1"/>
  <c r="G834" i="1"/>
  <c r="F834" i="1"/>
  <c r="D834" i="1"/>
  <c r="C834" i="1"/>
  <c r="B834" i="1"/>
  <c r="K833" i="1"/>
  <c r="H833" i="1"/>
  <c r="G833" i="1"/>
  <c r="F833" i="1"/>
  <c r="D833" i="1"/>
  <c r="C833" i="1"/>
  <c r="B833" i="1"/>
  <c r="K832" i="1"/>
  <c r="H832" i="1"/>
  <c r="G832" i="1"/>
  <c r="F832" i="1"/>
  <c r="D832" i="1"/>
  <c r="C832" i="1"/>
  <c r="B832" i="1"/>
  <c r="K831" i="1"/>
  <c r="H831" i="1"/>
  <c r="G831" i="1"/>
  <c r="F831" i="1"/>
  <c r="D831" i="1"/>
  <c r="C831" i="1"/>
  <c r="B831" i="1"/>
  <c r="K830" i="1"/>
  <c r="H830" i="1"/>
  <c r="G830" i="1"/>
  <c r="F830" i="1"/>
  <c r="D830" i="1"/>
  <c r="C830" i="1"/>
  <c r="B830" i="1"/>
  <c r="K829" i="1"/>
  <c r="H829" i="1"/>
  <c r="G829" i="1"/>
  <c r="F829" i="1"/>
  <c r="D829" i="1"/>
  <c r="C829" i="1"/>
  <c r="B829" i="1"/>
  <c r="K828" i="1"/>
  <c r="H828" i="1"/>
  <c r="G828" i="1"/>
  <c r="F828" i="1"/>
  <c r="D828" i="1"/>
  <c r="C828" i="1"/>
  <c r="B828" i="1"/>
  <c r="K827" i="1"/>
  <c r="H827" i="1"/>
  <c r="G827" i="1"/>
  <c r="F827" i="1"/>
  <c r="D827" i="1"/>
  <c r="C827" i="1"/>
  <c r="B827" i="1"/>
  <c r="K826" i="1"/>
  <c r="H826" i="1"/>
  <c r="G826" i="1"/>
  <c r="F826" i="1"/>
  <c r="D826" i="1"/>
  <c r="C826" i="1"/>
  <c r="B826" i="1"/>
  <c r="K825" i="1"/>
  <c r="H825" i="1"/>
  <c r="G825" i="1"/>
  <c r="F825" i="1"/>
  <c r="D825" i="1"/>
  <c r="C825" i="1"/>
  <c r="B825" i="1"/>
  <c r="K824" i="1"/>
  <c r="H824" i="1"/>
  <c r="G824" i="1"/>
  <c r="F824" i="1"/>
  <c r="D824" i="1"/>
  <c r="C824" i="1"/>
  <c r="B824" i="1"/>
  <c r="K823" i="1"/>
  <c r="H823" i="1"/>
  <c r="G823" i="1"/>
  <c r="F823" i="1"/>
  <c r="D823" i="1"/>
  <c r="C823" i="1"/>
  <c r="B823" i="1"/>
  <c r="K822" i="1"/>
  <c r="H822" i="1"/>
  <c r="G822" i="1"/>
  <c r="F822" i="1"/>
  <c r="D822" i="1"/>
  <c r="C822" i="1"/>
  <c r="B822" i="1"/>
  <c r="K821" i="1"/>
  <c r="H821" i="1"/>
  <c r="G821" i="1"/>
  <c r="F821" i="1"/>
  <c r="D821" i="1"/>
  <c r="C821" i="1"/>
  <c r="B821" i="1"/>
  <c r="K820" i="1"/>
  <c r="H820" i="1"/>
  <c r="G820" i="1"/>
  <c r="F820" i="1"/>
  <c r="D820" i="1"/>
  <c r="C820" i="1"/>
  <c r="B820" i="1"/>
  <c r="K819" i="1"/>
  <c r="H819" i="1"/>
  <c r="G819" i="1"/>
  <c r="F819" i="1"/>
  <c r="D819" i="1"/>
  <c r="C819" i="1"/>
  <c r="B819" i="1"/>
  <c r="K818" i="1"/>
  <c r="H818" i="1"/>
  <c r="G818" i="1"/>
  <c r="F818" i="1"/>
  <c r="D818" i="1"/>
  <c r="C818" i="1"/>
  <c r="B818" i="1"/>
  <c r="K817" i="1"/>
  <c r="H817" i="1"/>
  <c r="G817" i="1"/>
  <c r="F817" i="1"/>
  <c r="D817" i="1"/>
  <c r="C817" i="1"/>
  <c r="B817" i="1"/>
  <c r="K816" i="1"/>
  <c r="H816" i="1"/>
  <c r="G816" i="1"/>
  <c r="F816" i="1"/>
  <c r="D816" i="1"/>
  <c r="C816" i="1"/>
  <c r="B816" i="1"/>
  <c r="K815" i="1"/>
  <c r="H815" i="1"/>
  <c r="G815" i="1"/>
  <c r="F815" i="1"/>
  <c r="D815" i="1"/>
  <c r="C815" i="1"/>
  <c r="B815" i="1"/>
  <c r="K814" i="1"/>
  <c r="H814" i="1"/>
  <c r="G814" i="1"/>
  <c r="F814" i="1"/>
  <c r="D814" i="1"/>
  <c r="C814" i="1"/>
  <c r="B814" i="1"/>
  <c r="K813" i="1"/>
  <c r="H813" i="1"/>
  <c r="G813" i="1"/>
  <c r="F813" i="1"/>
  <c r="D813" i="1"/>
  <c r="C813" i="1"/>
  <c r="B813" i="1"/>
  <c r="K812" i="1"/>
  <c r="H812" i="1"/>
  <c r="G812" i="1"/>
  <c r="F812" i="1"/>
  <c r="D812" i="1"/>
  <c r="C812" i="1"/>
  <c r="B812" i="1"/>
  <c r="K811" i="1"/>
  <c r="H811" i="1"/>
  <c r="G811" i="1"/>
  <c r="F811" i="1"/>
  <c r="D811" i="1"/>
  <c r="C811" i="1"/>
  <c r="B811" i="1"/>
  <c r="K810" i="1"/>
  <c r="H810" i="1"/>
  <c r="G810" i="1"/>
  <c r="F810" i="1"/>
  <c r="D810" i="1"/>
  <c r="C810" i="1"/>
  <c r="B810" i="1"/>
  <c r="K809" i="1"/>
  <c r="H809" i="1"/>
  <c r="G809" i="1"/>
  <c r="F809" i="1"/>
  <c r="D809" i="1"/>
  <c r="C809" i="1"/>
  <c r="B809" i="1"/>
  <c r="K808" i="1"/>
  <c r="H808" i="1"/>
  <c r="G808" i="1"/>
  <c r="F808" i="1"/>
  <c r="D808" i="1"/>
  <c r="C808" i="1"/>
  <c r="B808" i="1"/>
  <c r="K807" i="1"/>
  <c r="H807" i="1"/>
  <c r="G807" i="1"/>
  <c r="F807" i="1"/>
  <c r="D807" i="1"/>
  <c r="C807" i="1"/>
  <c r="B807" i="1"/>
  <c r="K806" i="1"/>
  <c r="H806" i="1"/>
  <c r="G806" i="1"/>
  <c r="F806" i="1"/>
  <c r="D806" i="1"/>
  <c r="C806" i="1"/>
  <c r="B806" i="1"/>
  <c r="K805" i="1"/>
  <c r="H805" i="1"/>
  <c r="G805" i="1"/>
  <c r="F805" i="1"/>
  <c r="D805" i="1"/>
  <c r="C805" i="1"/>
  <c r="B805" i="1"/>
  <c r="K804" i="1"/>
  <c r="H804" i="1"/>
  <c r="G804" i="1"/>
  <c r="F804" i="1"/>
  <c r="D804" i="1"/>
  <c r="C804" i="1"/>
  <c r="B804" i="1"/>
  <c r="K803" i="1"/>
  <c r="H803" i="1"/>
  <c r="G803" i="1"/>
  <c r="F803" i="1"/>
  <c r="D803" i="1"/>
  <c r="C803" i="1"/>
  <c r="B803" i="1"/>
  <c r="K802" i="1"/>
  <c r="H802" i="1"/>
  <c r="G802" i="1"/>
  <c r="F802" i="1"/>
  <c r="D802" i="1"/>
  <c r="C802" i="1"/>
  <c r="B802" i="1"/>
  <c r="K801" i="1"/>
  <c r="H801" i="1"/>
  <c r="G801" i="1"/>
  <c r="F801" i="1"/>
  <c r="D801" i="1"/>
  <c r="C801" i="1"/>
  <c r="B801" i="1"/>
  <c r="K800" i="1"/>
  <c r="H800" i="1"/>
  <c r="G800" i="1"/>
  <c r="F800" i="1"/>
  <c r="D800" i="1"/>
  <c r="C800" i="1"/>
  <c r="B800" i="1"/>
  <c r="K799" i="1"/>
  <c r="H799" i="1"/>
  <c r="G799" i="1"/>
  <c r="F799" i="1"/>
  <c r="D799" i="1"/>
  <c r="C799" i="1"/>
  <c r="B799" i="1"/>
  <c r="K798" i="1"/>
  <c r="H798" i="1"/>
  <c r="G798" i="1"/>
  <c r="F798" i="1"/>
  <c r="D798" i="1"/>
  <c r="C798" i="1"/>
  <c r="B798" i="1"/>
  <c r="K797" i="1"/>
  <c r="H797" i="1"/>
  <c r="G797" i="1"/>
  <c r="F797" i="1"/>
  <c r="D797" i="1"/>
  <c r="C797" i="1"/>
  <c r="B797" i="1"/>
  <c r="K796" i="1"/>
  <c r="H796" i="1"/>
  <c r="G796" i="1"/>
  <c r="F796" i="1"/>
  <c r="D796" i="1"/>
  <c r="C796" i="1"/>
  <c r="B796" i="1"/>
  <c r="K795" i="1"/>
  <c r="H795" i="1"/>
  <c r="G795" i="1"/>
  <c r="F795" i="1"/>
  <c r="D795" i="1"/>
  <c r="C795" i="1"/>
  <c r="B795" i="1"/>
  <c r="K794" i="1"/>
  <c r="H794" i="1"/>
  <c r="G794" i="1"/>
  <c r="F794" i="1"/>
  <c r="D794" i="1"/>
  <c r="C794" i="1"/>
  <c r="B794" i="1"/>
  <c r="K793" i="1"/>
  <c r="H793" i="1"/>
  <c r="G793" i="1"/>
  <c r="F793" i="1"/>
  <c r="D793" i="1"/>
  <c r="C793" i="1"/>
  <c r="B793" i="1"/>
  <c r="K792" i="1"/>
  <c r="H792" i="1"/>
  <c r="G792" i="1"/>
  <c r="F792" i="1"/>
  <c r="D792" i="1"/>
  <c r="C792" i="1"/>
  <c r="B792" i="1"/>
  <c r="K791" i="1"/>
  <c r="H791" i="1"/>
  <c r="G791" i="1"/>
  <c r="F791" i="1"/>
  <c r="D791" i="1"/>
  <c r="C791" i="1"/>
  <c r="B791" i="1"/>
  <c r="K790" i="1"/>
  <c r="H790" i="1"/>
  <c r="G790" i="1"/>
  <c r="F790" i="1"/>
  <c r="D790" i="1"/>
  <c r="C790" i="1"/>
  <c r="B790" i="1"/>
  <c r="K789" i="1"/>
  <c r="H789" i="1"/>
  <c r="G789" i="1"/>
  <c r="F789" i="1"/>
  <c r="D789" i="1"/>
  <c r="C789" i="1"/>
  <c r="B789" i="1"/>
  <c r="K788" i="1"/>
  <c r="H788" i="1"/>
  <c r="G788" i="1"/>
  <c r="F788" i="1"/>
  <c r="D788" i="1"/>
  <c r="C788" i="1"/>
  <c r="B788" i="1"/>
  <c r="K787" i="1"/>
  <c r="H787" i="1"/>
  <c r="G787" i="1"/>
  <c r="F787" i="1"/>
  <c r="D787" i="1"/>
  <c r="C787" i="1"/>
  <c r="B787" i="1"/>
  <c r="K786" i="1"/>
  <c r="H786" i="1"/>
  <c r="G786" i="1"/>
  <c r="F786" i="1"/>
  <c r="D786" i="1"/>
  <c r="C786" i="1"/>
  <c r="B786" i="1"/>
  <c r="K785" i="1"/>
  <c r="H785" i="1"/>
  <c r="G785" i="1"/>
  <c r="F785" i="1"/>
  <c r="D785" i="1"/>
  <c r="C785" i="1"/>
  <c r="B785" i="1"/>
  <c r="K784" i="1"/>
  <c r="H784" i="1"/>
  <c r="G784" i="1"/>
  <c r="F784" i="1"/>
  <c r="D784" i="1"/>
  <c r="C784" i="1"/>
  <c r="B784" i="1"/>
  <c r="K783" i="1"/>
  <c r="H783" i="1"/>
  <c r="G783" i="1"/>
  <c r="F783" i="1"/>
  <c r="D783" i="1"/>
  <c r="C783" i="1"/>
  <c r="B783" i="1"/>
  <c r="K782" i="1"/>
  <c r="H782" i="1"/>
  <c r="G782" i="1"/>
  <c r="F782" i="1"/>
  <c r="D782" i="1"/>
  <c r="C782" i="1"/>
  <c r="B782" i="1"/>
  <c r="K781" i="1"/>
  <c r="H781" i="1"/>
  <c r="G781" i="1"/>
  <c r="F781" i="1"/>
  <c r="D781" i="1"/>
  <c r="C781" i="1"/>
  <c r="B781" i="1"/>
  <c r="K780" i="1"/>
  <c r="H780" i="1"/>
  <c r="G780" i="1"/>
  <c r="F780" i="1"/>
  <c r="D780" i="1"/>
  <c r="C780" i="1"/>
  <c r="B780" i="1"/>
  <c r="K779" i="1"/>
  <c r="H779" i="1"/>
  <c r="G779" i="1"/>
  <c r="F779" i="1"/>
  <c r="D779" i="1"/>
  <c r="C779" i="1"/>
  <c r="B779" i="1"/>
  <c r="K778" i="1"/>
  <c r="H778" i="1"/>
  <c r="G778" i="1"/>
  <c r="F778" i="1"/>
  <c r="D778" i="1"/>
  <c r="C778" i="1"/>
  <c r="B778" i="1"/>
  <c r="K777" i="1"/>
  <c r="H777" i="1"/>
  <c r="G777" i="1"/>
  <c r="F777" i="1"/>
  <c r="D777" i="1"/>
  <c r="C777" i="1"/>
  <c r="B777" i="1"/>
  <c r="K776" i="1"/>
  <c r="H776" i="1"/>
  <c r="G776" i="1"/>
  <c r="F776" i="1"/>
  <c r="D776" i="1"/>
  <c r="C776" i="1"/>
  <c r="B776" i="1"/>
  <c r="K775" i="1"/>
  <c r="H775" i="1"/>
  <c r="G775" i="1"/>
  <c r="F775" i="1"/>
  <c r="D775" i="1"/>
  <c r="C775" i="1"/>
  <c r="B775" i="1"/>
  <c r="K774" i="1"/>
  <c r="H774" i="1"/>
  <c r="G774" i="1"/>
  <c r="F774" i="1"/>
  <c r="D774" i="1"/>
  <c r="C774" i="1"/>
  <c r="B774" i="1"/>
  <c r="K773" i="1"/>
  <c r="H773" i="1"/>
  <c r="G773" i="1"/>
  <c r="F773" i="1"/>
  <c r="D773" i="1"/>
  <c r="C773" i="1"/>
  <c r="B773" i="1"/>
  <c r="K772" i="1"/>
  <c r="H772" i="1"/>
  <c r="G772" i="1"/>
  <c r="F772" i="1"/>
  <c r="D772" i="1"/>
  <c r="C772" i="1"/>
  <c r="B772" i="1"/>
  <c r="K771" i="1"/>
  <c r="H771" i="1"/>
  <c r="G771" i="1"/>
  <c r="F771" i="1"/>
  <c r="D771" i="1"/>
  <c r="C771" i="1"/>
  <c r="B771" i="1"/>
  <c r="K770" i="1"/>
  <c r="H770" i="1"/>
  <c r="G770" i="1"/>
  <c r="F770" i="1"/>
  <c r="D770" i="1"/>
  <c r="C770" i="1"/>
  <c r="B770" i="1"/>
  <c r="K769" i="1"/>
  <c r="H769" i="1"/>
  <c r="G769" i="1"/>
  <c r="F769" i="1"/>
  <c r="D769" i="1"/>
  <c r="C769" i="1"/>
  <c r="B769" i="1"/>
  <c r="K768" i="1"/>
  <c r="H768" i="1"/>
  <c r="G768" i="1"/>
  <c r="F768" i="1"/>
  <c r="D768" i="1"/>
  <c r="C768" i="1"/>
  <c r="B768" i="1"/>
  <c r="K767" i="1"/>
  <c r="H767" i="1"/>
  <c r="G767" i="1"/>
  <c r="F767" i="1"/>
  <c r="D767" i="1"/>
  <c r="C767" i="1"/>
  <c r="B767" i="1"/>
  <c r="K766" i="1"/>
  <c r="H766" i="1"/>
  <c r="G766" i="1"/>
  <c r="F766" i="1"/>
  <c r="D766" i="1"/>
  <c r="C766" i="1"/>
  <c r="B766" i="1"/>
  <c r="K765" i="1"/>
  <c r="H765" i="1"/>
  <c r="G765" i="1"/>
  <c r="F765" i="1"/>
  <c r="D765" i="1"/>
  <c r="C765" i="1"/>
  <c r="B765" i="1"/>
  <c r="K764" i="1"/>
  <c r="H764" i="1"/>
  <c r="G764" i="1"/>
  <c r="F764" i="1"/>
  <c r="D764" i="1"/>
  <c r="C764" i="1"/>
  <c r="B764" i="1"/>
  <c r="K763" i="1"/>
  <c r="H763" i="1"/>
  <c r="G763" i="1"/>
  <c r="F763" i="1"/>
  <c r="D763" i="1"/>
  <c r="C763" i="1"/>
  <c r="B763" i="1"/>
  <c r="K762" i="1"/>
  <c r="H762" i="1"/>
  <c r="G762" i="1"/>
  <c r="F762" i="1"/>
  <c r="D762" i="1"/>
  <c r="C762" i="1"/>
  <c r="B762" i="1"/>
  <c r="K761" i="1"/>
  <c r="H761" i="1"/>
  <c r="G761" i="1"/>
  <c r="F761" i="1"/>
  <c r="D761" i="1"/>
  <c r="C761" i="1"/>
  <c r="B761" i="1"/>
  <c r="K760" i="1"/>
  <c r="H760" i="1"/>
  <c r="G760" i="1"/>
  <c r="F760" i="1"/>
  <c r="D760" i="1"/>
  <c r="C760" i="1"/>
  <c r="B760" i="1"/>
  <c r="K759" i="1"/>
  <c r="H759" i="1"/>
  <c r="G759" i="1"/>
  <c r="F759" i="1"/>
  <c r="D759" i="1"/>
  <c r="C759" i="1"/>
  <c r="B759" i="1"/>
  <c r="K758" i="1"/>
  <c r="H758" i="1"/>
  <c r="G758" i="1"/>
  <c r="F758" i="1"/>
  <c r="D758" i="1"/>
  <c r="C758" i="1"/>
  <c r="B758" i="1"/>
  <c r="K757" i="1"/>
  <c r="H757" i="1"/>
  <c r="G757" i="1"/>
  <c r="F757" i="1"/>
  <c r="D757" i="1"/>
  <c r="C757" i="1"/>
  <c r="B757" i="1"/>
  <c r="K756" i="1"/>
  <c r="H756" i="1"/>
  <c r="G756" i="1"/>
  <c r="F756" i="1"/>
  <c r="D756" i="1"/>
  <c r="C756" i="1"/>
  <c r="B756" i="1"/>
  <c r="K755" i="1"/>
  <c r="H755" i="1"/>
  <c r="G755" i="1"/>
  <c r="F755" i="1"/>
  <c r="D755" i="1"/>
  <c r="C755" i="1"/>
  <c r="B755" i="1"/>
  <c r="K754" i="1"/>
  <c r="H754" i="1"/>
  <c r="G754" i="1"/>
  <c r="F754" i="1"/>
  <c r="D754" i="1"/>
  <c r="C754" i="1"/>
  <c r="B754" i="1"/>
  <c r="K753" i="1"/>
  <c r="H753" i="1"/>
  <c r="G753" i="1"/>
  <c r="F753" i="1"/>
  <c r="D753" i="1"/>
  <c r="C753" i="1"/>
  <c r="B753" i="1"/>
  <c r="K752" i="1"/>
  <c r="H752" i="1"/>
  <c r="G752" i="1"/>
  <c r="F752" i="1"/>
  <c r="D752" i="1"/>
  <c r="C752" i="1"/>
  <c r="B752" i="1"/>
  <c r="K751" i="1"/>
  <c r="H751" i="1"/>
  <c r="G751" i="1"/>
  <c r="F751" i="1"/>
  <c r="D751" i="1"/>
  <c r="C751" i="1"/>
  <c r="B751" i="1"/>
  <c r="K750" i="1"/>
  <c r="H750" i="1"/>
  <c r="G750" i="1"/>
  <c r="F750" i="1"/>
  <c r="D750" i="1"/>
  <c r="C750" i="1"/>
  <c r="B750" i="1"/>
  <c r="K749" i="1"/>
  <c r="H749" i="1"/>
  <c r="G749" i="1"/>
  <c r="F749" i="1"/>
  <c r="D749" i="1"/>
  <c r="C749" i="1"/>
  <c r="B749" i="1"/>
  <c r="K748" i="1"/>
  <c r="H748" i="1"/>
  <c r="G748" i="1"/>
  <c r="F748" i="1"/>
  <c r="D748" i="1"/>
  <c r="C748" i="1"/>
  <c r="B748" i="1"/>
  <c r="K747" i="1"/>
  <c r="H747" i="1"/>
  <c r="G747" i="1"/>
  <c r="F747" i="1"/>
  <c r="D747" i="1"/>
  <c r="C747" i="1"/>
  <c r="B747" i="1"/>
  <c r="K746" i="1"/>
  <c r="H746" i="1"/>
  <c r="G746" i="1"/>
  <c r="F746" i="1"/>
  <c r="D746" i="1"/>
  <c r="C746" i="1"/>
  <c r="B746" i="1"/>
  <c r="K745" i="1"/>
  <c r="H745" i="1"/>
  <c r="G745" i="1"/>
  <c r="F745" i="1"/>
  <c r="D745" i="1"/>
  <c r="C745" i="1"/>
  <c r="B745" i="1"/>
  <c r="K744" i="1"/>
  <c r="H744" i="1"/>
  <c r="G744" i="1"/>
  <c r="F744" i="1"/>
  <c r="D744" i="1"/>
  <c r="C744" i="1"/>
  <c r="B744" i="1"/>
  <c r="K743" i="1"/>
  <c r="H743" i="1"/>
  <c r="G743" i="1"/>
  <c r="F743" i="1"/>
  <c r="D743" i="1"/>
  <c r="C743" i="1"/>
  <c r="B743" i="1"/>
  <c r="K742" i="1"/>
  <c r="H742" i="1"/>
  <c r="G742" i="1"/>
  <c r="F742" i="1"/>
  <c r="D742" i="1"/>
  <c r="C742" i="1"/>
  <c r="B742" i="1"/>
  <c r="K741" i="1"/>
  <c r="H741" i="1"/>
  <c r="G741" i="1"/>
  <c r="F741" i="1"/>
  <c r="D741" i="1"/>
  <c r="C741" i="1"/>
  <c r="B741" i="1"/>
  <c r="K740" i="1"/>
  <c r="H740" i="1"/>
  <c r="G740" i="1"/>
  <c r="F740" i="1"/>
  <c r="D740" i="1"/>
  <c r="C740" i="1"/>
  <c r="B740" i="1"/>
  <c r="K739" i="1"/>
  <c r="H739" i="1"/>
  <c r="G739" i="1"/>
  <c r="F739" i="1"/>
  <c r="D739" i="1"/>
  <c r="C739" i="1"/>
  <c r="B739" i="1"/>
  <c r="K738" i="1"/>
  <c r="H738" i="1"/>
  <c r="G738" i="1"/>
  <c r="F738" i="1"/>
  <c r="D738" i="1"/>
  <c r="C738" i="1"/>
  <c r="B738" i="1"/>
  <c r="K737" i="1"/>
  <c r="H737" i="1"/>
  <c r="G737" i="1"/>
  <c r="F737" i="1"/>
  <c r="D737" i="1"/>
  <c r="C737" i="1"/>
  <c r="B737" i="1"/>
  <c r="K736" i="1"/>
  <c r="H736" i="1"/>
  <c r="G736" i="1"/>
  <c r="F736" i="1"/>
  <c r="D736" i="1"/>
  <c r="C736" i="1"/>
  <c r="B736" i="1"/>
  <c r="K735" i="1"/>
  <c r="H735" i="1"/>
  <c r="G735" i="1"/>
  <c r="F735" i="1"/>
  <c r="D735" i="1"/>
  <c r="C735" i="1"/>
  <c r="B735" i="1"/>
  <c r="K734" i="1"/>
  <c r="H734" i="1"/>
  <c r="G734" i="1"/>
  <c r="F734" i="1"/>
  <c r="D734" i="1"/>
  <c r="C734" i="1"/>
  <c r="B734" i="1"/>
  <c r="K733" i="1"/>
  <c r="H733" i="1"/>
  <c r="G733" i="1"/>
  <c r="F733" i="1"/>
  <c r="D733" i="1"/>
  <c r="C733" i="1"/>
  <c r="B733" i="1"/>
  <c r="K732" i="1"/>
  <c r="H732" i="1"/>
  <c r="G732" i="1"/>
  <c r="F732" i="1"/>
  <c r="D732" i="1"/>
  <c r="C732" i="1"/>
  <c r="B732" i="1"/>
  <c r="K731" i="1"/>
  <c r="H731" i="1"/>
  <c r="G731" i="1"/>
  <c r="F731" i="1"/>
  <c r="D731" i="1"/>
  <c r="C731" i="1"/>
  <c r="B731" i="1"/>
  <c r="K730" i="1"/>
  <c r="H730" i="1"/>
  <c r="G730" i="1"/>
  <c r="F730" i="1"/>
  <c r="D730" i="1"/>
  <c r="C730" i="1"/>
  <c r="B730" i="1"/>
  <c r="K729" i="1"/>
  <c r="H729" i="1"/>
  <c r="G729" i="1"/>
  <c r="F729" i="1"/>
  <c r="D729" i="1"/>
  <c r="C729" i="1"/>
  <c r="B729" i="1"/>
  <c r="K728" i="1"/>
  <c r="H728" i="1"/>
  <c r="G728" i="1"/>
  <c r="F728" i="1"/>
  <c r="D728" i="1"/>
  <c r="C728" i="1"/>
  <c r="B728" i="1"/>
  <c r="K727" i="1"/>
  <c r="H727" i="1"/>
  <c r="G727" i="1"/>
  <c r="F727" i="1"/>
  <c r="D727" i="1"/>
  <c r="C727" i="1"/>
  <c r="B727" i="1"/>
  <c r="K726" i="1"/>
  <c r="H726" i="1"/>
  <c r="G726" i="1"/>
  <c r="F726" i="1"/>
  <c r="D726" i="1"/>
  <c r="C726" i="1"/>
  <c r="B726" i="1"/>
  <c r="K725" i="1"/>
  <c r="H725" i="1"/>
  <c r="G725" i="1"/>
  <c r="F725" i="1"/>
  <c r="D725" i="1"/>
  <c r="C725" i="1"/>
  <c r="B725" i="1"/>
  <c r="K724" i="1"/>
  <c r="H724" i="1"/>
  <c r="G724" i="1"/>
  <c r="F724" i="1"/>
  <c r="D724" i="1"/>
  <c r="C724" i="1"/>
  <c r="B724" i="1"/>
  <c r="K723" i="1"/>
  <c r="H723" i="1"/>
  <c r="G723" i="1"/>
  <c r="F723" i="1"/>
  <c r="D723" i="1"/>
  <c r="C723" i="1"/>
  <c r="B723" i="1"/>
  <c r="K722" i="1"/>
  <c r="H722" i="1"/>
  <c r="G722" i="1"/>
  <c r="F722" i="1"/>
  <c r="D722" i="1"/>
  <c r="C722" i="1"/>
  <c r="B722" i="1"/>
  <c r="K721" i="1"/>
  <c r="H721" i="1"/>
  <c r="G721" i="1"/>
  <c r="F721" i="1"/>
  <c r="D721" i="1"/>
  <c r="C721" i="1"/>
  <c r="B721" i="1"/>
  <c r="K720" i="1"/>
  <c r="H720" i="1"/>
  <c r="G720" i="1"/>
  <c r="F720" i="1"/>
  <c r="D720" i="1"/>
  <c r="C720" i="1"/>
  <c r="B720" i="1"/>
  <c r="K719" i="1"/>
  <c r="H719" i="1"/>
  <c r="G719" i="1"/>
  <c r="F719" i="1"/>
  <c r="D719" i="1"/>
  <c r="C719" i="1"/>
  <c r="B719" i="1"/>
  <c r="K718" i="1"/>
  <c r="H718" i="1"/>
  <c r="G718" i="1"/>
  <c r="F718" i="1"/>
  <c r="D718" i="1"/>
  <c r="C718" i="1"/>
  <c r="B718" i="1"/>
  <c r="K717" i="1"/>
  <c r="H717" i="1"/>
  <c r="G717" i="1"/>
  <c r="F717" i="1"/>
  <c r="D717" i="1"/>
  <c r="C717" i="1"/>
  <c r="B717" i="1"/>
  <c r="K716" i="1"/>
  <c r="H716" i="1"/>
  <c r="G716" i="1"/>
  <c r="F716" i="1"/>
  <c r="D716" i="1"/>
  <c r="C716" i="1"/>
  <c r="B716" i="1"/>
  <c r="K715" i="1"/>
  <c r="H715" i="1"/>
  <c r="G715" i="1"/>
  <c r="F715" i="1"/>
  <c r="D715" i="1"/>
  <c r="C715" i="1"/>
  <c r="B715" i="1"/>
  <c r="K714" i="1"/>
  <c r="H714" i="1"/>
  <c r="G714" i="1"/>
  <c r="F714" i="1"/>
  <c r="D714" i="1"/>
  <c r="C714" i="1"/>
  <c r="B714" i="1"/>
  <c r="K713" i="1"/>
  <c r="H713" i="1"/>
  <c r="G713" i="1"/>
  <c r="F713" i="1"/>
  <c r="D713" i="1"/>
  <c r="C713" i="1"/>
  <c r="B713" i="1"/>
  <c r="K712" i="1"/>
  <c r="H712" i="1"/>
  <c r="G712" i="1"/>
  <c r="F712" i="1"/>
  <c r="D712" i="1"/>
  <c r="C712" i="1"/>
  <c r="B712" i="1"/>
  <c r="K711" i="1"/>
  <c r="H711" i="1"/>
  <c r="G711" i="1"/>
  <c r="F711" i="1"/>
  <c r="D711" i="1"/>
  <c r="C711" i="1"/>
  <c r="B711" i="1"/>
  <c r="K710" i="1"/>
  <c r="H710" i="1"/>
  <c r="G710" i="1"/>
  <c r="F710" i="1"/>
  <c r="D710" i="1"/>
  <c r="C710" i="1"/>
  <c r="B710" i="1"/>
  <c r="K709" i="1"/>
  <c r="H709" i="1"/>
  <c r="G709" i="1"/>
  <c r="F709" i="1"/>
  <c r="D709" i="1"/>
  <c r="C709" i="1"/>
  <c r="B709" i="1"/>
  <c r="K708" i="1"/>
  <c r="H708" i="1"/>
  <c r="G708" i="1"/>
  <c r="F708" i="1"/>
  <c r="D708" i="1"/>
  <c r="C708" i="1"/>
  <c r="B708" i="1"/>
  <c r="K707" i="1"/>
  <c r="H707" i="1"/>
  <c r="G707" i="1"/>
  <c r="F707" i="1"/>
  <c r="D707" i="1"/>
  <c r="C707" i="1"/>
  <c r="B707" i="1"/>
  <c r="K706" i="1"/>
  <c r="H706" i="1"/>
  <c r="G706" i="1"/>
  <c r="F706" i="1"/>
  <c r="D706" i="1"/>
  <c r="C706" i="1"/>
  <c r="B706" i="1"/>
  <c r="K705" i="1"/>
  <c r="H705" i="1"/>
  <c r="G705" i="1"/>
  <c r="F705" i="1"/>
  <c r="D705" i="1"/>
  <c r="C705" i="1"/>
  <c r="B705" i="1"/>
  <c r="K704" i="1"/>
  <c r="H704" i="1"/>
  <c r="G704" i="1"/>
  <c r="F704" i="1"/>
  <c r="D704" i="1"/>
  <c r="C704" i="1"/>
  <c r="B704" i="1"/>
  <c r="K703" i="1"/>
  <c r="H703" i="1"/>
  <c r="G703" i="1"/>
  <c r="F703" i="1"/>
  <c r="D703" i="1"/>
  <c r="C703" i="1"/>
  <c r="B703" i="1"/>
  <c r="K702" i="1"/>
  <c r="H702" i="1"/>
  <c r="G702" i="1"/>
  <c r="F702" i="1"/>
  <c r="D702" i="1"/>
  <c r="C702" i="1"/>
  <c r="B702" i="1"/>
  <c r="K701" i="1"/>
  <c r="H701" i="1"/>
  <c r="G701" i="1"/>
  <c r="F701" i="1"/>
  <c r="D701" i="1"/>
  <c r="C701" i="1"/>
  <c r="B701" i="1"/>
  <c r="K700" i="1"/>
  <c r="H700" i="1"/>
  <c r="G700" i="1"/>
  <c r="F700" i="1"/>
  <c r="D700" i="1"/>
  <c r="C700" i="1"/>
  <c r="B700" i="1"/>
  <c r="K699" i="1"/>
  <c r="H699" i="1"/>
  <c r="G699" i="1"/>
  <c r="F699" i="1"/>
  <c r="D699" i="1"/>
  <c r="C699" i="1"/>
  <c r="B699" i="1"/>
  <c r="K698" i="1"/>
  <c r="H698" i="1"/>
  <c r="G698" i="1"/>
  <c r="F698" i="1"/>
  <c r="D698" i="1"/>
  <c r="C698" i="1"/>
  <c r="B698" i="1"/>
  <c r="K697" i="1"/>
  <c r="H697" i="1"/>
  <c r="G697" i="1"/>
  <c r="F697" i="1"/>
  <c r="D697" i="1"/>
  <c r="C697" i="1"/>
  <c r="B697" i="1"/>
  <c r="K696" i="1"/>
  <c r="H696" i="1"/>
  <c r="G696" i="1"/>
  <c r="F696" i="1"/>
  <c r="D696" i="1"/>
  <c r="C696" i="1"/>
  <c r="B696" i="1"/>
  <c r="K695" i="1"/>
  <c r="H695" i="1"/>
  <c r="G695" i="1"/>
  <c r="F695" i="1"/>
  <c r="D695" i="1"/>
  <c r="C695" i="1"/>
  <c r="B695" i="1"/>
  <c r="K694" i="1"/>
  <c r="H694" i="1"/>
  <c r="G694" i="1"/>
  <c r="F694" i="1"/>
  <c r="D694" i="1"/>
  <c r="C694" i="1"/>
  <c r="B694" i="1"/>
  <c r="K693" i="1"/>
  <c r="H693" i="1"/>
  <c r="G693" i="1"/>
  <c r="F693" i="1"/>
  <c r="D693" i="1"/>
  <c r="C693" i="1"/>
  <c r="B693" i="1"/>
  <c r="K692" i="1"/>
  <c r="H692" i="1"/>
  <c r="G692" i="1"/>
  <c r="F692" i="1"/>
  <c r="D692" i="1"/>
  <c r="C692" i="1"/>
  <c r="B692" i="1"/>
  <c r="K691" i="1"/>
  <c r="H691" i="1"/>
  <c r="G691" i="1"/>
  <c r="F691" i="1"/>
  <c r="D691" i="1"/>
  <c r="C691" i="1"/>
  <c r="B691" i="1"/>
  <c r="K690" i="1"/>
  <c r="H690" i="1"/>
  <c r="G690" i="1"/>
  <c r="F690" i="1"/>
  <c r="D690" i="1"/>
  <c r="C690" i="1"/>
  <c r="B690" i="1"/>
  <c r="K689" i="1"/>
  <c r="H689" i="1"/>
  <c r="G689" i="1"/>
  <c r="F689" i="1"/>
  <c r="D689" i="1"/>
  <c r="C689" i="1"/>
  <c r="B689" i="1"/>
  <c r="K688" i="1"/>
  <c r="H688" i="1"/>
  <c r="G688" i="1"/>
  <c r="F688" i="1"/>
  <c r="D688" i="1"/>
  <c r="C688" i="1"/>
  <c r="B688" i="1"/>
  <c r="K687" i="1"/>
  <c r="H687" i="1"/>
  <c r="G687" i="1"/>
  <c r="F687" i="1"/>
  <c r="D687" i="1"/>
  <c r="C687" i="1"/>
  <c r="B687" i="1"/>
  <c r="K686" i="1"/>
  <c r="H686" i="1"/>
  <c r="G686" i="1"/>
  <c r="F686" i="1"/>
  <c r="D686" i="1"/>
  <c r="C686" i="1"/>
  <c r="B686" i="1"/>
  <c r="K685" i="1"/>
  <c r="H685" i="1"/>
  <c r="G685" i="1"/>
  <c r="F685" i="1"/>
  <c r="D685" i="1"/>
  <c r="C685" i="1"/>
  <c r="B685" i="1"/>
  <c r="K684" i="1"/>
  <c r="H684" i="1"/>
  <c r="G684" i="1"/>
  <c r="F684" i="1"/>
  <c r="D684" i="1"/>
  <c r="C684" i="1"/>
  <c r="B684" i="1"/>
  <c r="K683" i="1"/>
  <c r="H683" i="1"/>
  <c r="G683" i="1"/>
  <c r="F683" i="1"/>
  <c r="D683" i="1"/>
  <c r="C683" i="1"/>
  <c r="B683" i="1"/>
  <c r="K682" i="1"/>
  <c r="H682" i="1"/>
  <c r="G682" i="1"/>
  <c r="F682" i="1"/>
  <c r="D682" i="1"/>
  <c r="C682" i="1"/>
  <c r="B682" i="1"/>
  <c r="K681" i="1"/>
  <c r="H681" i="1"/>
  <c r="G681" i="1"/>
  <c r="F681" i="1"/>
  <c r="D681" i="1"/>
  <c r="C681" i="1"/>
  <c r="B681" i="1"/>
  <c r="K680" i="1"/>
  <c r="H680" i="1"/>
  <c r="G680" i="1"/>
  <c r="F680" i="1"/>
  <c r="D680" i="1"/>
  <c r="C680" i="1"/>
  <c r="B680" i="1"/>
  <c r="K679" i="1"/>
  <c r="H679" i="1"/>
  <c r="G679" i="1"/>
  <c r="F679" i="1"/>
  <c r="D679" i="1"/>
  <c r="C679" i="1"/>
  <c r="B679" i="1"/>
  <c r="K678" i="1"/>
  <c r="H678" i="1"/>
  <c r="G678" i="1"/>
  <c r="F678" i="1"/>
  <c r="D678" i="1"/>
  <c r="C678" i="1"/>
  <c r="B678" i="1"/>
  <c r="K677" i="1"/>
  <c r="H677" i="1"/>
  <c r="G677" i="1"/>
  <c r="F677" i="1"/>
  <c r="D677" i="1"/>
  <c r="C677" i="1"/>
  <c r="B677" i="1"/>
  <c r="K676" i="1"/>
  <c r="H676" i="1"/>
  <c r="G676" i="1"/>
  <c r="F676" i="1"/>
  <c r="D676" i="1"/>
  <c r="C676" i="1"/>
  <c r="B676" i="1"/>
  <c r="K675" i="1"/>
  <c r="H675" i="1"/>
  <c r="G675" i="1"/>
  <c r="F675" i="1"/>
  <c r="D675" i="1"/>
  <c r="C675" i="1"/>
  <c r="B675" i="1"/>
  <c r="K674" i="1"/>
  <c r="H674" i="1"/>
  <c r="G674" i="1"/>
  <c r="F674" i="1"/>
  <c r="D674" i="1"/>
  <c r="C674" i="1"/>
  <c r="B674" i="1"/>
  <c r="K673" i="1"/>
  <c r="H673" i="1"/>
  <c r="G673" i="1"/>
  <c r="F673" i="1"/>
  <c r="D673" i="1"/>
  <c r="C673" i="1"/>
  <c r="B673" i="1"/>
  <c r="K672" i="1"/>
  <c r="H672" i="1"/>
  <c r="G672" i="1"/>
  <c r="F672" i="1"/>
  <c r="D672" i="1"/>
  <c r="C672" i="1"/>
  <c r="B672" i="1"/>
  <c r="K671" i="1"/>
  <c r="H671" i="1"/>
  <c r="G671" i="1"/>
  <c r="F671" i="1"/>
  <c r="D671" i="1"/>
  <c r="C671" i="1"/>
  <c r="B671" i="1"/>
  <c r="K670" i="1"/>
  <c r="H670" i="1"/>
  <c r="G670" i="1"/>
  <c r="F670" i="1"/>
  <c r="D670" i="1"/>
  <c r="C670" i="1"/>
  <c r="B670" i="1"/>
  <c r="K669" i="1"/>
  <c r="H669" i="1"/>
  <c r="G669" i="1"/>
  <c r="F669" i="1"/>
  <c r="D669" i="1"/>
  <c r="C669" i="1"/>
  <c r="B669" i="1"/>
  <c r="K668" i="1"/>
  <c r="H668" i="1"/>
  <c r="G668" i="1"/>
  <c r="F668" i="1"/>
  <c r="D668" i="1"/>
  <c r="C668" i="1"/>
  <c r="B668" i="1"/>
  <c r="K667" i="1"/>
  <c r="H667" i="1"/>
  <c r="G667" i="1"/>
  <c r="F667" i="1"/>
  <c r="D667" i="1"/>
  <c r="C667" i="1"/>
  <c r="B667" i="1"/>
  <c r="K666" i="1"/>
  <c r="H666" i="1"/>
  <c r="G666" i="1"/>
  <c r="F666" i="1"/>
  <c r="D666" i="1"/>
  <c r="C666" i="1"/>
  <c r="B666" i="1"/>
  <c r="K665" i="1"/>
  <c r="H665" i="1"/>
  <c r="G665" i="1"/>
  <c r="F665" i="1"/>
  <c r="D665" i="1"/>
  <c r="C665" i="1"/>
  <c r="B665" i="1"/>
  <c r="K664" i="1"/>
  <c r="H664" i="1"/>
  <c r="G664" i="1"/>
  <c r="F664" i="1"/>
  <c r="D664" i="1"/>
  <c r="C664" i="1"/>
  <c r="B664" i="1"/>
  <c r="K663" i="1"/>
  <c r="H663" i="1"/>
  <c r="G663" i="1"/>
  <c r="F663" i="1"/>
  <c r="D663" i="1"/>
  <c r="C663" i="1"/>
  <c r="B663" i="1"/>
  <c r="K662" i="1"/>
  <c r="H662" i="1"/>
  <c r="G662" i="1"/>
  <c r="F662" i="1"/>
  <c r="D662" i="1"/>
  <c r="C662" i="1"/>
  <c r="B662" i="1"/>
  <c r="K661" i="1"/>
  <c r="H661" i="1"/>
  <c r="G661" i="1"/>
  <c r="F661" i="1"/>
  <c r="D661" i="1"/>
  <c r="C661" i="1"/>
  <c r="B661" i="1"/>
  <c r="K660" i="1"/>
  <c r="H660" i="1"/>
  <c r="G660" i="1"/>
  <c r="F660" i="1"/>
  <c r="D660" i="1"/>
  <c r="C660" i="1"/>
  <c r="B660" i="1"/>
  <c r="K659" i="1"/>
  <c r="H659" i="1"/>
  <c r="G659" i="1"/>
  <c r="F659" i="1"/>
  <c r="D659" i="1"/>
  <c r="C659" i="1"/>
  <c r="B659" i="1"/>
  <c r="K658" i="1"/>
  <c r="H658" i="1"/>
  <c r="G658" i="1"/>
  <c r="F658" i="1"/>
  <c r="D658" i="1"/>
  <c r="C658" i="1"/>
  <c r="B658" i="1"/>
  <c r="K657" i="1"/>
  <c r="H657" i="1"/>
  <c r="G657" i="1"/>
  <c r="F657" i="1"/>
  <c r="D657" i="1"/>
  <c r="C657" i="1"/>
  <c r="B657" i="1"/>
  <c r="K656" i="1"/>
  <c r="H656" i="1"/>
  <c r="G656" i="1"/>
  <c r="F656" i="1"/>
  <c r="D656" i="1"/>
  <c r="C656" i="1"/>
  <c r="B656" i="1"/>
  <c r="K655" i="1"/>
  <c r="H655" i="1"/>
  <c r="G655" i="1"/>
  <c r="F655" i="1"/>
  <c r="D655" i="1"/>
  <c r="C655" i="1"/>
  <c r="B655" i="1"/>
  <c r="K654" i="1"/>
  <c r="H654" i="1"/>
  <c r="G654" i="1"/>
  <c r="F654" i="1"/>
  <c r="D654" i="1"/>
  <c r="C654" i="1"/>
  <c r="B654" i="1"/>
  <c r="K653" i="1"/>
  <c r="H653" i="1"/>
  <c r="G653" i="1"/>
  <c r="F653" i="1"/>
  <c r="D653" i="1"/>
  <c r="C653" i="1"/>
  <c r="B653" i="1"/>
  <c r="K652" i="1"/>
  <c r="H652" i="1"/>
  <c r="G652" i="1"/>
  <c r="F652" i="1"/>
  <c r="D652" i="1"/>
  <c r="C652" i="1"/>
  <c r="B652" i="1"/>
  <c r="K651" i="1"/>
  <c r="H651" i="1"/>
  <c r="G651" i="1"/>
  <c r="F651" i="1"/>
  <c r="D651" i="1"/>
  <c r="C651" i="1"/>
  <c r="B651" i="1"/>
  <c r="K650" i="1"/>
  <c r="H650" i="1"/>
  <c r="G650" i="1"/>
  <c r="F650" i="1"/>
  <c r="D650" i="1"/>
  <c r="C650" i="1"/>
  <c r="B650" i="1"/>
  <c r="K649" i="1"/>
  <c r="H649" i="1"/>
  <c r="G649" i="1"/>
  <c r="F649" i="1"/>
  <c r="D649" i="1"/>
  <c r="C649" i="1"/>
  <c r="B649" i="1"/>
  <c r="K648" i="1"/>
  <c r="H648" i="1"/>
  <c r="G648" i="1"/>
  <c r="F648" i="1"/>
  <c r="D648" i="1"/>
  <c r="C648" i="1"/>
  <c r="B648" i="1"/>
  <c r="K647" i="1"/>
  <c r="H647" i="1"/>
  <c r="G647" i="1"/>
  <c r="F647" i="1"/>
  <c r="D647" i="1"/>
  <c r="C647" i="1"/>
  <c r="B647" i="1"/>
  <c r="K646" i="1"/>
  <c r="H646" i="1"/>
  <c r="G646" i="1"/>
  <c r="F646" i="1"/>
  <c r="D646" i="1"/>
  <c r="C646" i="1"/>
  <c r="B646" i="1"/>
  <c r="K645" i="1"/>
  <c r="H645" i="1"/>
  <c r="G645" i="1"/>
  <c r="F645" i="1"/>
  <c r="D645" i="1"/>
  <c r="C645" i="1"/>
  <c r="B645" i="1"/>
  <c r="K644" i="1"/>
  <c r="H644" i="1"/>
  <c r="G644" i="1"/>
  <c r="F644" i="1"/>
  <c r="D644" i="1"/>
  <c r="C644" i="1"/>
  <c r="B644" i="1"/>
  <c r="K643" i="1"/>
  <c r="H643" i="1"/>
  <c r="G643" i="1"/>
  <c r="F643" i="1"/>
  <c r="D643" i="1"/>
  <c r="C643" i="1"/>
  <c r="B643" i="1"/>
  <c r="K642" i="1"/>
  <c r="H642" i="1"/>
  <c r="G642" i="1"/>
  <c r="F642" i="1"/>
  <c r="D642" i="1"/>
  <c r="C642" i="1"/>
  <c r="B642" i="1"/>
  <c r="K641" i="1"/>
  <c r="H641" i="1"/>
  <c r="G641" i="1"/>
  <c r="F641" i="1"/>
  <c r="D641" i="1"/>
  <c r="C641" i="1"/>
  <c r="B641" i="1"/>
  <c r="K640" i="1"/>
  <c r="H640" i="1"/>
  <c r="G640" i="1"/>
  <c r="F640" i="1"/>
  <c r="D640" i="1"/>
  <c r="C640" i="1"/>
  <c r="B640" i="1"/>
  <c r="K639" i="1"/>
  <c r="H639" i="1"/>
  <c r="G639" i="1"/>
  <c r="F639" i="1"/>
  <c r="D639" i="1"/>
  <c r="C639" i="1"/>
  <c r="B639" i="1"/>
  <c r="K638" i="1"/>
  <c r="H638" i="1"/>
  <c r="G638" i="1"/>
  <c r="F638" i="1"/>
  <c r="D638" i="1"/>
  <c r="C638" i="1"/>
  <c r="B638" i="1"/>
  <c r="K637" i="1"/>
  <c r="H637" i="1"/>
  <c r="G637" i="1"/>
  <c r="F637" i="1"/>
  <c r="D637" i="1"/>
  <c r="C637" i="1"/>
  <c r="B637" i="1"/>
  <c r="K636" i="1"/>
  <c r="H636" i="1"/>
  <c r="G636" i="1"/>
  <c r="F636" i="1"/>
  <c r="D636" i="1"/>
  <c r="C636" i="1"/>
  <c r="B636" i="1"/>
  <c r="K635" i="1"/>
  <c r="H635" i="1"/>
  <c r="G635" i="1"/>
  <c r="F635" i="1"/>
  <c r="D635" i="1"/>
  <c r="C635" i="1"/>
  <c r="B635" i="1"/>
  <c r="K634" i="1"/>
  <c r="H634" i="1"/>
  <c r="G634" i="1"/>
  <c r="F634" i="1"/>
  <c r="D634" i="1"/>
  <c r="C634" i="1"/>
  <c r="B634" i="1"/>
  <c r="K633" i="1"/>
  <c r="H633" i="1"/>
  <c r="G633" i="1"/>
  <c r="F633" i="1"/>
  <c r="D633" i="1"/>
  <c r="C633" i="1"/>
  <c r="B633" i="1"/>
  <c r="K632" i="1"/>
  <c r="H632" i="1"/>
  <c r="G632" i="1"/>
  <c r="F632" i="1"/>
  <c r="D632" i="1"/>
  <c r="C632" i="1"/>
  <c r="B632" i="1"/>
  <c r="K631" i="1"/>
  <c r="H631" i="1"/>
  <c r="G631" i="1"/>
  <c r="F631" i="1"/>
  <c r="D631" i="1"/>
  <c r="C631" i="1"/>
  <c r="B631" i="1"/>
  <c r="K630" i="1"/>
  <c r="H630" i="1"/>
  <c r="G630" i="1"/>
  <c r="F630" i="1"/>
  <c r="D630" i="1"/>
  <c r="C630" i="1"/>
  <c r="B630" i="1"/>
  <c r="K629" i="1"/>
  <c r="H629" i="1"/>
  <c r="G629" i="1"/>
  <c r="F629" i="1"/>
  <c r="D629" i="1"/>
  <c r="C629" i="1"/>
  <c r="B629" i="1"/>
  <c r="K628" i="1"/>
  <c r="H628" i="1"/>
  <c r="G628" i="1"/>
  <c r="F628" i="1"/>
  <c r="D628" i="1"/>
  <c r="C628" i="1"/>
  <c r="B628" i="1"/>
  <c r="K627" i="1"/>
  <c r="H627" i="1"/>
  <c r="G627" i="1"/>
  <c r="F627" i="1"/>
  <c r="D627" i="1"/>
  <c r="C627" i="1"/>
  <c r="B627" i="1"/>
  <c r="K626" i="1"/>
  <c r="H626" i="1"/>
  <c r="G626" i="1"/>
  <c r="F626" i="1"/>
  <c r="D626" i="1"/>
  <c r="C626" i="1"/>
  <c r="B626" i="1"/>
  <c r="K625" i="1"/>
  <c r="H625" i="1"/>
  <c r="G625" i="1"/>
  <c r="F625" i="1"/>
  <c r="D625" i="1"/>
  <c r="C625" i="1"/>
  <c r="B625" i="1"/>
  <c r="K624" i="1"/>
  <c r="H624" i="1"/>
  <c r="G624" i="1"/>
  <c r="F624" i="1"/>
  <c r="D624" i="1"/>
  <c r="C624" i="1"/>
  <c r="B624" i="1"/>
  <c r="K623" i="1"/>
  <c r="H623" i="1"/>
  <c r="G623" i="1"/>
  <c r="F623" i="1"/>
  <c r="D623" i="1"/>
  <c r="C623" i="1"/>
  <c r="B623" i="1"/>
  <c r="K622" i="1"/>
  <c r="H622" i="1"/>
  <c r="G622" i="1"/>
  <c r="F622" i="1"/>
  <c r="D622" i="1"/>
  <c r="C622" i="1"/>
  <c r="B622" i="1"/>
  <c r="K621" i="1"/>
  <c r="H621" i="1"/>
  <c r="G621" i="1"/>
  <c r="F621" i="1"/>
  <c r="D621" i="1"/>
  <c r="C621" i="1"/>
  <c r="B621" i="1"/>
  <c r="K620" i="1"/>
  <c r="H620" i="1"/>
  <c r="G620" i="1"/>
  <c r="F620" i="1"/>
  <c r="D620" i="1"/>
  <c r="C620" i="1"/>
  <c r="B620" i="1"/>
  <c r="K619" i="1"/>
  <c r="H619" i="1"/>
  <c r="G619" i="1"/>
  <c r="F619" i="1"/>
  <c r="D619" i="1"/>
  <c r="C619" i="1"/>
  <c r="B619" i="1"/>
  <c r="K618" i="1"/>
  <c r="H618" i="1"/>
  <c r="G618" i="1"/>
  <c r="F618" i="1"/>
  <c r="D618" i="1"/>
  <c r="C618" i="1"/>
  <c r="B618" i="1"/>
  <c r="K617" i="1"/>
  <c r="H617" i="1"/>
  <c r="G617" i="1"/>
  <c r="F617" i="1"/>
  <c r="D617" i="1"/>
  <c r="C617" i="1"/>
  <c r="B617" i="1"/>
  <c r="K616" i="1"/>
  <c r="H616" i="1"/>
  <c r="G616" i="1"/>
  <c r="F616" i="1"/>
  <c r="D616" i="1"/>
  <c r="C616" i="1"/>
  <c r="B616" i="1"/>
  <c r="K615" i="1"/>
  <c r="H615" i="1"/>
  <c r="G615" i="1"/>
  <c r="F615" i="1"/>
  <c r="D615" i="1"/>
  <c r="C615" i="1"/>
  <c r="B615" i="1"/>
  <c r="K614" i="1"/>
  <c r="H614" i="1"/>
  <c r="G614" i="1"/>
  <c r="F614" i="1"/>
  <c r="D614" i="1"/>
  <c r="C614" i="1"/>
  <c r="B614" i="1"/>
  <c r="K613" i="1"/>
  <c r="H613" i="1"/>
  <c r="G613" i="1"/>
  <c r="F613" i="1"/>
  <c r="D613" i="1"/>
  <c r="C613" i="1"/>
  <c r="B613" i="1"/>
  <c r="K612" i="1"/>
  <c r="H612" i="1"/>
  <c r="G612" i="1"/>
  <c r="F612" i="1"/>
  <c r="D612" i="1"/>
  <c r="C612" i="1"/>
  <c r="B612" i="1"/>
  <c r="K611" i="1"/>
  <c r="H611" i="1"/>
  <c r="G611" i="1"/>
  <c r="F611" i="1"/>
  <c r="D611" i="1"/>
  <c r="C611" i="1"/>
  <c r="B611" i="1"/>
  <c r="K610" i="1"/>
  <c r="H610" i="1"/>
  <c r="G610" i="1"/>
  <c r="F610" i="1"/>
  <c r="D610" i="1"/>
  <c r="C610" i="1"/>
  <c r="B610" i="1"/>
  <c r="K609" i="1"/>
  <c r="H609" i="1"/>
  <c r="G609" i="1"/>
  <c r="F609" i="1"/>
  <c r="D609" i="1"/>
  <c r="C609" i="1"/>
  <c r="B609" i="1"/>
  <c r="K608" i="1"/>
  <c r="H608" i="1"/>
  <c r="G608" i="1"/>
  <c r="F608" i="1"/>
  <c r="D608" i="1"/>
  <c r="C608" i="1"/>
  <c r="B608" i="1"/>
  <c r="K607" i="1"/>
  <c r="H607" i="1"/>
  <c r="G607" i="1"/>
  <c r="F607" i="1"/>
  <c r="D607" i="1"/>
  <c r="C607" i="1"/>
  <c r="B607" i="1"/>
  <c r="K606" i="1"/>
  <c r="H606" i="1"/>
  <c r="G606" i="1"/>
  <c r="F606" i="1"/>
  <c r="D606" i="1"/>
  <c r="C606" i="1"/>
  <c r="B606" i="1"/>
  <c r="K605" i="1"/>
  <c r="H605" i="1"/>
  <c r="G605" i="1"/>
  <c r="F605" i="1"/>
  <c r="D605" i="1"/>
  <c r="C605" i="1"/>
  <c r="B605" i="1"/>
  <c r="K604" i="1"/>
  <c r="H604" i="1"/>
  <c r="G604" i="1"/>
  <c r="F604" i="1"/>
  <c r="D604" i="1"/>
  <c r="C604" i="1"/>
  <c r="B604" i="1"/>
  <c r="K603" i="1"/>
  <c r="H603" i="1"/>
  <c r="G603" i="1"/>
  <c r="F603" i="1"/>
  <c r="D603" i="1"/>
  <c r="C603" i="1"/>
  <c r="B603" i="1"/>
  <c r="K602" i="1"/>
  <c r="H602" i="1"/>
  <c r="G602" i="1"/>
  <c r="F602" i="1"/>
  <c r="D602" i="1"/>
  <c r="C602" i="1"/>
  <c r="B602" i="1"/>
  <c r="K601" i="1"/>
  <c r="H601" i="1"/>
  <c r="G601" i="1"/>
  <c r="F601" i="1"/>
  <c r="D601" i="1"/>
  <c r="C601" i="1"/>
  <c r="B601" i="1"/>
  <c r="K600" i="1"/>
  <c r="H600" i="1"/>
  <c r="G600" i="1"/>
  <c r="F600" i="1"/>
  <c r="D600" i="1"/>
  <c r="C600" i="1"/>
  <c r="B600" i="1"/>
  <c r="K599" i="1"/>
  <c r="H599" i="1"/>
  <c r="G599" i="1"/>
  <c r="F599" i="1"/>
  <c r="D599" i="1"/>
  <c r="C599" i="1"/>
  <c r="B599" i="1"/>
  <c r="K598" i="1"/>
  <c r="H598" i="1"/>
  <c r="G598" i="1"/>
  <c r="F598" i="1"/>
  <c r="D598" i="1"/>
  <c r="C598" i="1"/>
  <c r="B598" i="1"/>
  <c r="K597" i="1"/>
  <c r="H597" i="1"/>
  <c r="G597" i="1"/>
  <c r="F597" i="1"/>
  <c r="D597" i="1"/>
  <c r="C597" i="1"/>
  <c r="B597" i="1"/>
  <c r="K596" i="1"/>
  <c r="H596" i="1"/>
  <c r="G596" i="1"/>
  <c r="F596" i="1"/>
  <c r="D596" i="1"/>
  <c r="C596" i="1"/>
  <c r="B596" i="1"/>
  <c r="K595" i="1"/>
  <c r="H595" i="1"/>
  <c r="G595" i="1"/>
  <c r="F595" i="1"/>
  <c r="D595" i="1"/>
  <c r="C595" i="1"/>
  <c r="B595" i="1"/>
  <c r="K594" i="1"/>
  <c r="H594" i="1"/>
  <c r="G594" i="1"/>
  <c r="F594" i="1"/>
  <c r="D594" i="1"/>
  <c r="C594" i="1"/>
  <c r="B594" i="1"/>
  <c r="K593" i="1"/>
  <c r="H593" i="1"/>
  <c r="G593" i="1"/>
  <c r="F593" i="1"/>
  <c r="D593" i="1"/>
  <c r="C593" i="1"/>
  <c r="B593" i="1"/>
  <c r="K592" i="1"/>
  <c r="H592" i="1"/>
  <c r="G592" i="1"/>
  <c r="F592" i="1"/>
  <c r="D592" i="1"/>
  <c r="C592" i="1"/>
  <c r="B592" i="1"/>
  <c r="K591" i="1"/>
  <c r="H591" i="1"/>
  <c r="G591" i="1"/>
  <c r="F591" i="1"/>
  <c r="D591" i="1"/>
  <c r="C591" i="1"/>
  <c r="B591" i="1"/>
  <c r="K590" i="1"/>
  <c r="H590" i="1"/>
  <c r="F590" i="1"/>
  <c r="D590" i="1"/>
  <c r="C590" i="1"/>
  <c r="B590" i="1"/>
  <c r="K589" i="1"/>
  <c r="H589" i="1"/>
  <c r="F589" i="1"/>
  <c r="D589" i="1"/>
  <c r="C589" i="1"/>
  <c r="B589" i="1"/>
  <c r="K588" i="1"/>
  <c r="H588" i="1"/>
  <c r="F588" i="1"/>
  <c r="D588" i="1"/>
  <c r="C588" i="1"/>
  <c r="B588" i="1"/>
  <c r="K587" i="1"/>
  <c r="H587" i="1"/>
  <c r="F587" i="1"/>
  <c r="D587" i="1"/>
  <c r="C587" i="1"/>
  <c r="B587" i="1"/>
  <c r="K586" i="1"/>
  <c r="H586" i="1"/>
  <c r="F586" i="1"/>
  <c r="D586" i="1"/>
  <c r="C586" i="1"/>
  <c r="B586" i="1"/>
  <c r="K585" i="1"/>
  <c r="H585" i="1"/>
  <c r="F585" i="1"/>
  <c r="D585" i="1"/>
  <c r="C585" i="1"/>
  <c r="B585" i="1"/>
  <c r="K584" i="1"/>
  <c r="H584" i="1"/>
  <c r="F584" i="1"/>
  <c r="D584" i="1"/>
  <c r="C584" i="1"/>
  <c r="B584" i="1"/>
  <c r="K583" i="1"/>
  <c r="H583" i="1"/>
  <c r="F583" i="1"/>
  <c r="D583" i="1"/>
  <c r="C583" i="1"/>
  <c r="B583" i="1"/>
  <c r="K582" i="1"/>
  <c r="H582" i="1"/>
  <c r="F582" i="1"/>
  <c r="D582" i="1"/>
  <c r="C582" i="1"/>
  <c r="B582" i="1"/>
  <c r="K581" i="1"/>
  <c r="H581" i="1"/>
  <c r="F581" i="1"/>
  <c r="D581" i="1"/>
  <c r="C581" i="1"/>
  <c r="B581" i="1"/>
  <c r="K580" i="1"/>
  <c r="H580" i="1"/>
  <c r="F580" i="1"/>
  <c r="D580" i="1"/>
  <c r="C580" i="1"/>
  <c r="B580" i="1"/>
  <c r="K579" i="1"/>
  <c r="H579" i="1"/>
  <c r="F579" i="1"/>
  <c r="D579" i="1"/>
  <c r="C579" i="1"/>
  <c r="B579" i="1"/>
  <c r="K578" i="1"/>
  <c r="H578" i="1"/>
  <c r="F578" i="1"/>
  <c r="D578" i="1"/>
  <c r="C578" i="1"/>
  <c r="B578" i="1"/>
  <c r="K577" i="1"/>
  <c r="H577" i="1"/>
  <c r="F577" i="1"/>
  <c r="D577" i="1"/>
  <c r="C577" i="1"/>
  <c r="B577" i="1"/>
  <c r="K576" i="1"/>
  <c r="H576" i="1"/>
  <c r="F576" i="1"/>
  <c r="D576" i="1"/>
  <c r="C576" i="1"/>
  <c r="B576" i="1"/>
  <c r="K575" i="1"/>
  <c r="H575" i="1"/>
  <c r="F575" i="1"/>
  <c r="D575" i="1"/>
  <c r="C575" i="1"/>
  <c r="B575" i="1"/>
  <c r="K574" i="1"/>
  <c r="H574" i="1"/>
  <c r="F574" i="1"/>
  <c r="D574" i="1"/>
  <c r="C574" i="1"/>
  <c r="B574" i="1"/>
  <c r="K573" i="1"/>
  <c r="H573" i="1"/>
  <c r="G573" i="1"/>
  <c r="F573" i="1"/>
  <c r="D573" i="1"/>
  <c r="C573" i="1"/>
  <c r="B573" i="1"/>
  <c r="K572" i="1"/>
  <c r="H572" i="1"/>
  <c r="G572" i="1"/>
  <c r="F572" i="1"/>
  <c r="D572" i="1"/>
  <c r="C572" i="1"/>
  <c r="B572" i="1"/>
  <c r="K571" i="1"/>
  <c r="H571" i="1"/>
  <c r="G571" i="1"/>
  <c r="F571" i="1"/>
  <c r="D571" i="1"/>
  <c r="C571" i="1"/>
  <c r="B571" i="1"/>
  <c r="K570" i="1"/>
  <c r="H570" i="1"/>
  <c r="G570" i="1"/>
  <c r="F570" i="1"/>
  <c r="D570" i="1"/>
  <c r="C570" i="1"/>
  <c r="B570" i="1"/>
  <c r="K569" i="1"/>
  <c r="H569" i="1"/>
  <c r="G569" i="1"/>
  <c r="F569" i="1"/>
  <c r="D569" i="1"/>
  <c r="C569" i="1"/>
  <c r="B569" i="1"/>
  <c r="K568" i="1"/>
  <c r="H568" i="1"/>
  <c r="G568" i="1"/>
  <c r="F568" i="1"/>
  <c r="D568" i="1"/>
  <c r="C568" i="1"/>
  <c r="B568" i="1"/>
  <c r="K567" i="1"/>
  <c r="H567" i="1"/>
  <c r="G567" i="1"/>
  <c r="F567" i="1"/>
  <c r="D567" i="1"/>
  <c r="C567" i="1"/>
  <c r="B567" i="1"/>
  <c r="K566" i="1"/>
  <c r="H566" i="1"/>
  <c r="G566" i="1"/>
  <c r="F566" i="1"/>
  <c r="D566" i="1"/>
  <c r="C566" i="1"/>
  <c r="B566" i="1"/>
  <c r="K565" i="1"/>
  <c r="H565" i="1"/>
  <c r="G565" i="1"/>
  <c r="F565" i="1"/>
  <c r="D565" i="1"/>
  <c r="C565" i="1"/>
  <c r="B565" i="1"/>
  <c r="K564" i="1"/>
  <c r="H564" i="1"/>
  <c r="G564" i="1"/>
  <c r="F564" i="1"/>
  <c r="D564" i="1"/>
  <c r="C564" i="1"/>
  <c r="B564" i="1"/>
  <c r="K563" i="1"/>
  <c r="H563" i="1"/>
  <c r="G563" i="1"/>
  <c r="F563" i="1"/>
  <c r="D563" i="1"/>
  <c r="C563" i="1"/>
  <c r="B563" i="1"/>
  <c r="K562" i="1"/>
  <c r="H562" i="1"/>
  <c r="G562" i="1"/>
  <c r="F562" i="1"/>
  <c r="D562" i="1"/>
  <c r="C562" i="1"/>
  <c r="B562" i="1"/>
  <c r="K561" i="1"/>
  <c r="H561" i="1"/>
  <c r="G561" i="1"/>
  <c r="F561" i="1"/>
  <c r="D561" i="1"/>
  <c r="C561" i="1"/>
  <c r="B561" i="1"/>
  <c r="K560" i="1"/>
  <c r="H560" i="1"/>
  <c r="G560" i="1"/>
  <c r="F560" i="1"/>
  <c r="D560" i="1"/>
  <c r="C560" i="1"/>
  <c r="B560" i="1"/>
  <c r="K559" i="1"/>
  <c r="H559" i="1"/>
  <c r="G559" i="1"/>
  <c r="F559" i="1"/>
  <c r="D559" i="1"/>
  <c r="C559" i="1"/>
  <c r="B559" i="1"/>
  <c r="K558" i="1"/>
  <c r="H558" i="1"/>
  <c r="G558" i="1"/>
  <c r="F558" i="1"/>
  <c r="D558" i="1"/>
  <c r="C558" i="1"/>
  <c r="B558" i="1"/>
  <c r="K557" i="1"/>
  <c r="H557" i="1"/>
  <c r="G557" i="1"/>
  <c r="F557" i="1"/>
  <c r="D557" i="1"/>
  <c r="C557" i="1"/>
  <c r="B557" i="1"/>
  <c r="K556" i="1"/>
  <c r="H556" i="1"/>
  <c r="G556" i="1"/>
  <c r="F556" i="1"/>
  <c r="D556" i="1"/>
  <c r="C556" i="1"/>
  <c r="B556" i="1"/>
  <c r="K555" i="1"/>
  <c r="H555" i="1"/>
  <c r="G555" i="1"/>
  <c r="F555" i="1"/>
  <c r="D555" i="1"/>
  <c r="C555" i="1"/>
  <c r="B555" i="1"/>
  <c r="K554" i="1"/>
  <c r="H554" i="1"/>
  <c r="G554" i="1"/>
  <c r="F554" i="1"/>
  <c r="D554" i="1"/>
  <c r="C554" i="1"/>
  <c r="B554" i="1"/>
  <c r="K553" i="1"/>
  <c r="H553" i="1"/>
  <c r="G553" i="1"/>
  <c r="F553" i="1"/>
  <c r="D553" i="1"/>
  <c r="C553" i="1"/>
  <c r="B553" i="1"/>
  <c r="K552" i="1"/>
  <c r="H552" i="1"/>
  <c r="G552" i="1"/>
  <c r="F552" i="1"/>
  <c r="D552" i="1"/>
  <c r="C552" i="1"/>
  <c r="B552" i="1"/>
  <c r="K551" i="1"/>
  <c r="H551" i="1"/>
  <c r="G551" i="1"/>
  <c r="F551" i="1"/>
  <c r="D551" i="1"/>
  <c r="C551" i="1"/>
  <c r="B551" i="1"/>
  <c r="K550" i="1"/>
  <c r="H550" i="1"/>
  <c r="G550" i="1"/>
  <c r="F550" i="1"/>
  <c r="D550" i="1"/>
  <c r="C550" i="1"/>
  <c r="B550" i="1"/>
  <c r="K549" i="1"/>
  <c r="H549" i="1"/>
  <c r="G549" i="1"/>
  <c r="F549" i="1"/>
  <c r="D549" i="1"/>
  <c r="C549" i="1"/>
  <c r="B549" i="1"/>
  <c r="K548" i="1"/>
  <c r="H548" i="1"/>
  <c r="G548" i="1"/>
  <c r="F548" i="1"/>
  <c r="D548" i="1"/>
  <c r="C548" i="1"/>
  <c r="B548" i="1"/>
  <c r="K547" i="1"/>
  <c r="H547" i="1"/>
  <c r="G547" i="1"/>
  <c r="F547" i="1"/>
  <c r="D547" i="1"/>
  <c r="C547" i="1"/>
  <c r="B547" i="1"/>
  <c r="K546" i="1"/>
  <c r="H546" i="1"/>
  <c r="G546" i="1"/>
  <c r="F546" i="1"/>
  <c r="D546" i="1"/>
  <c r="C546" i="1"/>
  <c r="B546" i="1"/>
  <c r="K545" i="1"/>
  <c r="H545" i="1"/>
  <c r="G545" i="1"/>
  <c r="F545" i="1"/>
  <c r="D545" i="1"/>
  <c r="C545" i="1"/>
  <c r="B545" i="1"/>
  <c r="K544" i="1"/>
  <c r="H544" i="1"/>
  <c r="G544" i="1"/>
  <c r="F544" i="1"/>
  <c r="D544" i="1"/>
  <c r="C544" i="1"/>
  <c r="B544" i="1"/>
  <c r="K543" i="1"/>
  <c r="H543" i="1"/>
  <c r="G543" i="1"/>
  <c r="F543" i="1"/>
  <c r="D543" i="1"/>
  <c r="C543" i="1"/>
  <c r="B543" i="1"/>
  <c r="K542" i="1"/>
  <c r="H542" i="1"/>
  <c r="G542" i="1"/>
  <c r="F542" i="1"/>
  <c r="D542" i="1"/>
  <c r="C542" i="1"/>
  <c r="B542" i="1"/>
  <c r="K541" i="1"/>
  <c r="H541" i="1"/>
  <c r="G541" i="1"/>
  <c r="F541" i="1"/>
  <c r="D541" i="1"/>
  <c r="C541" i="1"/>
  <c r="B541" i="1"/>
  <c r="K540" i="1"/>
  <c r="H540" i="1"/>
  <c r="G540" i="1"/>
  <c r="F540" i="1"/>
  <c r="D540" i="1"/>
  <c r="C540" i="1"/>
  <c r="B540" i="1"/>
  <c r="K539" i="1"/>
  <c r="H539" i="1"/>
  <c r="G539" i="1"/>
  <c r="F539" i="1"/>
  <c r="D539" i="1"/>
  <c r="C539" i="1"/>
  <c r="B539" i="1"/>
  <c r="K538" i="1"/>
  <c r="H538" i="1"/>
  <c r="G538" i="1"/>
  <c r="F538" i="1"/>
  <c r="D538" i="1"/>
  <c r="C538" i="1"/>
  <c r="B538" i="1"/>
  <c r="K537" i="1"/>
  <c r="H537" i="1"/>
  <c r="G537" i="1"/>
  <c r="F537" i="1"/>
  <c r="D537" i="1"/>
  <c r="C537" i="1"/>
  <c r="B537" i="1"/>
  <c r="K536" i="1"/>
  <c r="H536" i="1"/>
  <c r="G536" i="1"/>
  <c r="F536" i="1"/>
  <c r="D536" i="1"/>
  <c r="C536" i="1"/>
  <c r="B536" i="1"/>
  <c r="K535" i="1"/>
  <c r="H535" i="1"/>
  <c r="G535" i="1"/>
  <c r="F535" i="1"/>
  <c r="D535" i="1"/>
  <c r="C535" i="1"/>
  <c r="B535" i="1"/>
  <c r="K534" i="1"/>
  <c r="H534" i="1"/>
  <c r="G534" i="1"/>
  <c r="F534" i="1"/>
  <c r="D534" i="1"/>
  <c r="C534" i="1"/>
  <c r="B534" i="1"/>
  <c r="K533" i="1"/>
  <c r="H533" i="1"/>
  <c r="G533" i="1"/>
  <c r="F533" i="1"/>
  <c r="D533" i="1"/>
  <c r="C533" i="1"/>
  <c r="B533" i="1"/>
  <c r="K532" i="1"/>
  <c r="H532" i="1"/>
  <c r="G532" i="1"/>
  <c r="F532" i="1"/>
  <c r="D532" i="1"/>
  <c r="C532" i="1"/>
  <c r="B532" i="1"/>
  <c r="K531" i="1"/>
  <c r="H531" i="1"/>
  <c r="G531" i="1"/>
  <c r="F531" i="1"/>
  <c r="D531" i="1"/>
  <c r="C531" i="1"/>
  <c r="B531" i="1"/>
  <c r="K530" i="1"/>
  <c r="H530" i="1"/>
  <c r="G530" i="1"/>
  <c r="F530" i="1"/>
  <c r="D530" i="1"/>
  <c r="C530" i="1"/>
  <c r="B530" i="1"/>
  <c r="K529" i="1"/>
  <c r="H529" i="1"/>
  <c r="G529" i="1"/>
  <c r="F529" i="1"/>
  <c r="D529" i="1"/>
  <c r="C529" i="1"/>
  <c r="B529" i="1"/>
  <c r="K528" i="1"/>
  <c r="H528" i="1"/>
  <c r="G528" i="1"/>
  <c r="F528" i="1"/>
  <c r="D528" i="1"/>
  <c r="C528" i="1"/>
  <c r="B528" i="1"/>
  <c r="K527" i="1"/>
  <c r="H527" i="1"/>
  <c r="G527" i="1"/>
  <c r="F527" i="1"/>
  <c r="D527" i="1"/>
  <c r="C527" i="1"/>
  <c r="B527" i="1"/>
  <c r="K526" i="1"/>
  <c r="H526" i="1"/>
  <c r="G526" i="1"/>
  <c r="F526" i="1"/>
  <c r="D526" i="1"/>
  <c r="C526" i="1"/>
  <c r="B526" i="1"/>
  <c r="K525" i="1"/>
  <c r="H525" i="1"/>
  <c r="G525" i="1"/>
  <c r="F525" i="1"/>
  <c r="D525" i="1"/>
  <c r="C525" i="1"/>
  <c r="B525" i="1"/>
  <c r="K524" i="1"/>
  <c r="H524" i="1"/>
  <c r="G524" i="1"/>
  <c r="F524" i="1"/>
  <c r="D524" i="1"/>
  <c r="C524" i="1"/>
  <c r="B524" i="1"/>
  <c r="K523" i="1"/>
  <c r="H523" i="1"/>
  <c r="G523" i="1"/>
  <c r="F523" i="1"/>
  <c r="D523" i="1"/>
  <c r="C523" i="1"/>
  <c r="B523" i="1"/>
  <c r="K522" i="1"/>
  <c r="H522" i="1"/>
  <c r="G522" i="1"/>
  <c r="F522" i="1"/>
  <c r="D522" i="1"/>
  <c r="C522" i="1"/>
  <c r="B522" i="1"/>
  <c r="K521" i="1"/>
  <c r="H521" i="1"/>
  <c r="G521" i="1"/>
  <c r="F521" i="1"/>
  <c r="D521" i="1"/>
  <c r="C521" i="1"/>
  <c r="B521" i="1"/>
  <c r="K520" i="1"/>
  <c r="H520" i="1"/>
  <c r="G520" i="1"/>
  <c r="F520" i="1"/>
  <c r="D520" i="1"/>
  <c r="C520" i="1"/>
  <c r="B520" i="1"/>
  <c r="K519" i="1"/>
  <c r="H519" i="1"/>
  <c r="G519" i="1"/>
  <c r="F519" i="1"/>
  <c r="D519" i="1"/>
  <c r="C519" i="1"/>
  <c r="B519" i="1"/>
  <c r="K518" i="1"/>
  <c r="H518" i="1"/>
  <c r="G518" i="1"/>
  <c r="F518" i="1"/>
  <c r="D518" i="1"/>
  <c r="C518" i="1"/>
  <c r="B518" i="1"/>
  <c r="K517" i="1"/>
  <c r="H517" i="1"/>
  <c r="G517" i="1"/>
  <c r="F517" i="1"/>
  <c r="D517" i="1"/>
  <c r="C517" i="1"/>
  <c r="B517" i="1"/>
  <c r="K516" i="1"/>
  <c r="H516" i="1"/>
  <c r="G516" i="1"/>
  <c r="F516" i="1"/>
  <c r="D516" i="1"/>
  <c r="C516" i="1"/>
  <c r="B516" i="1"/>
  <c r="K515" i="1"/>
  <c r="H515" i="1"/>
  <c r="G515" i="1"/>
  <c r="F515" i="1"/>
  <c r="D515" i="1"/>
  <c r="C515" i="1"/>
  <c r="B515" i="1"/>
  <c r="K514" i="1"/>
  <c r="H514" i="1"/>
  <c r="G514" i="1"/>
  <c r="F514" i="1"/>
  <c r="D514" i="1"/>
  <c r="C514" i="1"/>
  <c r="B514" i="1"/>
  <c r="K513" i="1"/>
  <c r="H513" i="1"/>
  <c r="G513" i="1"/>
  <c r="F513" i="1"/>
  <c r="D513" i="1"/>
  <c r="C513" i="1"/>
  <c r="B513" i="1"/>
  <c r="K512" i="1"/>
  <c r="H512" i="1"/>
  <c r="G512" i="1"/>
  <c r="F512" i="1"/>
  <c r="D512" i="1"/>
  <c r="C512" i="1"/>
  <c r="B512" i="1"/>
  <c r="K511" i="1"/>
  <c r="H511" i="1"/>
  <c r="G511" i="1"/>
  <c r="F511" i="1"/>
  <c r="D511" i="1"/>
  <c r="C511" i="1"/>
  <c r="B511" i="1"/>
  <c r="K510" i="1"/>
  <c r="H510" i="1"/>
  <c r="G510" i="1"/>
  <c r="F510" i="1"/>
  <c r="D510" i="1"/>
  <c r="C510" i="1"/>
  <c r="B510" i="1"/>
  <c r="K509" i="1"/>
  <c r="H509" i="1"/>
  <c r="G509" i="1"/>
  <c r="F509" i="1"/>
  <c r="D509" i="1"/>
  <c r="C509" i="1"/>
  <c r="B509" i="1"/>
  <c r="K508" i="1"/>
  <c r="H508" i="1"/>
  <c r="G508" i="1"/>
  <c r="F508" i="1"/>
  <c r="D508" i="1"/>
  <c r="C508" i="1"/>
  <c r="B508" i="1"/>
  <c r="K507" i="1"/>
  <c r="H507" i="1"/>
  <c r="G507" i="1"/>
  <c r="F507" i="1"/>
  <c r="D507" i="1"/>
  <c r="C507" i="1"/>
  <c r="B507" i="1"/>
  <c r="K506" i="1"/>
  <c r="H506" i="1"/>
  <c r="G506" i="1"/>
  <c r="F506" i="1"/>
  <c r="D506" i="1"/>
  <c r="C506" i="1"/>
  <c r="B506" i="1"/>
  <c r="K505" i="1"/>
  <c r="H505" i="1"/>
  <c r="G505" i="1"/>
  <c r="F505" i="1"/>
  <c r="D505" i="1"/>
  <c r="C505" i="1"/>
  <c r="B505" i="1"/>
  <c r="K504" i="1"/>
  <c r="H504" i="1"/>
  <c r="G504" i="1"/>
  <c r="F504" i="1"/>
  <c r="D504" i="1"/>
  <c r="C504" i="1"/>
  <c r="B504" i="1"/>
  <c r="K503" i="1"/>
  <c r="H503" i="1"/>
  <c r="G503" i="1"/>
  <c r="F503" i="1"/>
  <c r="D503" i="1"/>
  <c r="C503" i="1"/>
  <c r="B503" i="1"/>
  <c r="K502" i="1"/>
  <c r="H502" i="1"/>
  <c r="G502" i="1"/>
  <c r="F502" i="1"/>
  <c r="D502" i="1"/>
  <c r="C502" i="1"/>
  <c r="B502" i="1"/>
  <c r="K501" i="1"/>
  <c r="H501" i="1"/>
  <c r="G501" i="1"/>
  <c r="F501" i="1"/>
  <c r="D501" i="1"/>
  <c r="C501" i="1"/>
  <c r="B501" i="1"/>
  <c r="K500" i="1"/>
  <c r="H500" i="1"/>
  <c r="G500" i="1"/>
  <c r="F500" i="1"/>
  <c r="D500" i="1"/>
  <c r="C500" i="1"/>
  <c r="B500" i="1"/>
  <c r="K499" i="1"/>
  <c r="H499" i="1"/>
  <c r="G499" i="1"/>
  <c r="F499" i="1"/>
  <c r="D499" i="1"/>
  <c r="C499" i="1"/>
  <c r="B499" i="1"/>
  <c r="K498" i="1"/>
  <c r="H498" i="1"/>
  <c r="G498" i="1"/>
  <c r="F498" i="1"/>
  <c r="D498" i="1"/>
  <c r="C498" i="1"/>
  <c r="B498" i="1"/>
  <c r="K497" i="1"/>
  <c r="H497" i="1"/>
  <c r="G497" i="1"/>
  <c r="F497" i="1"/>
  <c r="D497" i="1"/>
  <c r="C497" i="1"/>
  <c r="B497" i="1"/>
  <c r="K496" i="1"/>
  <c r="H496" i="1"/>
  <c r="G496" i="1"/>
  <c r="F496" i="1"/>
  <c r="D496" i="1"/>
  <c r="C496" i="1"/>
  <c r="B496" i="1"/>
  <c r="K495" i="1"/>
  <c r="H495" i="1"/>
  <c r="G495" i="1"/>
  <c r="F495" i="1"/>
  <c r="D495" i="1"/>
  <c r="C495" i="1"/>
  <c r="B495" i="1"/>
  <c r="K494" i="1"/>
  <c r="H494" i="1"/>
  <c r="G494" i="1"/>
  <c r="F494" i="1"/>
  <c r="D494" i="1"/>
  <c r="C494" i="1"/>
  <c r="B494" i="1"/>
  <c r="K493" i="1"/>
  <c r="H493" i="1"/>
  <c r="G493" i="1"/>
  <c r="F493" i="1"/>
  <c r="D493" i="1"/>
  <c r="C493" i="1"/>
  <c r="B493" i="1"/>
  <c r="K492" i="1"/>
  <c r="H492" i="1"/>
  <c r="G492" i="1"/>
  <c r="F492" i="1"/>
  <c r="D492" i="1"/>
  <c r="C492" i="1"/>
  <c r="B492" i="1"/>
  <c r="K491" i="1"/>
  <c r="H491" i="1"/>
  <c r="G491" i="1"/>
  <c r="F491" i="1"/>
  <c r="D491" i="1"/>
  <c r="C491" i="1"/>
  <c r="B491" i="1"/>
  <c r="K490" i="1"/>
  <c r="H490" i="1"/>
  <c r="G490" i="1"/>
  <c r="F490" i="1"/>
  <c r="D490" i="1"/>
  <c r="C490" i="1"/>
  <c r="B490" i="1"/>
  <c r="K489" i="1"/>
  <c r="H489" i="1"/>
  <c r="G489" i="1"/>
  <c r="F489" i="1"/>
  <c r="D489" i="1"/>
  <c r="C489" i="1"/>
  <c r="B489" i="1"/>
  <c r="K488" i="1"/>
  <c r="H488" i="1"/>
  <c r="G488" i="1"/>
  <c r="F488" i="1"/>
  <c r="D488" i="1"/>
  <c r="C488" i="1"/>
  <c r="B488" i="1"/>
  <c r="K487" i="1"/>
  <c r="H487" i="1"/>
  <c r="G487" i="1"/>
  <c r="F487" i="1"/>
  <c r="D487" i="1"/>
  <c r="C487" i="1"/>
  <c r="B487" i="1"/>
  <c r="K486" i="1"/>
  <c r="H486" i="1"/>
  <c r="G486" i="1"/>
  <c r="F486" i="1"/>
  <c r="D486" i="1"/>
  <c r="C486" i="1"/>
  <c r="B486" i="1"/>
  <c r="K485" i="1"/>
  <c r="H485" i="1"/>
  <c r="G485" i="1"/>
  <c r="F485" i="1"/>
  <c r="D485" i="1"/>
  <c r="C485" i="1"/>
  <c r="B485" i="1"/>
  <c r="K484" i="1"/>
  <c r="H484" i="1"/>
  <c r="G484" i="1"/>
  <c r="F484" i="1"/>
  <c r="D484" i="1"/>
  <c r="C484" i="1"/>
  <c r="B484" i="1"/>
  <c r="K483" i="1"/>
  <c r="H483" i="1"/>
  <c r="G483" i="1"/>
  <c r="F483" i="1"/>
  <c r="D483" i="1"/>
  <c r="C483" i="1"/>
  <c r="B483" i="1"/>
  <c r="K482" i="1"/>
  <c r="H482" i="1"/>
  <c r="G482" i="1"/>
  <c r="F482" i="1"/>
  <c r="D482" i="1"/>
  <c r="C482" i="1"/>
  <c r="B482" i="1"/>
  <c r="K481" i="1"/>
  <c r="H481" i="1"/>
  <c r="G481" i="1"/>
  <c r="F481" i="1"/>
  <c r="D481" i="1"/>
  <c r="C481" i="1"/>
  <c r="B481" i="1"/>
  <c r="K480" i="1"/>
  <c r="H480" i="1"/>
  <c r="G480" i="1"/>
  <c r="F480" i="1"/>
  <c r="D480" i="1"/>
  <c r="C480" i="1"/>
  <c r="B480" i="1"/>
  <c r="K479" i="1"/>
  <c r="H479" i="1"/>
  <c r="G479" i="1"/>
  <c r="F479" i="1"/>
  <c r="D479" i="1"/>
  <c r="C479" i="1"/>
  <c r="B479" i="1"/>
  <c r="K478" i="1"/>
  <c r="H478" i="1"/>
  <c r="G478" i="1"/>
  <c r="F478" i="1"/>
  <c r="D478" i="1"/>
  <c r="C478" i="1"/>
  <c r="B478" i="1"/>
  <c r="K477" i="1"/>
  <c r="H477" i="1"/>
  <c r="G477" i="1"/>
  <c r="F477" i="1"/>
  <c r="D477" i="1"/>
  <c r="C477" i="1"/>
  <c r="B477" i="1"/>
  <c r="K476" i="1"/>
  <c r="H476" i="1"/>
  <c r="G476" i="1"/>
  <c r="F476" i="1"/>
  <c r="D476" i="1"/>
  <c r="C476" i="1"/>
  <c r="B476" i="1"/>
  <c r="K475" i="1"/>
  <c r="H475" i="1"/>
  <c r="G475" i="1"/>
  <c r="F475" i="1"/>
  <c r="D475" i="1"/>
  <c r="C475" i="1"/>
  <c r="B475" i="1"/>
  <c r="K474" i="1"/>
  <c r="H474" i="1"/>
  <c r="G474" i="1"/>
  <c r="F474" i="1"/>
  <c r="D474" i="1"/>
  <c r="C474" i="1"/>
  <c r="B474" i="1"/>
  <c r="K473" i="1"/>
  <c r="H473" i="1"/>
  <c r="G473" i="1"/>
  <c r="F473" i="1"/>
  <c r="D473" i="1"/>
  <c r="C473" i="1"/>
  <c r="B473" i="1"/>
  <c r="K472" i="1"/>
  <c r="H472" i="1"/>
  <c r="G472" i="1"/>
  <c r="F472" i="1"/>
  <c r="D472" i="1"/>
  <c r="C472" i="1"/>
  <c r="B472" i="1"/>
  <c r="K471" i="1"/>
  <c r="H471" i="1"/>
  <c r="G471" i="1"/>
  <c r="F471" i="1"/>
  <c r="D471" i="1"/>
  <c r="C471" i="1"/>
  <c r="B471" i="1"/>
  <c r="K470" i="1"/>
  <c r="H470" i="1"/>
  <c r="G470" i="1"/>
  <c r="F470" i="1"/>
  <c r="D470" i="1"/>
  <c r="C470" i="1"/>
  <c r="B470" i="1"/>
  <c r="K469" i="1"/>
  <c r="H469" i="1"/>
  <c r="G469" i="1"/>
  <c r="F469" i="1"/>
  <c r="D469" i="1"/>
  <c r="C469" i="1"/>
  <c r="B469" i="1"/>
  <c r="K468" i="1"/>
  <c r="H468" i="1"/>
  <c r="G468" i="1"/>
  <c r="F468" i="1"/>
  <c r="D468" i="1"/>
  <c r="C468" i="1"/>
  <c r="B468" i="1"/>
  <c r="K467" i="1"/>
  <c r="H467" i="1"/>
  <c r="G467" i="1"/>
  <c r="F467" i="1"/>
  <c r="D467" i="1"/>
  <c r="C467" i="1"/>
  <c r="B467" i="1"/>
  <c r="K466" i="1"/>
  <c r="H466" i="1"/>
  <c r="G466" i="1"/>
  <c r="F466" i="1"/>
  <c r="D466" i="1"/>
  <c r="C466" i="1"/>
  <c r="B466" i="1"/>
  <c r="K465" i="1"/>
  <c r="H465" i="1"/>
  <c r="G465" i="1"/>
  <c r="F465" i="1"/>
  <c r="D465" i="1"/>
  <c r="C465" i="1"/>
  <c r="B465" i="1"/>
  <c r="K464" i="1"/>
  <c r="H464" i="1"/>
  <c r="G464" i="1"/>
  <c r="F464" i="1"/>
  <c r="D464" i="1"/>
  <c r="C464" i="1"/>
  <c r="B464" i="1"/>
  <c r="K463" i="1"/>
  <c r="H463" i="1"/>
  <c r="G463" i="1"/>
  <c r="F463" i="1"/>
  <c r="D463" i="1"/>
  <c r="C463" i="1"/>
  <c r="B463" i="1"/>
  <c r="K462" i="1"/>
  <c r="H462" i="1"/>
  <c r="G462" i="1"/>
  <c r="F462" i="1"/>
  <c r="D462" i="1"/>
  <c r="C462" i="1"/>
  <c r="B462" i="1"/>
  <c r="K461" i="1"/>
  <c r="H461" i="1"/>
  <c r="G461" i="1"/>
  <c r="F461" i="1"/>
  <c r="D461" i="1"/>
  <c r="C461" i="1"/>
  <c r="B461" i="1"/>
  <c r="K460" i="1"/>
  <c r="H460" i="1"/>
  <c r="G460" i="1"/>
  <c r="F460" i="1"/>
  <c r="D460" i="1"/>
  <c r="C460" i="1"/>
  <c r="B460" i="1"/>
  <c r="K459" i="1"/>
  <c r="H459" i="1"/>
  <c r="G459" i="1"/>
  <c r="F459" i="1"/>
  <c r="D459" i="1"/>
  <c r="C459" i="1"/>
  <c r="B459" i="1"/>
  <c r="K458" i="1"/>
  <c r="H458" i="1"/>
  <c r="G458" i="1"/>
  <c r="F458" i="1"/>
  <c r="D458" i="1"/>
  <c r="C458" i="1"/>
  <c r="B458" i="1"/>
  <c r="K457" i="1"/>
  <c r="H457" i="1"/>
  <c r="G457" i="1"/>
  <c r="F457" i="1"/>
  <c r="D457" i="1"/>
  <c r="C457" i="1"/>
  <c r="B457" i="1"/>
  <c r="K456" i="1"/>
  <c r="H456" i="1"/>
  <c r="G456" i="1"/>
  <c r="F456" i="1"/>
  <c r="D456" i="1"/>
  <c r="C456" i="1"/>
  <c r="B456" i="1"/>
  <c r="K455" i="1"/>
  <c r="H455" i="1"/>
  <c r="G455" i="1"/>
  <c r="F455" i="1"/>
  <c r="D455" i="1"/>
  <c r="C455" i="1"/>
  <c r="B455" i="1"/>
  <c r="K454" i="1"/>
  <c r="H454" i="1"/>
  <c r="G454" i="1"/>
  <c r="F454" i="1"/>
  <c r="D454" i="1"/>
  <c r="C454" i="1"/>
  <c r="B454" i="1"/>
  <c r="K453" i="1"/>
  <c r="H453" i="1"/>
  <c r="G453" i="1"/>
  <c r="F453" i="1"/>
  <c r="D453" i="1"/>
  <c r="C453" i="1"/>
  <c r="B453" i="1"/>
  <c r="K452" i="1"/>
  <c r="H452" i="1"/>
  <c r="G452" i="1"/>
  <c r="F452" i="1"/>
  <c r="D452" i="1"/>
  <c r="C452" i="1"/>
  <c r="B452" i="1"/>
  <c r="K451" i="1"/>
  <c r="H451" i="1"/>
  <c r="G451" i="1"/>
  <c r="F451" i="1"/>
  <c r="D451" i="1"/>
  <c r="C451" i="1"/>
  <c r="B451" i="1"/>
  <c r="K450" i="1"/>
  <c r="H450" i="1"/>
  <c r="G450" i="1"/>
  <c r="F450" i="1"/>
  <c r="D450" i="1"/>
  <c r="C450" i="1"/>
  <c r="B450" i="1"/>
  <c r="K449" i="1"/>
  <c r="H449" i="1"/>
  <c r="G449" i="1"/>
  <c r="F449" i="1"/>
  <c r="D449" i="1"/>
  <c r="C449" i="1"/>
  <c r="B449" i="1"/>
  <c r="K448" i="1"/>
  <c r="H448" i="1"/>
  <c r="G448" i="1"/>
  <c r="F448" i="1"/>
  <c r="D448" i="1"/>
  <c r="C448" i="1"/>
  <c r="B448" i="1"/>
  <c r="K447" i="1"/>
  <c r="H447" i="1"/>
  <c r="G447" i="1"/>
  <c r="F447" i="1"/>
  <c r="D447" i="1"/>
  <c r="C447" i="1"/>
  <c r="B447" i="1"/>
  <c r="K446" i="1"/>
  <c r="H446" i="1"/>
  <c r="G446" i="1"/>
  <c r="F446" i="1"/>
  <c r="D446" i="1"/>
  <c r="C446" i="1"/>
  <c r="B446" i="1"/>
  <c r="K445" i="1"/>
  <c r="H445" i="1"/>
  <c r="G445" i="1"/>
  <c r="F445" i="1"/>
  <c r="D445" i="1"/>
  <c r="C445" i="1"/>
  <c r="B445" i="1"/>
  <c r="K444" i="1"/>
  <c r="H444" i="1"/>
  <c r="G444" i="1"/>
  <c r="F444" i="1"/>
  <c r="D444" i="1"/>
  <c r="C444" i="1"/>
  <c r="B444" i="1"/>
  <c r="K443" i="1"/>
  <c r="H443" i="1"/>
  <c r="G443" i="1"/>
  <c r="F443" i="1"/>
  <c r="D443" i="1"/>
  <c r="C443" i="1"/>
  <c r="B443" i="1"/>
  <c r="K442" i="1"/>
  <c r="H442" i="1"/>
  <c r="G442" i="1"/>
  <c r="F442" i="1"/>
  <c r="D442" i="1"/>
  <c r="C442" i="1"/>
  <c r="B442" i="1"/>
  <c r="K441" i="1"/>
  <c r="H441" i="1"/>
  <c r="G441" i="1"/>
  <c r="F441" i="1"/>
  <c r="D441" i="1"/>
  <c r="C441" i="1"/>
  <c r="B441" i="1"/>
  <c r="K440" i="1"/>
  <c r="H440" i="1"/>
  <c r="G440" i="1"/>
  <c r="F440" i="1"/>
  <c r="D440" i="1"/>
  <c r="C440" i="1"/>
  <c r="B440" i="1"/>
  <c r="K439" i="1"/>
  <c r="H439" i="1"/>
  <c r="G439" i="1"/>
  <c r="F439" i="1"/>
  <c r="D439" i="1"/>
  <c r="C439" i="1"/>
  <c r="B439" i="1"/>
  <c r="K438" i="1"/>
  <c r="H438" i="1"/>
  <c r="G438" i="1"/>
  <c r="F438" i="1"/>
  <c r="D438" i="1"/>
  <c r="C438" i="1"/>
  <c r="B438" i="1"/>
  <c r="K437" i="1"/>
  <c r="H437" i="1"/>
  <c r="G437" i="1"/>
  <c r="F437" i="1"/>
  <c r="D437" i="1"/>
  <c r="C437" i="1"/>
  <c r="B437" i="1"/>
  <c r="K436" i="1"/>
  <c r="H436" i="1"/>
  <c r="G436" i="1"/>
  <c r="F436" i="1"/>
  <c r="D436" i="1"/>
  <c r="C436" i="1"/>
  <c r="B436" i="1"/>
  <c r="K435" i="1"/>
  <c r="H435" i="1"/>
  <c r="G435" i="1"/>
  <c r="F435" i="1"/>
  <c r="D435" i="1"/>
  <c r="C435" i="1"/>
  <c r="B435" i="1"/>
  <c r="K434" i="1"/>
  <c r="H434" i="1"/>
  <c r="G434" i="1"/>
  <c r="F434" i="1"/>
  <c r="D434" i="1"/>
  <c r="C434" i="1"/>
  <c r="B434" i="1"/>
  <c r="K433" i="1"/>
  <c r="H433" i="1"/>
  <c r="G433" i="1"/>
  <c r="F433" i="1"/>
  <c r="D433" i="1"/>
  <c r="C433" i="1"/>
  <c r="B433" i="1"/>
  <c r="K432" i="1"/>
  <c r="H432" i="1"/>
  <c r="G432" i="1"/>
  <c r="F432" i="1"/>
  <c r="D432" i="1"/>
  <c r="C432" i="1"/>
  <c r="B432" i="1"/>
  <c r="K431" i="1"/>
  <c r="H431" i="1"/>
  <c r="G431" i="1"/>
  <c r="F431" i="1"/>
  <c r="D431" i="1"/>
  <c r="C431" i="1"/>
  <c r="B431" i="1"/>
  <c r="K430" i="1"/>
  <c r="H430" i="1"/>
  <c r="G430" i="1"/>
  <c r="F430" i="1"/>
  <c r="D430" i="1"/>
  <c r="C430" i="1"/>
  <c r="B430" i="1"/>
  <c r="K429" i="1"/>
  <c r="H429" i="1"/>
  <c r="G429" i="1"/>
  <c r="F429" i="1"/>
  <c r="D429" i="1"/>
  <c r="C429" i="1"/>
  <c r="B429" i="1"/>
  <c r="K428" i="1"/>
  <c r="H428" i="1"/>
  <c r="G428" i="1"/>
  <c r="F428" i="1"/>
  <c r="D428" i="1"/>
  <c r="C428" i="1"/>
  <c r="B428" i="1"/>
  <c r="K427" i="1"/>
  <c r="H427" i="1"/>
  <c r="G427" i="1"/>
  <c r="F427" i="1"/>
  <c r="D427" i="1"/>
  <c r="C427" i="1"/>
  <c r="B427" i="1"/>
  <c r="K426" i="1"/>
  <c r="H426" i="1"/>
  <c r="G426" i="1"/>
  <c r="F426" i="1"/>
  <c r="D426" i="1"/>
  <c r="C426" i="1"/>
  <c r="B426" i="1"/>
  <c r="K425" i="1"/>
  <c r="H425" i="1"/>
  <c r="G425" i="1"/>
  <c r="F425" i="1"/>
  <c r="D425" i="1"/>
  <c r="C425" i="1"/>
  <c r="B425" i="1"/>
  <c r="K424" i="1"/>
  <c r="H424" i="1"/>
  <c r="G424" i="1"/>
  <c r="F424" i="1"/>
  <c r="D424" i="1"/>
  <c r="C424" i="1"/>
  <c r="B424" i="1"/>
  <c r="K423" i="1"/>
  <c r="H423" i="1"/>
  <c r="G423" i="1"/>
  <c r="F423" i="1"/>
  <c r="D423" i="1"/>
  <c r="C423" i="1"/>
  <c r="B423" i="1"/>
  <c r="K422" i="1"/>
  <c r="H422" i="1"/>
  <c r="G422" i="1"/>
  <c r="F422" i="1"/>
  <c r="D422" i="1"/>
  <c r="C422" i="1"/>
  <c r="B422" i="1"/>
  <c r="K421" i="1"/>
  <c r="H421" i="1"/>
  <c r="G421" i="1"/>
  <c r="F421" i="1"/>
  <c r="D421" i="1"/>
  <c r="C421" i="1"/>
  <c r="B421" i="1"/>
  <c r="K420" i="1"/>
  <c r="H420" i="1"/>
  <c r="D420" i="1"/>
  <c r="C420" i="1"/>
  <c r="B420" i="1"/>
  <c r="K419" i="1"/>
  <c r="H419" i="1"/>
  <c r="D419" i="1"/>
  <c r="C419" i="1"/>
  <c r="B419" i="1"/>
  <c r="K418" i="1"/>
  <c r="H418" i="1"/>
  <c r="D418" i="1"/>
  <c r="C418" i="1"/>
  <c r="B418" i="1"/>
  <c r="K417" i="1"/>
  <c r="H417" i="1"/>
  <c r="D417" i="1"/>
  <c r="C417" i="1"/>
  <c r="B417" i="1"/>
  <c r="K416" i="1"/>
  <c r="H416" i="1"/>
  <c r="D416" i="1"/>
  <c r="C416" i="1"/>
  <c r="B416" i="1"/>
  <c r="K415" i="1"/>
  <c r="H415" i="1"/>
  <c r="D415" i="1"/>
  <c r="C415" i="1"/>
  <c r="B415" i="1"/>
  <c r="K414" i="1"/>
  <c r="H414" i="1"/>
  <c r="D414" i="1"/>
  <c r="C414" i="1"/>
  <c r="B414" i="1"/>
  <c r="K413" i="1"/>
  <c r="H413" i="1"/>
  <c r="D413" i="1"/>
  <c r="C413" i="1"/>
  <c r="B413" i="1"/>
  <c r="K412" i="1"/>
  <c r="H412" i="1"/>
  <c r="D412" i="1"/>
  <c r="C412" i="1"/>
  <c r="B412" i="1"/>
  <c r="K411" i="1"/>
  <c r="H411" i="1"/>
  <c r="D411" i="1"/>
  <c r="C411" i="1"/>
  <c r="B411" i="1"/>
  <c r="K410" i="1"/>
  <c r="H410" i="1"/>
  <c r="D410" i="1"/>
  <c r="C410" i="1"/>
  <c r="B410" i="1"/>
  <c r="K409" i="1"/>
  <c r="H409" i="1"/>
  <c r="D409" i="1"/>
  <c r="C409" i="1"/>
  <c r="B409" i="1"/>
  <c r="K408" i="1"/>
  <c r="H408" i="1"/>
  <c r="D408" i="1"/>
  <c r="C408" i="1"/>
  <c r="B408" i="1"/>
  <c r="K407" i="1"/>
  <c r="H407" i="1"/>
  <c r="D407" i="1"/>
  <c r="C407" i="1"/>
  <c r="B407" i="1"/>
  <c r="K406" i="1"/>
  <c r="H406" i="1"/>
  <c r="F406" i="1"/>
  <c r="D406" i="1"/>
  <c r="C406" i="1"/>
  <c r="B406" i="1"/>
  <c r="K405" i="1"/>
  <c r="H405" i="1"/>
  <c r="F405" i="1"/>
  <c r="D405" i="1"/>
  <c r="C405" i="1"/>
  <c r="B405" i="1"/>
  <c r="K404" i="1"/>
  <c r="H404" i="1"/>
  <c r="F404" i="1"/>
  <c r="D404" i="1"/>
  <c r="C404" i="1"/>
  <c r="B404" i="1"/>
  <c r="K403" i="1"/>
  <c r="H403" i="1"/>
  <c r="F403" i="1"/>
  <c r="D403" i="1"/>
  <c r="C403" i="1"/>
  <c r="B403" i="1"/>
  <c r="K402" i="1"/>
  <c r="H402" i="1"/>
  <c r="F402" i="1"/>
  <c r="D402" i="1"/>
  <c r="C402" i="1"/>
  <c r="B402" i="1"/>
  <c r="K401" i="1"/>
  <c r="H401" i="1"/>
  <c r="F401" i="1"/>
  <c r="D401" i="1"/>
  <c r="C401" i="1"/>
  <c r="B401" i="1"/>
  <c r="K400" i="1"/>
  <c r="H400" i="1"/>
  <c r="F400" i="1"/>
  <c r="D400" i="1"/>
  <c r="C400" i="1"/>
  <c r="B400" i="1"/>
  <c r="K399" i="1"/>
  <c r="H399" i="1"/>
  <c r="F399" i="1"/>
  <c r="D399" i="1"/>
  <c r="C399" i="1"/>
  <c r="B399" i="1"/>
  <c r="K398" i="1"/>
  <c r="H398" i="1"/>
  <c r="F398" i="1"/>
  <c r="D398" i="1"/>
  <c r="C398" i="1"/>
  <c r="B398" i="1"/>
  <c r="K397" i="1"/>
  <c r="H397" i="1"/>
  <c r="F397" i="1"/>
  <c r="D397" i="1"/>
  <c r="C397" i="1"/>
  <c r="B397" i="1"/>
  <c r="K396" i="1"/>
  <c r="H396" i="1"/>
  <c r="G396" i="1"/>
  <c r="D396" i="1"/>
  <c r="C396" i="1"/>
  <c r="B396" i="1"/>
  <c r="K395" i="1"/>
  <c r="H395" i="1"/>
  <c r="G395" i="1"/>
  <c r="D395" i="1"/>
  <c r="C395" i="1"/>
  <c r="B395" i="1"/>
  <c r="K394" i="1"/>
  <c r="H394" i="1"/>
  <c r="G394" i="1"/>
  <c r="D394" i="1"/>
  <c r="C394" i="1"/>
  <c r="B394" i="1"/>
  <c r="K393" i="1"/>
  <c r="H393" i="1"/>
  <c r="G393" i="1"/>
  <c r="D393" i="1"/>
  <c r="C393" i="1"/>
  <c r="B393" i="1"/>
  <c r="K392" i="1"/>
  <c r="H392" i="1"/>
  <c r="G392" i="1"/>
  <c r="D392" i="1"/>
  <c r="C392" i="1"/>
  <c r="B392" i="1"/>
  <c r="K391" i="1"/>
  <c r="H391" i="1"/>
  <c r="G391" i="1"/>
  <c r="D391" i="1"/>
  <c r="C391" i="1"/>
  <c r="B391" i="1"/>
  <c r="K390" i="1"/>
  <c r="H390" i="1"/>
  <c r="G390" i="1"/>
  <c r="D390" i="1"/>
  <c r="C390" i="1"/>
  <c r="B390" i="1"/>
  <c r="K389" i="1"/>
  <c r="H389" i="1"/>
  <c r="G389" i="1"/>
  <c r="D389" i="1"/>
  <c r="C389" i="1"/>
  <c r="B389" i="1"/>
  <c r="K388" i="1"/>
  <c r="H388" i="1"/>
  <c r="G388" i="1"/>
  <c r="D388" i="1"/>
  <c r="C388" i="1"/>
  <c r="B388" i="1"/>
  <c r="K387" i="1"/>
  <c r="H387" i="1"/>
  <c r="G387" i="1"/>
  <c r="D387" i="1"/>
  <c r="C387" i="1"/>
  <c r="B387" i="1"/>
  <c r="K386" i="1"/>
  <c r="H386" i="1"/>
  <c r="G386" i="1"/>
  <c r="D386" i="1"/>
  <c r="C386" i="1"/>
  <c r="B386" i="1"/>
  <c r="K385" i="1"/>
  <c r="H385" i="1"/>
  <c r="G385" i="1"/>
  <c r="D385" i="1"/>
  <c r="C385" i="1"/>
  <c r="B385" i="1"/>
  <c r="K384" i="1"/>
  <c r="H384" i="1"/>
  <c r="G384" i="1"/>
  <c r="D384" i="1"/>
  <c r="C384" i="1"/>
  <c r="B384" i="1"/>
  <c r="K383" i="1"/>
  <c r="H383" i="1"/>
  <c r="G383" i="1"/>
  <c r="D383" i="1"/>
  <c r="C383" i="1"/>
  <c r="B383" i="1"/>
  <c r="K382" i="1"/>
  <c r="H382" i="1"/>
  <c r="G382" i="1"/>
  <c r="D382" i="1"/>
  <c r="C382" i="1"/>
  <c r="B382" i="1"/>
  <c r="K381" i="1"/>
  <c r="H381" i="1"/>
  <c r="G381" i="1"/>
  <c r="D381" i="1"/>
  <c r="C381" i="1"/>
  <c r="B381" i="1"/>
  <c r="K380" i="1"/>
  <c r="H380" i="1"/>
  <c r="G380" i="1"/>
  <c r="D380" i="1"/>
  <c r="C380" i="1"/>
  <c r="B380" i="1"/>
  <c r="K379" i="1"/>
  <c r="H379" i="1"/>
  <c r="G379" i="1"/>
  <c r="D379" i="1"/>
  <c r="C379" i="1"/>
  <c r="B379" i="1"/>
  <c r="K378" i="1"/>
  <c r="H378" i="1"/>
  <c r="G378" i="1"/>
  <c r="D378" i="1"/>
  <c r="C378" i="1"/>
  <c r="B378" i="1"/>
  <c r="K377" i="1"/>
  <c r="H377" i="1"/>
  <c r="G377" i="1"/>
  <c r="D377" i="1"/>
  <c r="C377" i="1"/>
  <c r="B377" i="1"/>
  <c r="K376" i="1"/>
  <c r="H376" i="1"/>
  <c r="G376" i="1"/>
  <c r="F376" i="1"/>
  <c r="D376" i="1"/>
  <c r="C376" i="1"/>
  <c r="B376" i="1"/>
  <c r="K375" i="1"/>
  <c r="H375" i="1"/>
  <c r="G375" i="1"/>
  <c r="F375" i="1"/>
  <c r="D375" i="1"/>
  <c r="C375" i="1"/>
  <c r="B375" i="1"/>
  <c r="K374" i="1"/>
  <c r="H374" i="1"/>
  <c r="G374" i="1"/>
  <c r="F374" i="1"/>
  <c r="D374" i="1"/>
  <c r="C374" i="1"/>
  <c r="B374" i="1"/>
  <c r="K373" i="1"/>
  <c r="H373" i="1"/>
  <c r="G373" i="1"/>
  <c r="F373" i="1"/>
  <c r="D373" i="1"/>
  <c r="C373" i="1"/>
  <c r="B373" i="1"/>
  <c r="K372" i="1"/>
  <c r="H372" i="1"/>
  <c r="G372" i="1"/>
  <c r="F372" i="1"/>
  <c r="D372" i="1"/>
  <c r="C372" i="1"/>
  <c r="B372" i="1"/>
  <c r="K371" i="1"/>
  <c r="H371" i="1"/>
  <c r="G371" i="1"/>
  <c r="F371" i="1"/>
  <c r="D371" i="1"/>
  <c r="C371" i="1"/>
  <c r="B371" i="1"/>
  <c r="K370" i="1"/>
  <c r="H370" i="1"/>
  <c r="G370" i="1"/>
  <c r="F370" i="1"/>
  <c r="D370" i="1"/>
  <c r="C370" i="1"/>
  <c r="B370" i="1"/>
  <c r="K369" i="1"/>
  <c r="H369" i="1"/>
  <c r="G369" i="1"/>
  <c r="F369" i="1"/>
  <c r="D369" i="1"/>
  <c r="C369" i="1"/>
  <c r="B369" i="1"/>
  <c r="K368" i="1"/>
  <c r="H368" i="1"/>
  <c r="G368" i="1"/>
  <c r="F368" i="1"/>
  <c r="D368" i="1"/>
  <c r="C368" i="1"/>
  <c r="B368" i="1"/>
  <c r="K367" i="1"/>
  <c r="H367" i="1"/>
  <c r="G367" i="1"/>
  <c r="F367" i="1"/>
  <c r="D367" i="1"/>
  <c r="C367" i="1"/>
  <c r="B367" i="1"/>
  <c r="K366" i="1"/>
  <c r="H366" i="1"/>
  <c r="G366" i="1"/>
  <c r="F366" i="1"/>
  <c r="D366" i="1"/>
  <c r="C366" i="1"/>
  <c r="B366" i="1"/>
  <c r="K365" i="1"/>
  <c r="H365" i="1"/>
  <c r="G365" i="1"/>
  <c r="F365" i="1"/>
  <c r="D365" i="1"/>
  <c r="C365" i="1"/>
  <c r="B365" i="1"/>
  <c r="K364" i="1"/>
  <c r="H364" i="1"/>
  <c r="G364" i="1"/>
  <c r="F364" i="1"/>
  <c r="D364" i="1"/>
  <c r="C364" i="1"/>
  <c r="B364" i="1"/>
  <c r="K363" i="1"/>
  <c r="H363" i="1"/>
  <c r="G363" i="1"/>
  <c r="F363" i="1"/>
  <c r="D363" i="1"/>
  <c r="C363" i="1"/>
  <c r="B363" i="1"/>
  <c r="K362" i="1"/>
  <c r="H362" i="1"/>
  <c r="G362" i="1"/>
  <c r="F362" i="1"/>
  <c r="D362" i="1"/>
  <c r="C362" i="1"/>
  <c r="B362" i="1"/>
  <c r="K361" i="1"/>
  <c r="H361" i="1"/>
  <c r="G361" i="1"/>
  <c r="F361" i="1"/>
  <c r="D361" i="1"/>
  <c r="C361" i="1"/>
  <c r="B361" i="1"/>
  <c r="K360" i="1"/>
  <c r="H360" i="1"/>
  <c r="G360" i="1"/>
  <c r="F360" i="1"/>
  <c r="D360" i="1"/>
  <c r="C360" i="1"/>
  <c r="B360" i="1"/>
  <c r="K359" i="1"/>
  <c r="H359" i="1"/>
  <c r="G359" i="1"/>
  <c r="F359" i="1"/>
  <c r="D359" i="1"/>
  <c r="C359" i="1"/>
  <c r="B359" i="1"/>
  <c r="K358" i="1"/>
  <c r="H358" i="1"/>
  <c r="G358" i="1"/>
  <c r="D358" i="1"/>
  <c r="C358" i="1"/>
  <c r="B358" i="1"/>
  <c r="K357" i="1"/>
  <c r="H357" i="1"/>
  <c r="G357" i="1"/>
  <c r="D357" i="1"/>
  <c r="C357" i="1"/>
  <c r="B357" i="1"/>
  <c r="K356" i="1"/>
  <c r="H356" i="1"/>
  <c r="G356" i="1"/>
  <c r="D356" i="1"/>
  <c r="C356" i="1"/>
  <c r="B356" i="1"/>
  <c r="K355" i="1"/>
  <c r="H355" i="1"/>
  <c r="G355" i="1"/>
  <c r="D355" i="1"/>
  <c r="C355" i="1"/>
  <c r="B355" i="1"/>
  <c r="K354" i="1"/>
  <c r="H354" i="1"/>
  <c r="G354" i="1"/>
  <c r="D354" i="1"/>
  <c r="C354" i="1"/>
  <c r="B354" i="1"/>
  <c r="K353" i="1"/>
  <c r="H353" i="1"/>
  <c r="G353" i="1"/>
  <c r="D353" i="1"/>
  <c r="C353" i="1"/>
  <c r="B353" i="1"/>
  <c r="K352" i="1"/>
  <c r="H352" i="1"/>
  <c r="G352" i="1"/>
  <c r="D352" i="1"/>
  <c r="C352" i="1"/>
  <c r="B352" i="1"/>
  <c r="K351" i="1"/>
  <c r="H351" i="1"/>
  <c r="G351" i="1"/>
  <c r="D351" i="1"/>
  <c r="C351" i="1"/>
  <c r="B351" i="1"/>
  <c r="K350" i="1"/>
  <c r="H350" i="1"/>
  <c r="G350" i="1"/>
  <c r="D350" i="1"/>
  <c r="C350" i="1"/>
  <c r="B350" i="1"/>
  <c r="K349" i="1"/>
  <c r="H349" i="1"/>
  <c r="G349" i="1"/>
  <c r="D349" i="1"/>
  <c r="C349" i="1"/>
  <c r="B349" i="1"/>
  <c r="K348" i="1"/>
  <c r="H348" i="1"/>
  <c r="G348" i="1"/>
  <c r="D348" i="1"/>
  <c r="C348" i="1"/>
  <c r="B348" i="1"/>
  <c r="K347" i="1"/>
  <c r="H347" i="1"/>
  <c r="G347" i="1"/>
  <c r="D347" i="1"/>
  <c r="C347" i="1"/>
  <c r="B347" i="1"/>
  <c r="K346" i="1"/>
  <c r="H346" i="1"/>
  <c r="G346" i="1"/>
  <c r="D346" i="1"/>
  <c r="C346" i="1"/>
  <c r="B346" i="1"/>
  <c r="K345" i="1"/>
  <c r="H345" i="1"/>
  <c r="G345" i="1"/>
  <c r="D345" i="1"/>
  <c r="C345" i="1"/>
  <c r="B345" i="1"/>
  <c r="K344" i="1"/>
  <c r="H344" i="1"/>
  <c r="G344" i="1"/>
  <c r="D344" i="1"/>
  <c r="C344" i="1"/>
  <c r="B344" i="1"/>
  <c r="K343" i="1"/>
  <c r="H343" i="1"/>
  <c r="G343" i="1"/>
  <c r="D343" i="1"/>
  <c r="C343" i="1"/>
  <c r="B343" i="1"/>
  <c r="K342" i="1"/>
  <c r="H342" i="1"/>
  <c r="G342" i="1"/>
  <c r="D342" i="1"/>
  <c r="C342" i="1"/>
  <c r="B342" i="1"/>
  <c r="K341" i="1"/>
  <c r="H341" i="1"/>
  <c r="G341" i="1"/>
  <c r="D341" i="1"/>
  <c r="C341" i="1"/>
  <c r="B341" i="1"/>
  <c r="K340" i="1"/>
  <c r="H340" i="1"/>
  <c r="G340" i="1"/>
  <c r="D340" i="1"/>
  <c r="C340" i="1"/>
  <c r="B340" i="1"/>
  <c r="K339" i="1"/>
  <c r="H339" i="1"/>
  <c r="G339" i="1"/>
  <c r="D339" i="1"/>
  <c r="C339" i="1"/>
  <c r="B339" i="1"/>
  <c r="K338" i="1"/>
  <c r="H338" i="1"/>
  <c r="G338" i="1"/>
  <c r="F338" i="1"/>
  <c r="D338" i="1"/>
  <c r="C338" i="1"/>
  <c r="B338" i="1"/>
  <c r="K337" i="1"/>
  <c r="H337" i="1"/>
  <c r="G337" i="1"/>
  <c r="F337" i="1"/>
  <c r="D337" i="1"/>
  <c r="C337" i="1"/>
  <c r="B337" i="1"/>
  <c r="K336" i="1"/>
  <c r="H336" i="1"/>
  <c r="G336" i="1"/>
  <c r="F336" i="1"/>
  <c r="D336" i="1"/>
  <c r="C336" i="1"/>
  <c r="B336" i="1"/>
  <c r="K335" i="1"/>
  <c r="H335" i="1"/>
  <c r="G335" i="1"/>
  <c r="F335" i="1"/>
  <c r="D335" i="1"/>
  <c r="C335" i="1"/>
  <c r="B335" i="1"/>
  <c r="K334" i="1"/>
  <c r="H334" i="1"/>
  <c r="G334" i="1"/>
  <c r="F334" i="1"/>
  <c r="D334" i="1"/>
  <c r="C334" i="1"/>
  <c r="B334" i="1"/>
  <c r="K333" i="1"/>
  <c r="H333" i="1"/>
  <c r="G333" i="1"/>
  <c r="F333" i="1"/>
  <c r="D333" i="1"/>
  <c r="C333" i="1"/>
  <c r="B333" i="1"/>
  <c r="K332" i="1"/>
  <c r="H332" i="1"/>
  <c r="G332" i="1"/>
  <c r="F332" i="1"/>
  <c r="D332" i="1"/>
  <c r="C332" i="1"/>
  <c r="B332" i="1"/>
  <c r="K331" i="1"/>
  <c r="H331" i="1"/>
  <c r="G331" i="1"/>
  <c r="F331" i="1"/>
  <c r="D331" i="1"/>
  <c r="C331" i="1"/>
  <c r="B331" i="1"/>
  <c r="K330" i="1"/>
  <c r="H330" i="1"/>
  <c r="G330" i="1"/>
  <c r="F330" i="1"/>
  <c r="D330" i="1"/>
  <c r="C330" i="1"/>
  <c r="B330" i="1"/>
  <c r="K329" i="1"/>
  <c r="H329" i="1"/>
  <c r="G329" i="1"/>
  <c r="F329" i="1"/>
  <c r="D329" i="1"/>
  <c r="C329" i="1"/>
  <c r="B329" i="1"/>
  <c r="K328" i="1"/>
  <c r="H328" i="1"/>
  <c r="G328" i="1"/>
  <c r="F328" i="1"/>
  <c r="D328" i="1"/>
  <c r="C328" i="1"/>
  <c r="B328" i="1"/>
  <c r="K327" i="1"/>
  <c r="H327" i="1"/>
  <c r="G327" i="1"/>
  <c r="F327" i="1"/>
  <c r="D327" i="1"/>
  <c r="C327" i="1"/>
  <c r="B327" i="1"/>
  <c r="K326" i="1"/>
  <c r="H326" i="1"/>
  <c r="D326" i="1"/>
  <c r="C326" i="1"/>
  <c r="B326" i="1"/>
  <c r="K325" i="1"/>
  <c r="H325" i="1"/>
  <c r="D325" i="1"/>
  <c r="C325" i="1"/>
  <c r="B325" i="1"/>
  <c r="K324" i="1"/>
  <c r="H324" i="1"/>
  <c r="D324" i="1"/>
  <c r="C324" i="1"/>
  <c r="B324" i="1"/>
  <c r="K323" i="1"/>
  <c r="H323" i="1"/>
  <c r="D323" i="1"/>
  <c r="C323" i="1"/>
  <c r="B323" i="1"/>
  <c r="K322" i="1"/>
  <c r="H322" i="1"/>
  <c r="D322" i="1"/>
  <c r="C322" i="1"/>
  <c r="B322" i="1"/>
  <c r="K321" i="1"/>
  <c r="H321" i="1"/>
  <c r="D321" i="1"/>
  <c r="C321" i="1"/>
  <c r="B321" i="1"/>
  <c r="K320" i="1"/>
  <c r="H320" i="1"/>
  <c r="D320" i="1"/>
  <c r="C320" i="1"/>
  <c r="B320" i="1"/>
  <c r="K319" i="1"/>
  <c r="H319" i="1"/>
  <c r="D319" i="1"/>
  <c r="C319" i="1"/>
  <c r="B319" i="1"/>
  <c r="K318" i="1"/>
  <c r="H318" i="1"/>
  <c r="D318" i="1"/>
  <c r="C318" i="1"/>
  <c r="B318" i="1"/>
  <c r="K317" i="1"/>
  <c r="H317" i="1"/>
  <c r="D317" i="1"/>
  <c r="C317" i="1"/>
  <c r="B317" i="1"/>
  <c r="K316" i="1"/>
  <c r="H316" i="1"/>
  <c r="D316" i="1"/>
  <c r="C316" i="1"/>
  <c r="B316" i="1"/>
  <c r="K315" i="1"/>
  <c r="H315" i="1"/>
  <c r="D315" i="1"/>
  <c r="C315" i="1"/>
  <c r="B315" i="1"/>
  <c r="K314" i="1"/>
  <c r="H314" i="1"/>
  <c r="G314" i="1"/>
  <c r="F314" i="1"/>
  <c r="D314" i="1"/>
  <c r="C314" i="1"/>
  <c r="B314" i="1"/>
  <c r="K313" i="1"/>
  <c r="H313" i="1"/>
  <c r="G313" i="1"/>
  <c r="F313" i="1"/>
  <c r="D313" i="1"/>
  <c r="C313" i="1"/>
  <c r="B313" i="1"/>
  <c r="K312" i="1"/>
  <c r="H312" i="1"/>
  <c r="G312" i="1"/>
  <c r="F312" i="1"/>
  <c r="D312" i="1"/>
  <c r="C312" i="1"/>
  <c r="B312" i="1"/>
  <c r="K311" i="1"/>
  <c r="H311" i="1"/>
  <c r="G311" i="1"/>
  <c r="F311" i="1"/>
  <c r="D311" i="1"/>
  <c r="C311" i="1"/>
  <c r="B311" i="1"/>
  <c r="K310" i="1"/>
  <c r="H310" i="1"/>
  <c r="G310" i="1"/>
  <c r="F310" i="1"/>
  <c r="D310" i="1"/>
  <c r="C310" i="1"/>
  <c r="B310" i="1"/>
  <c r="K309" i="1"/>
  <c r="H309" i="1"/>
  <c r="G309" i="1"/>
  <c r="F309" i="1"/>
  <c r="D309" i="1"/>
  <c r="C309" i="1"/>
  <c r="B309" i="1"/>
  <c r="K308" i="1"/>
  <c r="H308" i="1"/>
  <c r="G308" i="1"/>
  <c r="F308" i="1"/>
  <c r="D308" i="1"/>
  <c r="C308" i="1"/>
  <c r="B308" i="1"/>
  <c r="K307" i="1"/>
  <c r="H307" i="1"/>
  <c r="G307" i="1"/>
  <c r="F307" i="1"/>
  <c r="D307" i="1"/>
  <c r="C307" i="1"/>
  <c r="B307" i="1"/>
  <c r="K306" i="1"/>
  <c r="H306" i="1"/>
  <c r="G306" i="1"/>
  <c r="F306" i="1"/>
  <c r="D306" i="1"/>
  <c r="C306" i="1"/>
  <c r="B306" i="1"/>
  <c r="K305" i="1"/>
  <c r="H305" i="1"/>
  <c r="G305" i="1"/>
  <c r="F305" i="1"/>
  <c r="D305" i="1"/>
  <c r="C305" i="1"/>
  <c r="B305" i="1"/>
  <c r="K304" i="1"/>
  <c r="H304" i="1"/>
  <c r="G304" i="1"/>
  <c r="F304" i="1"/>
  <c r="D304" i="1"/>
  <c r="C304" i="1"/>
  <c r="B304" i="1"/>
  <c r="K303" i="1"/>
  <c r="H303" i="1"/>
  <c r="G303" i="1"/>
  <c r="F303" i="1"/>
  <c r="D303" i="1"/>
  <c r="C303" i="1"/>
  <c r="B303" i="1"/>
  <c r="K302" i="1"/>
  <c r="H302" i="1"/>
  <c r="G302" i="1"/>
  <c r="F302" i="1"/>
  <c r="D302" i="1"/>
  <c r="C302" i="1"/>
  <c r="B302" i="1"/>
  <c r="K301" i="1"/>
  <c r="H301" i="1"/>
  <c r="G301" i="1"/>
  <c r="F301" i="1"/>
  <c r="D301" i="1"/>
  <c r="C301" i="1"/>
  <c r="B301" i="1"/>
  <c r="K300" i="1"/>
  <c r="H300" i="1"/>
  <c r="G300" i="1"/>
  <c r="F300" i="1"/>
  <c r="D300" i="1"/>
  <c r="C300" i="1"/>
  <c r="B300" i="1"/>
  <c r="K299" i="1"/>
  <c r="H299" i="1"/>
  <c r="G299" i="1"/>
  <c r="F299" i="1"/>
  <c r="D299" i="1"/>
  <c r="C299" i="1"/>
  <c r="B299" i="1"/>
  <c r="K298" i="1"/>
  <c r="H298" i="1"/>
  <c r="G298" i="1"/>
  <c r="F298" i="1"/>
  <c r="D298" i="1"/>
  <c r="C298" i="1"/>
  <c r="B298" i="1"/>
  <c r="K297" i="1"/>
  <c r="H297" i="1"/>
  <c r="G297" i="1"/>
  <c r="F297" i="1"/>
  <c r="D297" i="1"/>
  <c r="C297" i="1"/>
  <c r="B297" i="1"/>
  <c r="K296" i="1"/>
  <c r="H296" i="1"/>
  <c r="G296" i="1"/>
  <c r="F296" i="1"/>
  <c r="D296" i="1"/>
  <c r="C296" i="1"/>
  <c r="B296" i="1"/>
  <c r="K295" i="1"/>
  <c r="H295" i="1"/>
  <c r="G295" i="1"/>
  <c r="F295" i="1"/>
  <c r="D295" i="1"/>
  <c r="C295" i="1"/>
  <c r="B295" i="1"/>
  <c r="K294" i="1"/>
  <c r="H294" i="1"/>
  <c r="G294" i="1"/>
  <c r="F294" i="1"/>
  <c r="D294" i="1"/>
  <c r="C294" i="1"/>
  <c r="B294" i="1"/>
  <c r="K293" i="1"/>
  <c r="H293" i="1"/>
  <c r="G293" i="1"/>
  <c r="F293" i="1"/>
  <c r="D293" i="1"/>
  <c r="C293" i="1"/>
  <c r="B293" i="1"/>
  <c r="K292" i="1"/>
  <c r="H292" i="1"/>
  <c r="G292" i="1"/>
  <c r="F292" i="1"/>
  <c r="D292" i="1"/>
  <c r="C292" i="1"/>
  <c r="B292" i="1"/>
  <c r="K291" i="1"/>
  <c r="H291" i="1"/>
  <c r="G291" i="1"/>
  <c r="F291" i="1"/>
  <c r="D291" i="1"/>
  <c r="C291" i="1"/>
  <c r="B291" i="1"/>
  <c r="K290" i="1"/>
  <c r="H290" i="1"/>
  <c r="G290" i="1"/>
  <c r="F290" i="1"/>
  <c r="D290" i="1"/>
  <c r="C290" i="1"/>
  <c r="B290" i="1"/>
  <c r="K289" i="1"/>
  <c r="H289" i="1"/>
  <c r="G289" i="1"/>
  <c r="F289" i="1"/>
  <c r="D289" i="1"/>
  <c r="C289" i="1"/>
  <c r="B289" i="1"/>
  <c r="K288" i="1"/>
  <c r="H288" i="1"/>
  <c r="G288" i="1"/>
  <c r="F288" i="1"/>
  <c r="D288" i="1"/>
  <c r="C288" i="1"/>
  <c r="B288" i="1"/>
  <c r="K287" i="1"/>
  <c r="H287" i="1"/>
  <c r="G287" i="1"/>
  <c r="F287" i="1"/>
  <c r="D287" i="1"/>
  <c r="C287" i="1"/>
  <c r="B287" i="1"/>
  <c r="K286" i="1"/>
  <c r="H286" i="1"/>
  <c r="G286" i="1"/>
  <c r="F286" i="1"/>
  <c r="D286" i="1"/>
  <c r="C286" i="1"/>
  <c r="B286" i="1"/>
  <c r="K285" i="1"/>
  <c r="H285" i="1"/>
  <c r="G285" i="1"/>
  <c r="F285" i="1"/>
  <c r="D285" i="1"/>
  <c r="C285" i="1"/>
  <c r="B285" i="1"/>
  <c r="K284" i="1"/>
  <c r="H284" i="1"/>
  <c r="G284" i="1"/>
  <c r="F284" i="1"/>
  <c r="D284" i="1"/>
  <c r="C284" i="1"/>
  <c r="B284" i="1"/>
  <c r="K283" i="1"/>
  <c r="H283" i="1"/>
  <c r="G283" i="1"/>
  <c r="F283" i="1"/>
  <c r="D283" i="1"/>
  <c r="C283" i="1"/>
  <c r="B283" i="1"/>
  <c r="K282" i="1"/>
  <c r="H282" i="1"/>
  <c r="G282" i="1"/>
  <c r="F282" i="1"/>
  <c r="D282" i="1"/>
  <c r="C282" i="1"/>
  <c r="B282" i="1"/>
  <c r="K281" i="1"/>
  <c r="H281" i="1"/>
  <c r="G281" i="1"/>
  <c r="F281" i="1"/>
  <c r="D281" i="1"/>
  <c r="C281" i="1"/>
  <c r="B281" i="1"/>
  <c r="K280" i="1"/>
  <c r="H280" i="1"/>
  <c r="G280" i="1"/>
  <c r="F280" i="1"/>
  <c r="D280" i="1"/>
  <c r="C280" i="1"/>
  <c r="B280" i="1"/>
  <c r="K279" i="1"/>
  <c r="H279" i="1"/>
  <c r="G279" i="1"/>
  <c r="F279" i="1"/>
  <c r="D279" i="1"/>
  <c r="C279" i="1"/>
  <c r="B279" i="1"/>
  <c r="K278" i="1"/>
  <c r="H278" i="1"/>
  <c r="G278" i="1"/>
  <c r="F278" i="1"/>
  <c r="D278" i="1"/>
  <c r="C278" i="1"/>
  <c r="B278" i="1"/>
  <c r="K277" i="1"/>
  <c r="H277" i="1"/>
  <c r="G277" i="1"/>
  <c r="F277" i="1"/>
  <c r="D277" i="1"/>
  <c r="C277" i="1"/>
  <c r="B277" i="1"/>
  <c r="K276" i="1"/>
  <c r="H276" i="1"/>
  <c r="G276" i="1"/>
  <c r="F276" i="1"/>
  <c r="D276" i="1"/>
  <c r="C276" i="1"/>
  <c r="B276" i="1"/>
  <c r="K275" i="1"/>
  <c r="H275" i="1"/>
  <c r="G275" i="1"/>
  <c r="F275" i="1"/>
  <c r="D275" i="1"/>
  <c r="C275" i="1"/>
  <c r="B275" i="1"/>
  <c r="K274" i="1"/>
  <c r="H274" i="1"/>
  <c r="G274" i="1"/>
  <c r="F274" i="1"/>
  <c r="D274" i="1"/>
  <c r="C274" i="1"/>
  <c r="B274" i="1"/>
  <c r="K273" i="1"/>
  <c r="H273" i="1"/>
  <c r="G273" i="1"/>
  <c r="F273" i="1"/>
  <c r="D273" i="1"/>
  <c r="C273" i="1"/>
  <c r="B273" i="1"/>
  <c r="K272" i="1"/>
  <c r="H272" i="1"/>
  <c r="G272" i="1"/>
  <c r="F272" i="1"/>
  <c r="D272" i="1"/>
  <c r="C272" i="1"/>
  <c r="B272" i="1"/>
  <c r="K271" i="1"/>
  <c r="H271" i="1"/>
  <c r="G271" i="1"/>
  <c r="F271" i="1"/>
  <c r="D271" i="1"/>
  <c r="C271" i="1"/>
  <c r="B271" i="1"/>
  <c r="K270" i="1"/>
  <c r="H270" i="1"/>
  <c r="G270" i="1"/>
  <c r="F270" i="1"/>
  <c r="D270" i="1"/>
  <c r="C270" i="1"/>
  <c r="B270" i="1"/>
  <c r="K269" i="1"/>
  <c r="H269" i="1"/>
  <c r="G269" i="1"/>
  <c r="F269" i="1"/>
  <c r="D269" i="1"/>
  <c r="C269" i="1"/>
  <c r="B269" i="1"/>
  <c r="K268" i="1"/>
  <c r="H268" i="1"/>
  <c r="G268" i="1"/>
  <c r="F268" i="1"/>
  <c r="D268" i="1"/>
  <c r="C268" i="1"/>
  <c r="B268" i="1"/>
  <c r="K267" i="1"/>
  <c r="H267" i="1"/>
  <c r="G267" i="1"/>
  <c r="F267" i="1"/>
  <c r="D267" i="1"/>
  <c r="C267" i="1"/>
  <c r="B267" i="1"/>
  <c r="K266" i="1"/>
  <c r="H266" i="1"/>
  <c r="G266" i="1"/>
  <c r="F266" i="1"/>
  <c r="D266" i="1"/>
  <c r="C266" i="1"/>
  <c r="B266" i="1"/>
  <c r="K265" i="1"/>
  <c r="H265" i="1"/>
  <c r="G265" i="1"/>
  <c r="F265" i="1"/>
  <c r="D265" i="1"/>
  <c r="C265" i="1"/>
  <c r="B265" i="1"/>
  <c r="K264" i="1"/>
  <c r="H264" i="1"/>
  <c r="G264" i="1"/>
  <c r="F264" i="1"/>
  <c r="D264" i="1"/>
  <c r="C264" i="1"/>
  <c r="B264" i="1"/>
  <c r="K263" i="1"/>
  <c r="H263" i="1"/>
  <c r="G263" i="1"/>
  <c r="F263" i="1"/>
  <c r="D263" i="1"/>
  <c r="C263" i="1"/>
  <c r="B263" i="1"/>
  <c r="K262" i="1"/>
  <c r="H262" i="1"/>
  <c r="G262" i="1"/>
  <c r="F262" i="1"/>
  <c r="D262" i="1"/>
  <c r="C262" i="1"/>
  <c r="B262" i="1"/>
  <c r="K261" i="1"/>
  <c r="H261" i="1"/>
  <c r="G261" i="1"/>
  <c r="F261" i="1"/>
  <c r="D261" i="1"/>
  <c r="C261" i="1"/>
  <c r="B261" i="1"/>
  <c r="K260" i="1"/>
  <c r="H260" i="1"/>
  <c r="G260" i="1"/>
  <c r="F260" i="1"/>
  <c r="D260" i="1"/>
  <c r="C260" i="1"/>
  <c r="B260" i="1"/>
  <c r="K259" i="1"/>
  <c r="H259" i="1"/>
  <c r="G259" i="1"/>
  <c r="F259" i="1"/>
  <c r="D259" i="1"/>
  <c r="C259" i="1"/>
  <c r="B259" i="1"/>
  <c r="K258" i="1"/>
  <c r="H258" i="1"/>
  <c r="G258" i="1"/>
  <c r="F258" i="1"/>
  <c r="D258" i="1"/>
  <c r="C258" i="1"/>
  <c r="B258" i="1"/>
  <c r="K257" i="1"/>
  <c r="H257" i="1"/>
  <c r="G257" i="1"/>
  <c r="F257" i="1"/>
  <c r="D257" i="1"/>
  <c r="C257" i="1"/>
  <c r="B257" i="1"/>
  <c r="K256" i="1"/>
  <c r="H256" i="1"/>
  <c r="G256" i="1"/>
  <c r="F256" i="1"/>
  <c r="D256" i="1"/>
  <c r="C256" i="1"/>
  <c r="B256" i="1"/>
  <c r="K255" i="1"/>
  <c r="H255" i="1"/>
  <c r="G255" i="1"/>
  <c r="F255" i="1"/>
  <c r="D255" i="1"/>
  <c r="C255" i="1"/>
  <c r="B255" i="1"/>
  <c r="K254" i="1"/>
  <c r="H254" i="1"/>
  <c r="G254" i="1"/>
  <c r="F254" i="1"/>
  <c r="D254" i="1"/>
  <c r="C254" i="1"/>
  <c r="B254" i="1"/>
  <c r="K253" i="1"/>
  <c r="H253" i="1"/>
  <c r="G253" i="1"/>
  <c r="F253" i="1"/>
  <c r="D253" i="1"/>
  <c r="C253" i="1"/>
  <c r="B253" i="1"/>
  <c r="K252" i="1"/>
  <c r="H252" i="1"/>
  <c r="G252" i="1"/>
  <c r="F252" i="1"/>
  <c r="D252" i="1"/>
  <c r="C252" i="1"/>
  <c r="B252" i="1"/>
  <c r="K251" i="1"/>
  <c r="H251" i="1"/>
  <c r="G251" i="1"/>
  <c r="F251" i="1"/>
  <c r="D251" i="1"/>
  <c r="C251" i="1"/>
  <c r="B251" i="1"/>
  <c r="K250" i="1"/>
  <c r="H250" i="1"/>
  <c r="G250" i="1"/>
  <c r="F250" i="1"/>
  <c r="D250" i="1"/>
  <c r="C250" i="1"/>
  <c r="B250" i="1"/>
  <c r="K249" i="1"/>
  <c r="H249" i="1"/>
  <c r="G249" i="1"/>
  <c r="F249" i="1"/>
  <c r="D249" i="1"/>
  <c r="C249" i="1"/>
  <c r="B249" i="1"/>
  <c r="K248" i="1"/>
  <c r="H248" i="1"/>
  <c r="G248" i="1"/>
  <c r="F248" i="1"/>
  <c r="D248" i="1"/>
  <c r="C248" i="1"/>
  <c r="B248" i="1"/>
  <c r="K247" i="1"/>
  <c r="H247" i="1"/>
  <c r="G247" i="1"/>
  <c r="F247" i="1"/>
  <c r="D247" i="1"/>
  <c r="C247" i="1"/>
  <c r="B247" i="1"/>
  <c r="K246" i="1"/>
  <c r="H246" i="1"/>
  <c r="G246" i="1"/>
  <c r="F246" i="1"/>
  <c r="D246" i="1"/>
  <c r="C246" i="1"/>
  <c r="B246" i="1"/>
  <c r="K245" i="1"/>
  <c r="H245" i="1"/>
  <c r="G245" i="1"/>
  <c r="F245" i="1"/>
  <c r="D245" i="1"/>
  <c r="C245" i="1"/>
  <c r="B245" i="1"/>
  <c r="K244" i="1"/>
  <c r="H244" i="1"/>
  <c r="G244" i="1"/>
  <c r="F244" i="1"/>
  <c r="D244" i="1"/>
  <c r="C244" i="1"/>
  <c r="B244" i="1"/>
  <c r="K243" i="1"/>
  <c r="H243" i="1"/>
  <c r="G243" i="1"/>
  <c r="F243" i="1"/>
  <c r="D243" i="1"/>
  <c r="C243" i="1"/>
  <c r="B243" i="1"/>
  <c r="K242" i="1"/>
  <c r="H242" i="1"/>
  <c r="G242" i="1"/>
  <c r="F242" i="1"/>
  <c r="D242" i="1"/>
  <c r="C242" i="1"/>
  <c r="B242" i="1"/>
  <c r="K241" i="1"/>
  <c r="H241" i="1"/>
  <c r="G241" i="1"/>
  <c r="F241" i="1"/>
  <c r="D241" i="1"/>
  <c r="C241" i="1"/>
  <c r="B241" i="1"/>
  <c r="K240" i="1"/>
  <c r="H240" i="1"/>
  <c r="G240" i="1"/>
  <c r="F240" i="1"/>
  <c r="D240" i="1"/>
  <c r="C240" i="1"/>
  <c r="B240" i="1"/>
  <c r="K239" i="1"/>
  <c r="H239" i="1"/>
  <c r="G239" i="1"/>
  <c r="F239" i="1"/>
  <c r="D239" i="1"/>
  <c r="C239" i="1"/>
  <c r="B239" i="1"/>
  <c r="K238" i="1"/>
  <c r="H238" i="1"/>
  <c r="G238" i="1"/>
  <c r="F238" i="1"/>
  <c r="D238" i="1"/>
  <c r="C238" i="1"/>
  <c r="B238" i="1"/>
  <c r="K237" i="1"/>
  <c r="H237" i="1"/>
  <c r="G237" i="1"/>
  <c r="F237" i="1"/>
  <c r="D237" i="1"/>
  <c r="C237" i="1"/>
  <c r="B237" i="1"/>
  <c r="K236" i="1"/>
  <c r="H236" i="1"/>
  <c r="G236" i="1"/>
  <c r="F236" i="1"/>
  <c r="D236" i="1"/>
  <c r="C236" i="1"/>
  <c r="B236" i="1"/>
  <c r="K235" i="1"/>
  <c r="H235" i="1"/>
  <c r="G235" i="1"/>
  <c r="F235" i="1"/>
  <c r="D235" i="1"/>
  <c r="C235" i="1"/>
  <c r="B235" i="1"/>
  <c r="K234" i="1"/>
  <c r="H234" i="1"/>
  <c r="G234" i="1"/>
  <c r="F234" i="1"/>
  <c r="D234" i="1"/>
  <c r="C234" i="1"/>
  <c r="B234" i="1"/>
  <c r="K233" i="1"/>
  <c r="H233" i="1"/>
  <c r="G233" i="1"/>
  <c r="F233" i="1"/>
  <c r="D233" i="1"/>
  <c r="C233" i="1"/>
  <c r="B233" i="1"/>
  <c r="K232" i="1"/>
  <c r="H232" i="1"/>
  <c r="G232" i="1"/>
  <c r="F232" i="1"/>
  <c r="D232" i="1"/>
  <c r="C232" i="1"/>
  <c r="B232" i="1"/>
  <c r="K231" i="1"/>
  <c r="H231" i="1"/>
  <c r="G231" i="1"/>
  <c r="F231" i="1"/>
  <c r="D231" i="1"/>
  <c r="C231" i="1"/>
  <c r="B231" i="1"/>
  <c r="K230" i="1"/>
  <c r="H230" i="1"/>
  <c r="G230" i="1"/>
  <c r="F230" i="1"/>
  <c r="D230" i="1"/>
  <c r="C230" i="1"/>
  <c r="B230" i="1"/>
  <c r="K229" i="1"/>
  <c r="H229" i="1"/>
  <c r="G229" i="1"/>
  <c r="F229" i="1"/>
  <c r="D229" i="1"/>
  <c r="C229" i="1"/>
  <c r="B229" i="1"/>
  <c r="K228" i="1"/>
  <c r="H228" i="1"/>
  <c r="G228" i="1"/>
  <c r="F228" i="1"/>
  <c r="D228" i="1"/>
  <c r="C228" i="1"/>
  <c r="B228" i="1"/>
  <c r="K227" i="1"/>
  <c r="H227" i="1"/>
  <c r="G227" i="1"/>
  <c r="F227" i="1"/>
  <c r="D227" i="1"/>
  <c r="C227" i="1"/>
  <c r="B227" i="1"/>
  <c r="K226" i="1"/>
  <c r="H226" i="1"/>
  <c r="G226" i="1"/>
  <c r="F226" i="1"/>
  <c r="D226" i="1"/>
  <c r="C226" i="1"/>
  <c r="B226" i="1"/>
  <c r="K225" i="1"/>
  <c r="H225" i="1"/>
  <c r="G225" i="1"/>
  <c r="F225" i="1"/>
  <c r="D225" i="1"/>
  <c r="C225" i="1"/>
  <c r="B225" i="1"/>
  <c r="K224" i="1"/>
  <c r="H224" i="1"/>
  <c r="F224" i="1"/>
  <c r="D224" i="1"/>
  <c r="C224" i="1"/>
  <c r="B224" i="1"/>
  <c r="K223" i="1"/>
  <c r="H223" i="1"/>
  <c r="F223" i="1"/>
  <c r="D223" i="1"/>
  <c r="C223" i="1"/>
  <c r="B223" i="1"/>
  <c r="K222" i="1"/>
  <c r="H222" i="1"/>
  <c r="F222" i="1"/>
  <c r="D222" i="1"/>
  <c r="C222" i="1"/>
  <c r="B222" i="1"/>
  <c r="K221" i="1"/>
  <c r="H221" i="1"/>
  <c r="F221" i="1"/>
  <c r="D221" i="1"/>
  <c r="C221" i="1"/>
  <c r="B221" i="1"/>
  <c r="K220" i="1"/>
  <c r="H220" i="1"/>
  <c r="F220" i="1"/>
  <c r="D220" i="1"/>
  <c r="C220" i="1"/>
  <c r="B220" i="1"/>
  <c r="K219" i="1"/>
  <c r="H219" i="1"/>
  <c r="F219" i="1"/>
  <c r="D219" i="1"/>
  <c r="C219" i="1"/>
  <c r="B219" i="1"/>
  <c r="K218" i="1"/>
  <c r="H218" i="1"/>
  <c r="F218" i="1"/>
  <c r="D218" i="1"/>
  <c r="C218" i="1"/>
  <c r="B218" i="1"/>
  <c r="K217" i="1"/>
  <c r="H217" i="1"/>
  <c r="D217" i="1"/>
  <c r="C217" i="1"/>
  <c r="B217" i="1"/>
  <c r="K216" i="1"/>
  <c r="H216" i="1"/>
  <c r="D216" i="1"/>
  <c r="C216" i="1"/>
  <c r="B216" i="1"/>
  <c r="K215" i="1"/>
  <c r="H215" i="1"/>
  <c r="D215" i="1"/>
  <c r="C215" i="1"/>
  <c r="B215" i="1"/>
  <c r="K214" i="1"/>
  <c r="H214" i="1"/>
  <c r="D214" i="1"/>
  <c r="C214" i="1"/>
  <c r="B214" i="1"/>
  <c r="K213" i="1"/>
  <c r="H213" i="1"/>
  <c r="D213" i="1"/>
  <c r="C213" i="1"/>
  <c r="B213" i="1"/>
  <c r="K212" i="1"/>
  <c r="H212" i="1"/>
  <c r="D212" i="1"/>
  <c r="C212" i="1"/>
  <c r="B212" i="1"/>
  <c r="K211" i="1"/>
  <c r="H211" i="1"/>
  <c r="D211" i="1"/>
  <c r="C211" i="1"/>
  <c r="B211" i="1"/>
  <c r="K210" i="1"/>
  <c r="H210" i="1"/>
  <c r="F210" i="1"/>
  <c r="D210" i="1"/>
  <c r="C210" i="1"/>
  <c r="B210" i="1"/>
  <c r="K209" i="1"/>
  <c r="H209" i="1"/>
  <c r="F209" i="1"/>
  <c r="D209" i="1"/>
  <c r="C209" i="1"/>
  <c r="B209" i="1"/>
  <c r="K208" i="1"/>
  <c r="H208" i="1"/>
  <c r="F208" i="1"/>
  <c r="D208" i="1"/>
  <c r="C208" i="1"/>
  <c r="B208" i="1"/>
  <c r="K207" i="1"/>
  <c r="H207" i="1"/>
  <c r="F207" i="1"/>
  <c r="D207" i="1"/>
  <c r="C207" i="1"/>
  <c r="B207" i="1"/>
  <c r="K206" i="1"/>
  <c r="H206" i="1"/>
  <c r="F206" i="1"/>
  <c r="D206" i="1"/>
  <c r="C206" i="1"/>
  <c r="B206" i="1"/>
  <c r="K205" i="1"/>
  <c r="H205" i="1"/>
  <c r="F205" i="1"/>
  <c r="D205" i="1"/>
  <c r="C205" i="1"/>
  <c r="B205" i="1"/>
  <c r="K204" i="1"/>
  <c r="H204" i="1"/>
  <c r="F204" i="1"/>
  <c r="D204" i="1"/>
  <c r="C204" i="1"/>
  <c r="B204" i="1"/>
  <c r="K203" i="1"/>
  <c r="H203" i="1"/>
  <c r="F203" i="1"/>
  <c r="D203" i="1"/>
  <c r="C203" i="1"/>
  <c r="B203" i="1"/>
  <c r="K202" i="1"/>
  <c r="H202" i="1"/>
  <c r="F202" i="1"/>
  <c r="D202" i="1"/>
  <c r="C202" i="1"/>
  <c r="B202" i="1"/>
  <c r="K201" i="1"/>
  <c r="H201" i="1"/>
  <c r="F201" i="1"/>
  <c r="D201" i="1"/>
  <c r="C201" i="1"/>
  <c r="B201" i="1"/>
  <c r="K200" i="1"/>
  <c r="H200" i="1"/>
  <c r="F200" i="1"/>
  <c r="D200" i="1"/>
  <c r="C200" i="1"/>
  <c r="B200" i="1"/>
  <c r="K199" i="1"/>
  <c r="H199" i="1"/>
  <c r="F199" i="1"/>
  <c r="D199" i="1"/>
  <c r="C199" i="1"/>
  <c r="B199" i="1"/>
  <c r="K198" i="1"/>
  <c r="H198" i="1"/>
  <c r="G198" i="1"/>
  <c r="F198" i="1"/>
  <c r="D198" i="1"/>
  <c r="C198" i="1"/>
  <c r="B198" i="1"/>
  <c r="K197" i="1"/>
  <c r="H197" i="1"/>
  <c r="G197" i="1"/>
  <c r="F197" i="1"/>
  <c r="D197" i="1"/>
  <c r="C197" i="1"/>
  <c r="B197" i="1"/>
  <c r="K196" i="1"/>
  <c r="H196" i="1"/>
  <c r="G196" i="1"/>
  <c r="F196" i="1"/>
  <c r="D196" i="1"/>
  <c r="C196" i="1"/>
  <c r="B196" i="1"/>
  <c r="K195" i="1"/>
  <c r="H195" i="1"/>
  <c r="G195" i="1"/>
  <c r="F195" i="1"/>
  <c r="D195" i="1"/>
  <c r="C195" i="1"/>
  <c r="B195" i="1"/>
  <c r="K194" i="1"/>
  <c r="H194" i="1"/>
  <c r="G194" i="1"/>
  <c r="F194" i="1"/>
  <c r="D194" i="1"/>
  <c r="C194" i="1"/>
  <c r="B194" i="1"/>
  <c r="K193" i="1"/>
  <c r="H193" i="1"/>
  <c r="G193" i="1"/>
  <c r="F193" i="1"/>
  <c r="D193" i="1"/>
  <c r="C193" i="1"/>
  <c r="B193" i="1"/>
  <c r="K192" i="1"/>
  <c r="H192" i="1"/>
  <c r="G192" i="1"/>
  <c r="F192" i="1"/>
  <c r="D192" i="1"/>
  <c r="C192" i="1"/>
  <c r="B192" i="1"/>
  <c r="K191" i="1"/>
  <c r="H191" i="1"/>
  <c r="G191" i="1"/>
  <c r="F191" i="1"/>
  <c r="D191" i="1"/>
  <c r="C191" i="1"/>
  <c r="B191" i="1"/>
  <c r="K190" i="1"/>
  <c r="H190" i="1"/>
  <c r="G190" i="1"/>
  <c r="F190" i="1"/>
  <c r="D190" i="1"/>
  <c r="C190" i="1"/>
  <c r="B190" i="1"/>
  <c r="K189" i="1"/>
  <c r="H189" i="1"/>
  <c r="G189" i="1"/>
  <c r="F189" i="1"/>
  <c r="D189" i="1"/>
  <c r="C189" i="1"/>
  <c r="B189" i="1"/>
  <c r="K188" i="1"/>
  <c r="H188" i="1"/>
  <c r="G188" i="1"/>
  <c r="F188" i="1"/>
  <c r="D188" i="1"/>
  <c r="C188" i="1"/>
  <c r="B188" i="1"/>
  <c r="K187" i="1"/>
  <c r="H187" i="1"/>
  <c r="G187" i="1"/>
  <c r="F187" i="1"/>
  <c r="D187" i="1"/>
  <c r="C187" i="1"/>
  <c r="B187" i="1"/>
  <c r="K186" i="1"/>
  <c r="H186" i="1"/>
  <c r="G186" i="1"/>
  <c r="F186" i="1"/>
  <c r="D186" i="1"/>
  <c r="C186" i="1"/>
  <c r="B186" i="1"/>
  <c r="K185" i="1"/>
  <c r="H185" i="1"/>
  <c r="G185" i="1"/>
  <c r="F185" i="1"/>
  <c r="D185" i="1"/>
  <c r="C185" i="1"/>
  <c r="B185" i="1"/>
  <c r="K184" i="1"/>
  <c r="H184" i="1"/>
  <c r="G184" i="1"/>
  <c r="F184" i="1"/>
  <c r="D184" i="1"/>
  <c r="C184" i="1"/>
  <c r="B184" i="1"/>
  <c r="K183" i="1"/>
  <c r="H183" i="1"/>
  <c r="G183" i="1"/>
  <c r="F183" i="1"/>
  <c r="D183" i="1"/>
  <c r="C183" i="1"/>
  <c r="B183" i="1"/>
  <c r="K182" i="1"/>
  <c r="H182" i="1"/>
  <c r="G182" i="1"/>
  <c r="F182" i="1"/>
  <c r="D182" i="1"/>
  <c r="C182" i="1"/>
  <c r="B182" i="1"/>
  <c r="K181" i="1"/>
  <c r="H181" i="1"/>
  <c r="G181" i="1"/>
  <c r="F181" i="1"/>
  <c r="D181" i="1"/>
  <c r="C181" i="1"/>
  <c r="B181" i="1"/>
  <c r="K180" i="1"/>
  <c r="H180" i="1"/>
  <c r="G180" i="1"/>
  <c r="F180" i="1"/>
  <c r="D180" i="1"/>
  <c r="C180" i="1"/>
  <c r="B180" i="1"/>
  <c r="K179" i="1"/>
  <c r="H179" i="1"/>
  <c r="G179" i="1"/>
  <c r="F179" i="1"/>
  <c r="D179" i="1"/>
  <c r="C179" i="1"/>
  <c r="B179" i="1"/>
  <c r="K178" i="1"/>
  <c r="H178" i="1"/>
  <c r="G178" i="1"/>
  <c r="F178" i="1"/>
  <c r="D178" i="1"/>
  <c r="C178" i="1"/>
  <c r="B178" i="1"/>
  <c r="K177" i="1"/>
  <c r="H177" i="1"/>
  <c r="G177" i="1"/>
  <c r="F177" i="1"/>
  <c r="D177" i="1"/>
  <c r="C177" i="1"/>
  <c r="B177" i="1"/>
  <c r="K176" i="1"/>
  <c r="H176" i="1"/>
  <c r="G176" i="1"/>
  <c r="F176" i="1"/>
  <c r="D176" i="1"/>
  <c r="C176" i="1"/>
  <c r="B176" i="1"/>
  <c r="K175" i="1"/>
  <c r="H175" i="1"/>
  <c r="G175" i="1"/>
  <c r="F175" i="1"/>
  <c r="D175" i="1"/>
  <c r="C175" i="1"/>
  <c r="B175" i="1"/>
  <c r="K174" i="1"/>
  <c r="H174" i="1"/>
  <c r="G174" i="1"/>
  <c r="F174" i="1"/>
  <c r="D174" i="1"/>
  <c r="C174" i="1"/>
  <c r="B174" i="1"/>
  <c r="K173" i="1"/>
  <c r="H173" i="1"/>
  <c r="G173" i="1"/>
  <c r="F173" i="1"/>
  <c r="D173" i="1"/>
  <c r="C173" i="1"/>
  <c r="B173" i="1"/>
  <c r="K172" i="1"/>
  <c r="H172" i="1"/>
  <c r="G172" i="1"/>
  <c r="F172" i="1"/>
  <c r="D172" i="1"/>
  <c r="C172" i="1"/>
  <c r="B172" i="1"/>
  <c r="K171" i="1"/>
  <c r="H171" i="1"/>
  <c r="G171" i="1"/>
  <c r="F171" i="1"/>
  <c r="D171" i="1"/>
  <c r="C171" i="1"/>
  <c r="B171" i="1"/>
  <c r="K170" i="1"/>
  <c r="H170" i="1"/>
  <c r="G170" i="1"/>
  <c r="F170" i="1"/>
  <c r="D170" i="1"/>
  <c r="C170" i="1"/>
  <c r="B170" i="1"/>
  <c r="K169" i="1"/>
  <c r="H169" i="1"/>
  <c r="G169" i="1"/>
  <c r="F169" i="1"/>
  <c r="D169" i="1"/>
  <c r="C169" i="1"/>
  <c r="B169" i="1"/>
  <c r="K168" i="1"/>
  <c r="H168" i="1"/>
  <c r="G168" i="1"/>
  <c r="F168" i="1"/>
  <c r="D168" i="1"/>
  <c r="C168" i="1"/>
  <c r="B168" i="1"/>
  <c r="K167" i="1"/>
  <c r="H167" i="1"/>
  <c r="G167" i="1"/>
  <c r="F167" i="1"/>
  <c r="D167" i="1"/>
  <c r="C167" i="1"/>
  <c r="B167" i="1"/>
  <c r="K166" i="1"/>
  <c r="H166" i="1"/>
  <c r="G166" i="1"/>
  <c r="F166" i="1"/>
  <c r="D166" i="1"/>
  <c r="C166" i="1"/>
  <c r="B166" i="1"/>
  <c r="K165" i="1"/>
  <c r="H165" i="1"/>
  <c r="G165" i="1"/>
  <c r="F165" i="1"/>
  <c r="D165" i="1"/>
  <c r="C165" i="1"/>
  <c r="B165" i="1"/>
  <c r="K164" i="1"/>
  <c r="H164" i="1"/>
  <c r="D164" i="1"/>
  <c r="C164" i="1"/>
  <c r="B164" i="1"/>
  <c r="K163" i="1"/>
  <c r="H163" i="1"/>
  <c r="D163" i="1"/>
  <c r="C163" i="1"/>
  <c r="B163" i="1"/>
  <c r="K162" i="1"/>
  <c r="H162" i="1"/>
  <c r="D162" i="1"/>
  <c r="C162" i="1"/>
  <c r="B162" i="1"/>
  <c r="K161" i="1"/>
  <c r="H161" i="1"/>
  <c r="D161" i="1"/>
  <c r="C161" i="1"/>
  <c r="B161" i="1"/>
  <c r="K160" i="1"/>
  <c r="H160" i="1"/>
  <c r="D160" i="1"/>
  <c r="C160" i="1"/>
  <c r="B160" i="1"/>
  <c r="K159" i="1"/>
  <c r="H159" i="1"/>
  <c r="D159" i="1"/>
  <c r="C159" i="1"/>
  <c r="B159" i="1"/>
  <c r="K158" i="1"/>
  <c r="H158" i="1"/>
  <c r="D158" i="1"/>
  <c r="C158" i="1"/>
  <c r="B158" i="1"/>
  <c r="K157" i="1"/>
  <c r="H157" i="1"/>
  <c r="D157" i="1"/>
  <c r="C157" i="1"/>
  <c r="B157" i="1"/>
  <c r="K156" i="1"/>
  <c r="H156" i="1"/>
  <c r="D156" i="1"/>
  <c r="C156" i="1"/>
  <c r="B156" i="1"/>
  <c r="K155" i="1"/>
  <c r="H155" i="1"/>
  <c r="D155" i="1"/>
  <c r="C155" i="1"/>
  <c r="B155" i="1"/>
  <c r="K154" i="1"/>
  <c r="H154" i="1"/>
  <c r="D154" i="1"/>
  <c r="C154" i="1"/>
  <c r="B154" i="1"/>
  <c r="K153" i="1"/>
  <c r="H153" i="1"/>
  <c r="D153" i="1"/>
  <c r="C153" i="1"/>
  <c r="B153" i="1"/>
  <c r="K152" i="1"/>
  <c r="H152" i="1"/>
  <c r="D152" i="1"/>
  <c r="C152" i="1"/>
  <c r="B152" i="1"/>
  <c r="K151" i="1"/>
  <c r="H151" i="1"/>
  <c r="D151" i="1"/>
  <c r="C151" i="1"/>
  <c r="B151" i="1"/>
  <c r="K150" i="1"/>
  <c r="H150" i="1"/>
  <c r="D150" i="1"/>
  <c r="C150" i="1"/>
  <c r="B150" i="1"/>
  <c r="K149" i="1"/>
  <c r="H149" i="1"/>
  <c r="D149" i="1"/>
  <c r="C149" i="1"/>
  <c r="B149" i="1"/>
  <c r="K148" i="1"/>
  <c r="H148" i="1"/>
  <c r="D148" i="1"/>
  <c r="C148" i="1"/>
  <c r="B148" i="1"/>
  <c r="K147" i="1"/>
  <c r="H147" i="1"/>
  <c r="D147" i="1"/>
  <c r="C147" i="1"/>
  <c r="B147" i="1"/>
  <c r="K146" i="1"/>
  <c r="H146" i="1"/>
  <c r="D146" i="1"/>
  <c r="C146" i="1"/>
  <c r="B146" i="1"/>
  <c r="K145" i="1"/>
  <c r="H145" i="1"/>
  <c r="D145" i="1"/>
  <c r="C145" i="1"/>
  <c r="B145" i="1"/>
  <c r="K144" i="1"/>
  <c r="H144" i="1"/>
  <c r="D144" i="1"/>
  <c r="C144" i="1"/>
  <c r="B144" i="1"/>
  <c r="K143" i="1"/>
  <c r="H143" i="1"/>
  <c r="D143" i="1"/>
  <c r="C143" i="1"/>
  <c r="B143" i="1"/>
  <c r="K142" i="1"/>
  <c r="H142" i="1"/>
  <c r="D142" i="1"/>
  <c r="C142" i="1"/>
  <c r="B142" i="1"/>
  <c r="K141" i="1"/>
  <c r="H141" i="1"/>
  <c r="D141" i="1"/>
  <c r="C141" i="1"/>
  <c r="B141" i="1"/>
  <c r="K140" i="1"/>
  <c r="H140" i="1"/>
  <c r="D140" i="1"/>
  <c r="C140" i="1"/>
  <c r="B140" i="1"/>
  <c r="K139" i="1"/>
  <c r="H139" i="1"/>
  <c r="D139" i="1"/>
  <c r="C139" i="1"/>
  <c r="B139" i="1"/>
  <c r="K138" i="1"/>
  <c r="H138" i="1"/>
  <c r="D138" i="1"/>
  <c r="C138" i="1"/>
  <c r="B138" i="1"/>
  <c r="K137" i="1"/>
  <c r="H137" i="1"/>
  <c r="D137" i="1"/>
  <c r="C137" i="1"/>
  <c r="B137" i="1"/>
  <c r="K136" i="1"/>
  <c r="H136" i="1"/>
  <c r="D136" i="1"/>
  <c r="C136" i="1"/>
  <c r="B136" i="1"/>
  <c r="K135" i="1"/>
  <c r="H135" i="1"/>
  <c r="D135" i="1"/>
  <c r="C135" i="1"/>
  <c r="B135" i="1"/>
  <c r="K134" i="1"/>
  <c r="H134" i="1"/>
  <c r="D134" i="1"/>
  <c r="C134" i="1"/>
  <c r="B134" i="1"/>
  <c r="K133" i="1"/>
  <c r="H133" i="1"/>
  <c r="D133" i="1"/>
  <c r="C133" i="1"/>
  <c r="B133" i="1"/>
  <c r="K132" i="1"/>
  <c r="H132" i="1"/>
  <c r="D132" i="1"/>
  <c r="C132" i="1"/>
  <c r="B132" i="1"/>
  <c r="K131" i="1"/>
  <c r="H131" i="1"/>
  <c r="D131" i="1"/>
  <c r="C131" i="1"/>
  <c r="B131" i="1"/>
  <c r="K130" i="1"/>
  <c r="H130" i="1"/>
  <c r="G130" i="1"/>
  <c r="F130" i="1"/>
  <c r="D130" i="1"/>
  <c r="C130" i="1"/>
  <c r="B130" i="1"/>
  <c r="K129" i="1"/>
  <c r="H129" i="1"/>
  <c r="G129" i="1"/>
  <c r="F129" i="1"/>
  <c r="D129" i="1"/>
  <c r="C129" i="1"/>
  <c r="B129" i="1"/>
  <c r="K128" i="1"/>
  <c r="H128" i="1"/>
  <c r="G128" i="1"/>
  <c r="F128" i="1"/>
  <c r="D128" i="1"/>
  <c r="C128" i="1"/>
  <c r="B128" i="1"/>
  <c r="K127" i="1"/>
  <c r="H127" i="1"/>
  <c r="G127" i="1"/>
  <c r="F127" i="1"/>
  <c r="D127" i="1"/>
  <c r="C127" i="1"/>
  <c r="B127" i="1"/>
  <c r="K126" i="1"/>
  <c r="H126" i="1"/>
  <c r="G126" i="1"/>
  <c r="F126" i="1"/>
  <c r="D126" i="1"/>
  <c r="C126" i="1"/>
  <c r="B126" i="1"/>
  <c r="K125" i="1"/>
  <c r="H125" i="1"/>
  <c r="G125" i="1"/>
  <c r="F125" i="1"/>
  <c r="D125" i="1"/>
  <c r="C125" i="1"/>
  <c r="B125" i="1"/>
  <c r="K124" i="1"/>
  <c r="H124" i="1"/>
  <c r="G124" i="1"/>
  <c r="F124" i="1"/>
  <c r="D124" i="1"/>
  <c r="C124" i="1"/>
  <c r="B124" i="1"/>
  <c r="K123" i="1"/>
  <c r="H123" i="1"/>
  <c r="G123" i="1"/>
  <c r="F123" i="1"/>
  <c r="D123" i="1"/>
  <c r="C123" i="1"/>
  <c r="B123" i="1"/>
  <c r="K122" i="1"/>
  <c r="H122" i="1"/>
  <c r="G122" i="1"/>
  <c r="F122" i="1"/>
  <c r="D122" i="1"/>
  <c r="C122" i="1"/>
  <c r="B122" i="1"/>
  <c r="K121" i="1"/>
  <c r="H121" i="1"/>
  <c r="G121" i="1"/>
  <c r="F121" i="1"/>
  <c r="D121" i="1"/>
  <c r="C121" i="1"/>
  <c r="B121" i="1"/>
  <c r="K120" i="1"/>
  <c r="H120" i="1"/>
  <c r="F120" i="1"/>
  <c r="D120" i="1"/>
  <c r="C120" i="1"/>
  <c r="B120" i="1"/>
  <c r="K119" i="1"/>
  <c r="H119" i="1"/>
  <c r="F119" i="1"/>
  <c r="D119" i="1"/>
  <c r="C119" i="1"/>
  <c r="B119" i="1"/>
  <c r="K118" i="1"/>
  <c r="H118" i="1"/>
  <c r="F118" i="1"/>
  <c r="D118" i="1"/>
  <c r="C118" i="1"/>
  <c r="B118" i="1"/>
  <c r="K117" i="1"/>
  <c r="H117" i="1"/>
  <c r="F117" i="1"/>
  <c r="D117" i="1"/>
  <c r="C117" i="1"/>
  <c r="B117" i="1"/>
  <c r="K116" i="1"/>
  <c r="H116" i="1"/>
  <c r="F116" i="1"/>
  <c r="D116" i="1"/>
  <c r="C116" i="1"/>
  <c r="B116" i="1"/>
  <c r="K115" i="1"/>
  <c r="H115" i="1"/>
  <c r="F115" i="1"/>
  <c r="D115" i="1"/>
  <c r="C115" i="1"/>
  <c r="B115" i="1"/>
  <c r="K114" i="1"/>
  <c r="H114" i="1"/>
  <c r="F114" i="1"/>
  <c r="D114" i="1"/>
  <c r="C114" i="1"/>
  <c r="B114" i="1"/>
  <c r="K113" i="1"/>
  <c r="H113" i="1"/>
  <c r="F113" i="1"/>
  <c r="D113" i="1"/>
  <c r="C113" i="1"/>
  <c r="B113" i="1"/>
  <c r="K112" i="1"/>
  <c r="H112" i="1"/>
  <c r="F112" i="1"/>
  <c r="D112" i="1"/>
  <c r="C112" i="1"/>
  <c r="B112" i="1"/>
  <c r="K111" i="1"/>
  <c r="H111" i="1"/>
  <c r="F111" i="1"/>
  <c r="D111" i="1"/>
  <c r="C111" i="1"/>
  <c r="B111" i="1"/>
  <c r="K110" i="1"/>
  <c r="H110" i="1"/>
  <c r="F110" i="1"/>
  <c r="D110" i="1"/>
  <c r="C110" i="1"/>
  <c r="B110" i="1"/>
  <c r="K109" i="1"/>
  <c r="H109" i="1"/>
  <c r="F109" i="1"/>
  <c r="D109" i="1"/>
  <c r="C109" i="1"/>
  <c r="B109" i="1"/>
  <c r="K108" i="1"/>
  <c r="H108" i="1"/>
  <c r="F108" i="1"/>
  <c r="D108" i="1"/>
  <c r="C108" i="1"/>
  <c r="B108" i="1"/>
  <c r="K107" i="1"/>
  <c r="H107" i="1"/>
  <c r="F107" i="1"/>
  <c r="D107" i="1"/>
  <c r="C107" i="1"/>
  <c r="B107" i="1"/>
  <c r="K106" i="1"/>
  <c r="H106" i="1"/>
  <c r="F106" i="1"/>
  <c r="D106" i="1"/>
  <c r="C106" i="1"/>
  <c r="B106" i="1"/>
  <c r="K105" i="1"/>
  <c r="H105" i="1"/>
  <c r="F105" i="1"/>
  <c r="D105" i="1"/>
  <c r="C105" i="1"/>
  <c r="B105" i="1"/>
  <c r="K104" i="1"/>
  <c r="H104" i="1"/>
  <c r="F104" i="1"/>
  <c r="D104" i="1"/>
  <c r="C104" i="1"/>
  <c r="B104" i="1"/>
  <c r="K103" i="1"/>
  <c r="H103" i="1"/>
  <c r="F103" i="1"/>
  <c r="D103" i="1"/>
  <c r="C103" i="1"/>
  <c r="B103" i="1"/>
  <c r="K102" i="1"/>
  <c r="H102" i="1"/>
  <c r="F102" i="1"/>
  <c r="D102" i="1"/>
  <c r="C102" i="1"/>
  <c r="B102" i="1"/>
  <c r="K101" i="1"/>
  <c r="H101" i="1"/>
  <c r="F101" i="1"/>
  <c r="D101" i="1"/>
  <c r="C101" i="1"/>
  <c r="B101" i="1"/>
  <c r="K100" i="1"/>
  <c r="H100" i="1"/>
  <c r="F100" i="1"/>
  <c r="D100" i="1"/>
  <c r="C100" i="1"/>
  <c r="B100" i="1"/>
  <c r="K99" i="1"/>
  <c r="H99" i="1"/>
  <c r="F99" i="1"/>
  <c r="D99" i="1"/>
  <c r="C99" i="1"/>
  <c r="B99" i="1"/>
  <c r="K98" i="1"/>
  <c r="H98" i="1"/>
  <c r="F98" i="1"/>
  <c r="D98" i="1"/>
  <c r="C98" i="1"/>
  <c r="B98" i="1"/>
  <c r="K97" i="1"/>
  <c r="H97" i="1"/>
  <c r="F97" i="1"/>
  <c r="D97" i="1"/>
  <c r="C97" i="1"/>
  <c r="B97" i="1"/>
  <c r="K96" i="1"/>
  <c r="H96" i="1"/>
  <c r="F96" i="1"/>
  <c r="D96" i="1"/>
  <c r="C96" i="1"/>
  <c r="B96" i="1"/>
  <c r="K95" i="1"/>
  <c r="H95" i="1"/>
  <c r="F95" i="1"/>
  <c r="D95" i="1"/>
  <c r="C95" i="1"/>
  <c r="B95" i="1"/>
  <c r="K94" i="1"/>
  <c r="H94" i="1"/>
  <c r="F94" i="1"/>
  <c r="D94" i="1"/>
  <c r="C94" i="1"/>
  <c r="B94" i="1"/>
  <c r="K93" i="1"/>
  <c r="H93" i="1"/>
  <c r="F93" i="1"/>
  <c r="D93" i="1"/>
  <c r="C93" i="1"/>
  <c r="B93" i="1"/>
  <c r="K92" i="1"/>
  <c r="H92" i="1"/>
  <c r="F92" i="1"/>
  <c r="D92" i="1"/>
  <c r="C92" i="1"/>
  <c r="B92" i="1"/>
  <c r="K91" i="1"/>
  <c r="H91" i="1"/>
  <c r="F91" i="1"/>
  <c r="D91" i="1"/>
  <c r="C91" i="1"/>
  <c r="B91" i="1"/>
  <c r="K90" i="1"/>
  <c r="H90" i="1"/>
  <c r="F90" i="1"/>
  <c r="D90" i="1"/>
  <c r="C90" i="1"/>
  <c r="B90" i="1"/>
  <c r="K89" i="1"/>
  <c r="H89" i="1"/>
  <c r="F89" i="1"/>
  <c r="D89" i="1"/>
  <c r="C89" i="1"/>
  <c r="B89" i="1"/>
  <c r="K88" i="1"/>
  <c r="H88" i="1"/>
  <c r="F88" i="1"/>
  <c r="D88" i="1"/>
  <c r="C88" i="1"/>
  <c r="B88" i="1"/>
  <c r="K87" i="1"/>
  <c r="H87" i="1"/>
  <c r="F87" i="1"/>
  <c r="D87" i="1"/>
  <c r="C87" i="1"/>
  <c r="B87" i="1"/>
  <c r="K86" i="1"/>
  <c r="H86" i="1"/>
  <c r="F86" i="1"/>
  <c r="D86" i="1"/>
  <c r="C86" i="1"/>
  <c r="B86" i="1"/>
  <c r="K85" i="1"/>
  <c r="H85" i="1"/>
  <c r="F85" i="1"/>
  <c r="D85" i="1"/>
  <c r="C85" i="1"/>
  <c r="B85" i="1"/>
  <c r="K84" i="1"/>
  <c r="H84" i="1"/>
  <c r="F84" i="1"/>
  <c r="D84" i="1"/>
  <c r="C84" i="1"/>
  <c r="B84" i="1"/>
  <c r="K83" i="1"/>
  <c r="H83" i="1"/>
  <c r="F83" i="1"/>
  <c r="D83" i="1"/>
  <c r="C83" i="1"/>
  <c r="B83" i="1"/>
  <c r="K82" i="1"/>
  <c r="H82" i="1"/>
  <c r="F82" i="1"/>
  <c r="D82" i="1"/>
  <c r="C82" i="1"/>
  <c r="B82" i="1"/>
  <c r="K81" i="1"/>
  <c r="H81" i="1"/>
  <c r="F81" i="1"/>
  <c r="D81" i="1"/>
  <c r="C81" i="1"/>
  <c r="B81" i="1"/>
  <c r="K80" i="1"/>
  <c r="H80" i="1"/>
  <c r="F80" i="1"/>
  <c r="D80" i="1"/>
  <c r="C80" i="1"/>
  <c r="B80" i="1"/>
  <c r="K79" i="1"/>
  <c r="H79" i="1"/>
  <c r="F79" i="1"/>
  <c r="D79" i="1"/>
  <c r="C79" i="1"/>
  <c r="B79" i="1"/>
  <c r="K78" i="1"/>
  <c r="H78" i="1"/>
  <c r="F78" i="1"/>
  <c r="D78" i="1"/>
  <c r="C78" i="1"/>
  <c r="B78" i="1"/>
  <c r="K77" i="1"/>
  <c r="H77" i="1"/>
  <c r="F77" i="1"/>
  <c r="D77" i="1"/>
  <c r="C77" i="1"/>
  <c r="B77" i="1"/>
  <c r="K76" i="1"/>
  <c r="H76" i="1"/>
  <c r="F76" i="1"/>
  <c r="D76" i="1"/>
  <c r="C76" i="1"/>
  <c r="B76" i="1"/>
  <c r="K75" i="1"/>
  <c r="H75" i="1"/>
  <c r="F75" i="1"/>
  <c r="D75" i="1"/>
  <c r="C75" i="1"/>
  <c r="B75" i="1"/>
  <c r="K74" i="1"/>
  <c r="H74" i="1"/>
  <c r="F74" i="1"/>
  <c r="D74" i="1"/>
  <c r="C74" i="1"/>
  <c r="B74" i="1"/>
  <c r="K73" i="1"/>
  <c r="H73" i="1"/>
  <c r="F73" i="1"/>
  <c r="D73" i="1"/>
  <c r="C73" i="1"/>
  <c r="B73" i="1"/>
  <c r="K72" i="1"/>
  <c r="H72" i="1"/>
  <c r="F72" i="1"/>
  <c r="D72" i="1"/>
  <c r="C72" i="1"/>
  <c r="B72" i="1"/>
  <c r="K71" i="1"/>
  <c r="H71" i="1"/>
  <c r="F71" i="1"/>
  <c r="D71" i="1"/>
  <c r="C71" i="1"/>
  <c r="B71" i="1"/>
  <c r="K70" i="1"/>
  <c r="H70" i="1"/>
  <c r="F70" i="1"/>
  <c r="D70" i="1"/>
  <c r="C70" i="1"/>
  <c r="B70" i="1"/>
  <c r="K69" i="1"/>
  <c r="H69" i="1"/>
  <c r="F69" i="1"/>
  <c r="D69" i="1"/>
  <c r="C69" i="1"/>
  <c r="B69" i="1"/>
  <c r="K68" i="1"/>
  <c r="H68" i="1"/>
  <c r="F68" i="1"/>
  <c r="D68" i="1"/>
  <c r="C68" i="1"/>
  <c r="B68" i="1"/>
  <c r="K67" i="1"/>
  <c r="H67" i="1"/>
  <c r="F67" i="1"/>
  <c r="D67" i="1"/>
  <c r="C67" i="1"/>
  <c r="B67" i="1"/>
  <c r="K66" i="1"/>
  <c r="H66" i="1"/>
  <c r="F66" i="1"/>
  <c r="D66" i="1"/>
  <c r="C66" i="1"/>
  <c r="B66" i="1"/>
  <c r="K65" i="1"/>
  <c r="H65" i="1"/>
  <c r="F65" i="1"/>
  <c r="D65" i="1"/>
  <c r="C65" i="1"/>
  <c r="B65" i="1"/>
  <c r="K64" i="1"/>
  <c r="H64" i="1"/>
  <c r="F64" i="1"/>
  <c r="D64" i="1"/>
  <c r="C64" i="1"/>
  <c r="B64" i="1"/>
  <c r="K63" i="1"/>
  <c r="H63" i="1"/>
  <c r="F63" i="1"/>
  <c r="D63" i="1"/>
  <c r="C63" i="1"/>
  <c r="B63" i="1"/>
  <c r="K62" i="1"/>
  <c r="H62" i="1"/>
  <c r="F62" i="1"/>
  <c r="D62" i="1"/>
  <c r="C62" i="1"/>
  <c r="B62" i="1"/>
  <c r="K61" i="1"/>
  <c r="H61" i="1"/>
  <c r="F61" i="1"/>
  <c r="D61" i="1"/>
  <c r="C61" i="1"/>
  <c r="B61" i="1"/>
  <c r="K60" i="1"/>
  <c r="H60" i="1"/>
  <c r="F60" i="1"/>
  <c r="D60" i="1"/>
  <c r="C60" i="1"/>
  <c r="B60" i="1"/>
  <c r="K59" i="1"/>
  <c r="H59" i="1"/>
  <c r="F59" i="1"/>
  <c r="D59" i="1"/>
  <c r="C59" i="1"/>
  <c r="B59" i="1"/>
  <c r="K58" i="1"/>
  <c r="H58" i="1"/>
  <c r="F58" i="1"/>
  <c r="D58" i="1"/>
  <c r="C58" i="1"/>
  <c r="B58" i="1"/>
  <c r="K57" i="1"/>
  <c r="H57" i="1"/>
  <c r="F57" i="1"/>
  <c r="D57" i="1"/>
  <c r="C57" i="1"/>
  <c r="B57" i="1"/>
  <c r="K56" i="1"/>
  <c r="H56" i="1"/>
  <c r="F56" i="1"/>
  <c r="D56" i="1"/>
  <c r="C56" i="1"/>
  <c r="B56" i="1"/>
  <c r="K55" i="1"/>
  <c r="H55" i="1"/>
  <c r="G55" i="1"/>
  <c r="F55" i="1"/>
  <c r="D55" i="1"/>
  <c r="C55" i="1"/>
  <c r="B55" i="1"/>
  <c r="K54" i="1"/>
  <c r="H54" i="1"/>
  <c r="G54" i="1"/>
  <c r="F54" i="1"/>
  <c r="D54" i="1"/>
  <c r="C54" i="1"/>
  <c r="B54" i="1"/>
  <c r="K53" i="1"/>
  <c r="H53" i="1"/>
  <c r="G53" i="1"/>
  <c r="F53" i="1"/>
  <c r="D53" i="1"/>
  <c r="C53" i="1"/>
  <c r="B53" i="1"/>
  <c r="K52" i="1"/>
  <c r="H52" i="1"/>
  <c r="G52" i="1"/>
  <c r="F52" i="1"/>
  <c r="D52" i="1"/>
  <c r="C52" i="1"/>
  <c r="B52" i="1"/>
  <c r="K51" i="1"/>
  <c r="H51" i="1"/>
  <c r="G51" i="1"/>
  <c r="F51" i="1"/>
  <c r="D51" i="1"/>
  <c r="C51" i="1"/>
  <c r="B51" i="1"/>
  <c r="K50" i="1"/>
  <c r="H50" i="1"/>
  <c r="G50" i="1"/>
  <c r="F50" i="1"/>
  <c r="D50" i="1"/>
  <c r="C50" i="1"/>
  <c r="B50" i="1"/>
  <c r="K49" i="1"/>
  <c r="H49" i="1"/>
  <c r="G49" i="1"/>
  <c r="F49" i="1"/>
  <c r="D49" i="1"/>
  <c r="C49" i="1"/>
  <c r="B49" i="1"/>
  <c r="K48" i="1"/>
  <c r="H48" i="1"/>
  <c r="G48" i="1"/>
  <c r="F48" i="1"/>
  <c r="D48" i="1"/>
  <c r="C48" i="1"/>
  <c r="B48" i="1"/>
  <c r="K47" i="1"/>
  <c r="H47" i="1"/>
  <c r="G47" i="1"/>
  <c r="F47" i="1"/>
  <c r="D47" i="1"/>
  <c r="C47" i="1"/>
  <c r="B47" i="1"/>
  <c r="K46" i="1"/>
  <c r="H46" i="1"/>
  <c r="G46" i="1"/>
  <c r="F46" i="1"/>
  <c r="D46" i="1"/>
  <c r="C46" i="1"/>
  <c r="B46" i="1"/>
  <c r="K45" i="1"/>
  <c r="H45" i="1"/>
  <c r="G45" i="1"/>
  <c r="F45" i="1"/>
  <c r="D45" i="1"/>
  <c r="C45" i="1"/>
  <c r="B45" i="1"/>
  <c r="K44" i="1"/>
  <c r="H44" i="1"/>
  <c r="G44" i="1"/>
  <c r="F44" i="1"/>
  <c r="D44" i="1"/>
  <c r="C44" i="1"/>
  <c r="B44" i="1"/>
  <c r="K43" i="1"/>
  <c r="H43" i="1"/>
  <c r="G43" i="1"/>
  <c r="F43" i="1"/>
  <c r="D43" i="1"/>
  <c r="C43" i="1"/>
  <c r="B43" i="1"/>
  <c r="K42" i="1"/>
  <c r="H42" i="1"/>
  <c r="G42" i="1"/>
  <c r="F42" i="1"/>
  <c r="D42" i="1"/>
  <c r="C42" i="1"/>
  <c r="B42" i="1"/>
  <c r="K41" i="1"/>
  <c r="H41" i="1"/>
  <c r="G41" i="1"/>
  <c r="F41" i="1"/>
  <c r="D41" i="1"/>
  <c r="C41" i="1"/>
  <c r="B41" i="1"/>
  <c r="K40" i="1"/>
  <c r="H40" i="1"/>
  <c r="G40" i="1"/>
  <c r="F40" i="1"/>
  <c r="D40" i="1"/>
  <c r="C40" i="1"/>
  <c r="B40" i="1"/>
  <c r="K39" i="1"/>
  <c r="H39" i="1"/>
  <c r="G39" i="1"/>
  <c r="F39" i="1"/>
  <c r="D39" i="1"/>
  <c r="C39" i="1"/>
  <c r="B39" i="1"/>
  <c r="K38" i="1"/>
  <c r="H38" i="1"/>
  <c r="G38" i="1"/>
  <c r="F38" i="1"/>
  <c r="D38" i="1"/>
  <c r="C38" i="1"/>
  <c r="B38" i="1"/>
  <c r="K37" i="1"/>
  <c r="H37" i="1"/>
  <c r="G37" i="1"/>
  <c r="F37" i="1"/>
  <c r="D37" i="1"/>
  <c r="C37" i="1"/>
  <c r="B37" i="1"/>
  <c r="K36" i="1"/>
  <c r="H36" i="1"/>
  <c r="G36" i="1"/>
  <c r="F36" i="1"/>
  <c r="D36" i="1"/>
  <c r="C36" i="1"/>
  <c r="B36" i="1"/>
  <c r="K35" i="1"/>
  <c r="H35" i="1"/>
  <c r="G35" i="1"/>
  <c r="F35" i="1"/>
  <c r="D35" i="1"/>
  <c r="C35" i="1"/>
  <c r="B35" i="1"/>
  <c r="K34" i="1"/>
  <c r="H34" i="1"/>
  <c r="G34" i="1"/>
  <c r="F34" i="1"/>
  <c r="D34" i="1"/>
  <c r="C34" i="1"/>
  <c r="B34" i="1"/>
  <c r="K33" i="1"/>
  <c r="H33" i="1"/>
  <c r="G33" i="1"/>
  <c r="F33" i="1"/>
  <c r="D33" i="1"/>
  <c r="C33" i="1"/>
  <c r="B33" i="1"/>
  <c r="K32" i="1"/>
  <c r="H32" i="1"/>
  <c r="G32" i="1"/>
  <c r="F32" i="1"/>
  <c r="D32" i="1"/>
  <c r="C32" i="1"/>
  <c r="B32" i="1"/>
  <c r="K31" i="1"/>
  <c r="H31" i="1"/>
  <c r="G31" i="1"/>
  <c r="F31" i="1"/>
  <c r="D31" i="1"/>
  <c r="C31" i="1"/>
  <c r="B31" i="1"/>
  <c r="K30" i="1"/>
  <c r="H30" i="1"/>
  <c r="G30" i="1"/>
  <c r="F30" i="1"/>
  <c r="D30" i="1"/>
  <c r="C30" i="1"/>
  <c r="B30" i="1"/>
  <c r="K29" i="1"/>
  <c r="H29" i="1"/>
  <c r="G29" i="1"/>
  <c r="F29" i="1"/>
  <c r="D29" i="1"/>
  <c r="C29" i="1"/>
  <c r="B29" i="1"/>
  <c r="K28" i="1"/>
  <c r="H28" i="1"/>
  <c r="G28" i="1"/>
  <c r="F28" i="1"/>
  <c r="D28" i="1"/>
  <c r="C28" i="1"/>
  <c r="B28" i="1"/>
  <c r="K27" i="1"/>
  <c r="H27" i="1"/>
  <c r="G27" i="1"/>
  <c r="F27" i="1"/>
  <c r="D27" i="1"/>
  <c r="C27" i="1"/>
  <c r="B27" i="1"/>
  <c r="K26" i="1"/>
  <c r="H26" i="1"/>
  <c r="G26" i="1"/>
  <c r="F26" i="1"/>
  <c r="D26" i="1"/>
  <c r="C26" i="1"/>
  <c r="B26" i="1"/>
  <c r="K25" i="1"/>
  <c r="H25" i="1"/>
  <c r="G25" i="1"/>
  <c r="F25" i="1"/>
  <c r="D25" i="1"/>
  <c r="C25" i="1"/>
  <c r="B25" i="1"/>
  <c r="K24" i="1"/>
  <c r="H24" i="1"/>
  <c r="G24" i="1"/>
  <c r="F24" i="1"/>
  <c r="D24" i="1"/>
  <c r="C24" i="1"/>
  <c r="B24" i="1"/>
  <c r="K23" i="1"/>
  <c r="H23" i="1"/>
  <c r="G23" i="1"/>
  <c r="F23" i="1"/>
  <c r="D23" i="1"/>
  <c r="C23" i="1"/>
  <c r="B23" i="1"/>
  <c r="K22" i="1"/>
  <c r="H22" i="1"/>
  <c r="G22" i="1"/>
  <c r="F22" i="1"/>
  <c r="D22" i="1"/>
  <c r="C22" i="1"/>
  <c r="B22" i="1"/>
  <c r="K21" i="1"/>
  <c r="H21" i="1"/>
  <c r="G21" i="1"/>
  <c r="F21" i="1"/>
  <c r="D21" i="1"/>
  <c r="C21" i="1"/>
  <c r="B21" i="1"/>
  <c r="K20" i="1"/>
  <c r="H20" i="1"/>
  <c r="G20" i="1"/>
  <c r="F20" i="1"/>
  <c r="D20" i="1"/>
  <c r="C20" i="1"/>
  <c r="B20" i="1"/>
  <c r="K19" i="1"/>
  <c r="H19" i="1"/>
  <c r="G19" i="1"/>
  <c r="F19" i="1"/>
  <c r="D19" i="1"/>
  <c r="C19" i="1"/>
  <c r="B19" i="1"/>
  <c r="K18" i="1"/>
  <c r="H18" i="1"/>
  <c r="G18" i="1"/>
  <c r="F18" i="1"/>
  <c r="D18" i="1"/>
  <c r="C18" i="1"/>
  <c r="B18" i="1"/>
  <c r="K17" i="1"/>
  <c r="H17" i="1"/>
  <c r="F17" i="1"/>
  <c r="D17" i="1"/>
  <c r="C17" i="1"/>
  <c r="B17" i="1"/>
  <c r="K16" i="1"/>
  <c r="H16" i="1"/>
  <c r="F16" i="1"/>
  <c r="D16" i="1"/>
  <c r="C16" i="1"/>
  <c r="B16" i="1"/>
  <c r="K15" i="1"/>
  <c r="H15" i="1"/>
  <c r="F15" i="1"/>
  <c r="D15" i="1"/>
  <c r="C15" i="1"/>
  <c r="B15" i="1"/>
  <c r="K14" i="1"/>
  <c r="H14" i="1"/>
  <c r="F14" i="1"/>
  <c r="D14" i="1"/>
  <c r="C14" i="1"/>
  <c r="B14" i="1"/>
  <c r="K13" i="1"/>
  <c r="H13" i="1"/>
  <c r="F13" i="1"/>
  <c r="D13" i="1"/>
  <c r="C13" i="1"/>
  <c r="B13" i="1"/>
  <c r="K12" i="1"/>
  <c r="H12" i="1"/>
  <c r="F12" i="1"/>
  <c r="D12" i="1"/>
  <c r="C12" i="1"/>
  <c r="B12" i="1"/>
  <c r="K11" i="1"/>
  <c r="H11" i="1"/>
  <c r="F11" i="1"/>
  <c r="D11" i="1"/>
  <c r="C11" i="1"/>
  <c r="B11" i="1"/>
  <c r="K10" i="1"/>
  <c r="H10" i="1"/>
  <c r="F10" i="1"/>
  <c r="D10" i="1"/>
  <c r="C10" i="1"/>
  <c r="B10" i="1"/>
  <c r="K9" i="1"/>
  <c r="H9" i="1"/>
  <c r="F9" i="1"/>
  <c r="D9" i="1"/>
  <c r="C9" i="1"/>
  <c r="B9" i="1"/>
  <c r="K8" i="1"/>
  <c r="H8" i="1"/>
  <c r="F8" i="1"/>
  <c r="D8" i="1"/>
  <c r="C8" i="1"/>
  <c r="B8" i="1"/>
  <c r="K7" i="1"/>
  <c r="H7" i="1"/>
  <c r="F7" i="1"/>
  <c r="D7" i="1"/>
  <c r="C7" i="1"/>
  <c r="B7" i="1"/>
  <c r="K6" i="1"/>
  <c r="H6" i="1"/>
  <c r="F6" i="1"/>
  <c r="D6" i="1"/>
  <c r="C6" i="1"/>
  <c r="B6" i="1"/>
  <c r="K5" i="1"/>
  <c r="H5" i="1"/>
  <c r="F5" i="1"/>
  <c r="D5" i="1"/>
  <c r="C5" i="1"/>
  <c r="B5" i="1"/>
  <c r="K4" i="1"/>
  <c r="H4" i="1"/>
  <c r="F4" i="1"/>
  <c r="D4" i="1"/>
  <c r="C4" i="1"/>
  <c r="B4" i="1"/>
</calcChain>
</file>

<file path=xl/sharedStrings.xml><?xml version="1.0" encoding="utf-8"?>
<sst xmlns="http://schemas.openxmlformats.org/spreadsheetml/2006/main" count="6910" uniqueCount="193">
  <si>
    <t>MetaCore Data</t>
  </si>
  <si>
    <t>CDDI Biomarkers Data</t>
  </si>
  <si>
    <t>#</t>
  </si>
  <si>
    <t>Network Object Name</t>
  </si>
  <si>
    <t>Gene Symbol</t>
  </si>
  <si>
    <t>Unit (protein or chem)</t>
  </si>
  <si>
    <t>Object Type</t>
  </si>
  <si>
    <t>Description</t>
  </si>
  <si>
    <t>Therapeutic Drugs</t>
  </si>
  <si>
    <t>CDDI Biomarker</t>
  </si>
  <si>
    <t>CDDI Biomarker Role</t>
  </si>
  <si>
    <t>CDDI Biomarker Type</t>
  </si>
  <si>
    <t>CDDI Gene Symbol</t>
  </si>
  <si>
    <t>Generic receptor</t>
  </si>
  <si>
    <t>Diagnosis; Differential Diagnosis; Disease Profiling; Monitoring Treatment Efficacy; Monitoring Treatment Toxicity; Predicting Drug Resistance; Predicting Treatment Efficacy ; Prognosis; Risk Factor; Staging; Toxicity Profiling</t>
  </si>
  <si>
    <t>Genomic; Proteomic</t>
  </si>
  <si>
    <t>Diagnosis; Monitoring Treatment Efficacy</t>
  </si>
  <si>
    <t>Proteomic</t>
  </si>
  <si>
    <t xml:space="preserve">Predicting Treatment Efficacy </t>
  </si>
  <si>
    <t>Genomic</t>
  </si>
  <si>
    <t>Diagnosis; Prognosis</t>
  </si>
  <si>
    <t>Receptor ligand</t>
  </si>
  <si>
    <t>Diagnosis; Differential Diagnosis; Disease Profiling; Monitoring Disease Progression; Monitoring Treatment Efficacy; Monitoring Treatment Toxicity; Predicting Drug Resistance; Predicting Treatment Efficacy ; Predicting Treatment Toxicity; Prognosis; Prognosis - Risk Stratification; Risk Factor; Selection for Therapy; Staging; Toxicity Profiling</t>
  </si>
  <si>
    <t>Diagnosis</t>
  </si>
  <si>
    <t>Monitoring Treatment Efficacy</t>
  </si>
  <si>
    <t>Prognosis</t>
  </si>
  <si>
    <t>Diagnosis; Disease Profiling; Prognosis</t>
  </si>
  <si>
    <t>Predicting Treatment Efficacy ; Prognosis</t>
  </si>
  <si>
    <t>Differential Diagnosis</t>
  </si>
  <si>
    <t>Risk Factor</t>
  </si>
  <si>
    <t>Generic binding protein</t>
  </si>
  <si>
    <t>Diagnosis; Differential Diagnosis; Disease Profiling; Monitoring Disease Progression; Monitoring Treatment Efficacy; Monitoring Treatment Toxicity; Predicting Drug Resistance; Predicting Treatment Efficacy ; Predicting Treatment Toxicity; Prognosis; Risk Factor; Staging; Toxicity Profiling</t>
  </si>
  <si>
    <t xml:space="preserve">Disease Profiling; Predicting Treatment Efficacy </t>
  </si>
  <si>
    <t xml:space="preserve">Diagnosis; Predicting Treatment Efficacy </t>
  </si>
  <si>
    <t>Disease Profiling</t>
  </si>
  <si>
    <t>Diagnosis; Differential Diagnosis; Monitoring Treatment Efficacy; Predicting Treatment Efficacy ; Prognosis; Prognosis - Risk Stratification; Risk Factor; Selection for Therapy; Staging</t>
  </si>
  <si>
    <t>Diagnosis; Differential Diagnosis; Disease Profiling; Monitoring Disease Progression; Monitoring Treatment Efficacy; Monitoring Treatment Toxicity; Predicting Treatment Efficacy ; Predicting Treatment Toxicity; Prognosis; Risk Factor; Selection for Therapy; Staging; Toxicity Profiling</t>
  </si>
  <si>
    <t>Diagnosis; Differential Diagnosis; Disease Profiling; Monitoring Disease Progression; Monitoring Treatment Efficacy; Monitoring Treatment Toxicity; Predicting Drug Resistance; Predicting Treatment Efficacy ; Prognosis; Risk Factor; Staging; Toxicity Profiling</t>
  </si>
  <si>
    <t>Predicting Treatment Efficacy ; Prognosis; Risk Factor; Staging</t>
  </si>
  <si>
    <t>Diagnosis; Differential Diagnosis; Disease Profiling; Monitoring Disease Progression; Monitoring Treatment Efficacy; Monitoring Treatment Toxicity; Predicting Treatment Efficacy ; Predicting Treatment Toxicity; Prognosis; Prognosis - Risk Stratification; Risk Factor; Staging; Toxicity Profiling</t>
  </si>
  <si>
    <t>Diagnosis; Disease Profiling; Risk Factor</t>
  </si>
  <si>
    <t>Prognosis; Staging</t>
  </si>
  <si>
    <t>Generic enzyme</t>
  </si>
  <si>
    <t>Diagnosis; Differential Diagnosis; Disease Profiling; Monitoring Disease Progression; Monitoring Treatment Efficacy; Monitoring Treatment Toxicity; Predicting Treatment Efficacy ; Predicting Treatment Toxicity; Prognosis; Risk Factor; Staging</t>
  </si>
  <si>
    <t>Diagnosis; Differential Diagnosis; Disease Profiling; Monitoring Disease Progression; Monitoring Treatment Efficacy; Monitoring Treatment Toxicity; Predicting Drug Resistance; Predicting Treatment Efficacy ; Predicting Treatment Toxicity; Prognosis; Risk Factor; Screening; Staging; Toxicity Profiling</t>
  </si>
  <si>
    <t>Diagnosis; Differential Diagnosis; Disease Profiling; Monitoring Disease Progression; Monitoring Treatment Efficacy; Monitoring Treatment Toxicity; Predicting Drug Resistance; Predicting Treatment Efficacy ; Predicting Treatment Toxicity; Prognosis; Prognosis - Risk Stratification; Risk Factor; Screening; Selection for Therapy; Staging; Toxicity Profiling</t>
  </si>
  <si>
    <t xml:space="preserve">Monitoring Treatment Efficacy; Predicting Treatment Efficacy </t>
  </si>
  <si>
    <t>Diagnosis; Differential Diagnosis; Disease Profiling; Monitoring Disease Progression; Monitoring Treatment Efficacy; Monitoring Treatment Toxicity; Predicting Treatment Efficacy ; Predicting Treatment Toxicity; Prognosis; Risk Factor; Staging; Toxicity Profiling</t>
  </si>
  <si>
    <t>Diagnosis; Disease Profiling</t>
  </si>
  <si>
    <t>Diagnosis; Predicting Treatment Toxicity</t>
  </si>
  <si>
    <t>Diagnosis; Differential Diagnosis; Disease Profiling; Monitoring Treatment Efficacy; Monitoring Treatment Toxicity; Predicting Treatment Efficacy ; Predicting Treatment Toxicity; Prognosis; Risk Factor</t>
  </si>
  <si>
    <t>Predicting Treatment Toxicity</t>
  </si>
  <si>
    <t>Diagnosis; Differential Diagnosis</t>
  </si>
  <si>
    <t>Biochemical; Genomic; Proteomic</t>
  </si>
  <si>
    <t>Diagnosis; Differential Diagnosis; Disease Profiling; Monitoring Disease Progression; Monitoring Treatment Efficacy; Monitoring Treatment Toxicity; Predicting Treatment Efficacy ; Predicting Treatment Toxicity; Prognosis; Prognosis - Risk Stratification; Risk Factor; Selection for Therapy; Staging; Toxicity Profiling</t>
  </si>
  <si>
    <t>Metalloprotease</t>
  </si>
  <si>
    <t>Diagnosis; Differential Diagnosis; Disease Profiling; Monitoring Disease Progression; Monitoring Treatment Efficacy; Monitoring Treatment Toxicity; Predicting Drug Resistance; Predicting Treatment Efficacy ; Predicting Treatment Toxicity; Prognosis; Prognosis - Risk Stratification; Risk Factor; Staging; Toxicity Profiling</t>
  </si>
  <si>
    <t>Diagnosis; Differential Diagnosis; Disease Profiling; Monitoring Disease Progression; Monitoring Treatment Efficacy; Predicting Treatment Efficacy ; Prognosis; Risk Factor; Toxicity Profiling</t>
  </si>
  <si>
    <t>Diagnosis; Predicting Treatment Efficacy ; Prognosis; Prognosis - Risk Stratification; Risk Factor; Selection for Therapy</t>
  </si>
  <si>
    <t>Biochemical; Proteomic</t>
  </si>
  <si>
    <t>Prognosis; Prognosis - Risk Stratification</t>
  </si>
  <si>
    <t>Generic protease</t>
  </si>
  <si>
    <t>Diagnosis; Differential Diagnosis; Disease Profiling; Monitoring Treatment Efficacy; Predicting Treatment Efficacy ; Predicting Treatment Toxicity; Prognosis; Risk Factor; Selection for Therapy</t>
  </si>
  <si>
    <t>Transporter</t>
  </si>
  <si>
    <t>Diagnosis; Differential Diagnosis; Disease Profiling; Monitoring Disease Progression; Monitoring Treatment Efficacy; Monitoring Treatment Toxicity; Predicting Drug Resistance; Predicting Treatment Efficacy ; Predicting Treatment Toxicity; Prognosis; Prognosis - Risk Stratification; Risk Factor; Selection for Therapy; Staging</t>
  </si>
  <si>
    <t xml:space="preserve">Diagnosis; Predicting Drug Resistance; Predicting Treatment Efficacy </t>
  </si>
  <si>
    <t>Prognosis - Risk Stratification</t>
  </si>
  <si>
    <t>Protein phosphatase</t>
  </si>
  <si>
    <t>Diagnosis; Differential Diagnosis; Disease Profiling; Monitoring Treatment Efficacy; Monitoring Treatment Toxicity; Predicting Drug Resistance; Predicting Treatment Efficacy ; Predicting Treatment Toxicity; Prognosis; Risk Factor; Selection for Therapy; Staging; Toxicity Profiling</t>
  </si>
  <si>
    <t>Prognosis; Risk Factor</t>
  </si>
  <si>
    <t>Diagnosis; Differential Diagnosis; Disease Profiling; Monitoring Disease Progression; Monitoring Treatment Efficacy; Monitoring Treatment Toxicity; Predicting Drug Resistance; Predicting Treatment Efficacy ; Predicting Treatment Toxicity; Prognosis; Risk Factor; Selection for Therapy; Staging; Toxicity Profiling</t>
  </si>
  <si>
    <t>Staging</t>
  </si>
  <si>
    <t>RNA</t>
  </si>
  <si>
    <t>Diagnosis; Disease Profiling; Prognosis; Risk Factor</t>
  </si>
  <si>
    <t>Diagnosis; Differential Diagnosis; Disease Profiling; Monitoring Disease Progression; Monitoring Treatment Efficacy; Monitoring Treatment Toxicity; Predicting Treatment Efficacy ; Prognosis; Risk Factor; Staging; Toxicity Profiling</t>
  </si>
  <si>
    <t>Diagnosis; Staging</t>
  </si>
  <si>
    <t>Diagnosis; Differential Diagnosis; Disease Profiling; Monitoring Treatment Efficacy; Predicting Treatment Efficacy ; Predicting Treatment Toxicity; Prognosis; Risk Factor; Staging</t>
  </si>
  <si>
    <t>Diagnosis; Disease Profiling; Monitoring Treatment Efficacy; Prognosis; Risk Factor</t>
  </si>
  <si>
    <t>Diagnosis; Disease Profiling; Monitoring Treatment Efficacy; Predicting Drug Resistance; Prognosis; Risk Factor; Toxicity Profiling</t>
  </si>
  <si>
    <t>Diagnosis; Differential Diagnosis; Disease Profiling; Monitoring Treatment Efficacy; Predicting Treatment Efficacy ; Prognosis; Risk Factor; Staging</t>
  </si>
  <si>
    <t>Diagnosis; Differential Diagnosis; Disease Profiling; Monitoring Treatment Efficacy; Monitoring Treatment Toxicity; Predicting Treatment Efficacy ; Prognosis; Risk Factor; Staging</t>
  </si>
  <si>
    <t>Diagnosis; Prognosis; Risk Factor</t>
  </si>
  <si>
    <t>Diagnosis; Differential Diagnosis; Disease Profiling; Monitoring Disease Progression; Monitoring Treatment Efficacy; Monitoring Treatment Toxicity; Predicting Drug Resistance; Predicting Treatment Efficacy ; Prognosis; Prognosis - Risk Stratification; Risk Factor; Staging</t>
  </si>
  <si>
    <t>Diagnosis; Differential Diagnosis; Disease Profiling; Monitoring Treatment Efficacy; Predicting Treatment Efficacy ; Predicting Treatment Toxicity; Prognosis</t>
  </si>
  <si>
    <t>Diagnosis; Differential Diagnosis; Disease Profiling; Monitoring Disease Progression; Monitoring Treatment Efficacy; Monitoring Treatment Toxicity; Predicting Treatment Efficacy ; Prognosis; Risk Factor; Staging</t>
  </si>
  <si>
    <t>Diagnosis; Differential Diagnosis; Disease Profiling; Prognosis</t>
  </si>
  <si>
    <t>Diagnosis; Differential Diagnosis; Disease Profiling; Monitoring Treatment Efficacy; Predicting Treatment Efficacy ; Prognosis</t>
  </si>
  <si>
    <t>Diagnosis; Differential Diagnosis; Disease Profiling; Monitoring Treatment Efficacy; Monitoring Treatment Toxicity; Predicting Treatment Efficacy ; Predicting Treatment Toxicity; Prognosis; Risk Factor; Staging</t>
  </si>
  <si>
    <t>Diagnosis; Differential Diagnosis; Prognosis; Staging</t>
  </si>
  <si>
    <t>Diagnosis; Differential Diagnosis; Disease Profiling; Monitoring Disease Progression; Monitoring Treatment Efficacy; Monitoring Treatment Toxicity; Predicting Drug Resistance; Predicting Treatment Efficacy ; Predicting Treatment Toxicity; Prognosis; Prognosis - Risk Stratification; Risk Factor; Staging</t>
  </si>
  <si>
    <t>Diagnosis; Differential Diagnosis; Disease Profiling; Monitoring Disease Progression; Monitoring Treatment Efficacy; Monitoring Treatment Toxicity; Predicting Treatment Efficacy ; Predicting Treatment Toxicity; Prognosis; Prognosis - Risk Stratification; Risk Factor; Staging</t>
  </si>
  <si>
    <t>Diagnosis; Disease Profiling; Monitoring Treatment Efficacy; Predicting Treatment Efficacy ; Prognosis; Risk Factor; Staging</t>
  </si>
  <si>
    <t>Diagnosis; Differential Diagnosis; Disease Profiling; Monitoring Disease Progression; Monitoring Treatment Efficacy; Monitoring Treatment Toxicity; Predicting Drug Resistance; Predicting Treatment Efficacy ; Predicting Treatment Toxicity; Prognosis; Risk Factor; Toxicity Profiling</t>
  </si>
  <si>
    <t>Diagnosis; Disease Profiling; Monitoring Treatment Efficacy; Monitoring Treatment Toxicity; Predicting Treatment Toxicity; Prognosis; Risk Factor</t>
  </si>
  <si>
    <t>Diagnosis; Disease Profiling; Monitoring Treatment Efficacy</t>
  </si>
  <si>
    <t>Diagnosis; Disease Profiling; Monitoring Treatment Efficacy; Monitoring Treatment Toxicity</t>
  </si>
  <si>
    <t>Diagnosis; Differential Diagnosis; Disease Profiling; Monitoring Disease Progression; Monitoring Treatment Efficacy; Monitoring Treatment Toxicity; Predicting Drug Resistance; Predicting Treatment Efficacy ; Prognosis; Risk Factor; Staging</t>
  </si>
  <si>
    <t>Diagnosis; Differential Diagnosis; Disease Profiling; Monitoring Treatment Efficacy; Predicting Treatment Efficacy ; Prognosis; Risk Factor; Staging; Toxicity Profiling</t>
  </si>
  <si>
    <t>Diagnosis; Differential Diagnosis; Disease Profiling; Monitoring Treatment Efficacy; Prognosis; Staging</t>
  </si>
  <si>
    <t>Diagnosis; Differential Diagnosis; Disease Profiling; Monitoring Treatment Efficacy; Monitoring Treatment Toxicity; Predicting Treatment Efficacy ; Prognosis; Risk Factor; Staging; Toxicity Profiling</t>
  </si>
  <si>
    <t>Diagnosis; Differential Diagnosis; Staging</t>
  </si>
  <si>
    <t>Homo sapiens</t>
  </si>
  <si>
    <t>Entrez Gene ID</t>
  </si>
  <si>
    <t>Symbol</t>
  </si>
  <si>
    <t>Full Name</t>
  </si>
  <si>
    <t>Synonyms</t>
  </si>
  <si>
    <t>Species</t>
  </si>
  <si>
    <t>4313</t>
  </si>
  <si>
    <t>matrix metallopeptidase 2</t>
  </si>
  <si>
    <t>CLG4; CLG4A; MMP-2; MMP-II; MONA; TBE-1;matrix metallopeptidase 2 (gelatinase A, 72kDa gelatinase, 72kDa type IV collagenase); matrix metalloproteinase-II; neutrophil gelatinase; collagenase type IV-A; matrix metalloproteinase-2</t>
  </si>
  <si>
    <t>This gene is a member of the matrix metalloproteinase (MMP) gene family, that are zinc-dependent enzymes capable of cleaving components of the extracellular matrix and molecules involved in signal transduction. The protein encoded by this gene is a gelatinase A, type IV collagenase, that contains three fibronectin type II repeats in its catalytic site that allow binding of denatured type IV and V collagen and elastin. Unlike most MMP family members, activation of this protein can occur on the cell membrane. This enzyme can be activated extracellularly by proteases, or, intracellulary by its S-glutathiolation with no requirement for proteolytical removal of the pro-domain. This protein is thought to be involved in multiple pathways including roles in the nervous system, endometrial menstrual breakdown, regulation of vascularization, and metastasis. Mutations in this gene have been associated with Winchester syndrome and Nodulosis-Arthropathy-Osteolysis (NAO) syndrome. Alternative splicing results in multiple transcript variants encoding different isoforms. [provided by RefSeq, Oct 2014]</t>
  </si>
  <si>
    <t>406947</t>
  </si>
  <si>
    <t>microRNA 155</t>
  </si>
  <si>
    <t>MIRN155; hsa-miR-155-3p; hsa-miR-155-5p; hsa-mir-155; miRNA155; mir-155</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</si>
  <si>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RefSeq represents the predicted microRNA stem-loop. [provided by RefSeq, Sep 2009]</t>
  </si>
  <si>
    <t>7295</t>
  </si>
  <si>
    <t>thioredoxin</t>
  </si>
  <si>
    <t>TRDX; TRX; TRX1;TXN delta 3; thioredoxin delta 3; SASP; ATL-derived factor; surface-associated sulphydryl protein; ADF; testicular tissue protein Li 199</t>
  </si>
  <si>
    <t>The protein encoded by this gene acts as a homodimer and is involved in many redox reactions. The encoded protein is active in the reversible S-nitrosylation of cysteines in certain proteins, which is part of the response to intracellular nitric oxide. This protein is found in the cytoplasm. Two transcript variants encoding different isoforms have been found for this gene. [provided by RefSeq, Oct 2011]</t>
  </si>
  <si>
    <t>3458</t>
  </si>
  <si>
    <t>interferon gamma</t>
  </si>
  <si>
    <t>IFG; IFI; IMD69;IFN-gamma; immune interferon</t>
  </si>
  <si>
    <t>This gene encodes a soluble cytokine that is a member of the type II interferon class. The encoded protein is secreted by cells of both the innate and adaptive immune systems. The active protein is a homodimer that binds to the interferon gamma receptor which triggers a cellular response to viral and microbial infections. Mutations in this gene are associated with an increased susceptibility to viral, bacterial and parasitic infections and to several autoimmune diseases. [provided by RefSeq, Dec 2015]</t>
  </si>
  <si>
    <t>574447</t>
  </si>
  <si>
    <t>microRNA 146b</t>
  </si>
  <si>
    <t>MIRN146B; hsa-miR-146b-3p; hsa-miR-146b-5p; hsa-mir-146b; miRNA146B; mir-146b</t>
  </si>
  <si>
    <t>969</t>
  </si>
  <si>
    <t>CD69 molecule</t>
  </si>
  <si>
    <t>AIM; BL-AC/P26; CLEC2C; EA1; GP32/28; MLR-3;CD69 antigen (p60, early T-cell activation antigen); C-type lectin domain family 2, member C; activation inducer molecule (AIM/CD69); leukocyte surface antigen Leu-23; early T-cell activation antigen p60; early lymphocyte activation antigen</t>
  </si>
  <si>
    <t>This gene encodes a member of the calcium dependent lectin superfamily of type II transmembrane receptors. Expression of the encoded protein is induced upon activation of T lymphocytes, and may play a role in proliferation. Furthermore, the protein may act to transmit signals in natural killer cells and platelets. [provided by RefSeq, Aug 2011]</t>
  </si>
  <si>
    <t>406938</t>
  </si>
  <si>
    <t>microRNA 146a</t>
  </si>
  <si>
    <t>MIRN146; MIRN146A; hsa-miR-146a-3p; hsa-miR-146a-5p; hsa-mir-146a; miR-146a; miRNA146A</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</si>
  <si>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Some of the targets of the encoded miRNA are the transcripts for tumor necrosis factor, interleukin 1 receptor-associated kinase 1, interleukin 1-beta, TNF receptor-associated factor 6, and complement factor H. The RefSeq represents the predicted microRNA stem-loop. [provided by RefSeq, Sep 2015]</t>
  </si>
  <si>
    <t>29126</t>
  </si>
  <si>
    <t>CD274 molecule</t>
  </si>
  <si>
    <t>B7-H; B7H1; PD-L1; PDCD1L1; PDCD1LG1; PDL1; hPD-L1;CD274 antigen; PDCD1 ligand 1; B7 homolog 1</t>
  </si>
  <si>
    <t>This gene encodes an immune inhibitory receptor ligand that is expressed by hematopoietic and non-hematopoietic cells, such as T cells and B cells and various types of tumor cells. The encoded protein is a type I transmembrane protein that has immunoglobulin V-like and C-like domains. Interaction of this ligand with its receptor inhibits T-cell activation and cytokine production. During infection or inflammation of normal tissue, this interaction is important for preventing autoimmunity by maintaining homeostasis of the immune response. In tumor microenvironments, this interaction provides an immune escape for tumor cells through cytotoxic T-cell inactivation. Expression of this gene in tumor cells is considered to be prognostic in many types of human malignancies, including colon cancer and renal cell carcinoma. Alternative splicing results in multiple transcript variants. [provided by RefSeq, Sep 2015]</t>
  </si>
  <si>
    <t>3459</t>
  </si>
  <si>
    <t>interferon gamma receptor 1</t>
  </si>
  <si>
    <t>CD119; IFNGR; IMD27A; IMD27B;AVP, type 2; IFN-gamma-R-alpha; interferon-gamma receptor alpha chain; CD119 antigen; immune interferon receptor 1; antiviral protein, type 2; IFN-gamma receptor 1; IFN-gamma-R1; CDw119</t>
  </si>
  <si>
    <t>This gene (IFNGR1) encodes the ligand-binding chain (alpha) of the gamma interferon receptor. Human interferon-gamma receptor is a heterodimer of IFNGR1 and IFNGR2. A genetic variation in IFNGR1 is associated with susceptibility to Helicobacter pylori infection. In addition, defects in IFNGR1 are a cause of mendelian susceptibility to mycobacterial disease, also known as familial disseminated atypical mycobacterial infection. [provided by RefSeq, Jul 2008]</t>
  </si>
  <si>
    <t>407008</t>
  </si>
  <si>
    <t>microRNA 223</t>
  </si>
  <si>
    <t>MIRN223; hsa-miR-223-3p; hsa-miR-223-5p; hsa-mir-223; miRNA223; mir-223</t>
  </si>
  <si>
    <t>3460</t>
  </si>
  <si>
    <t>interferon gamma receptor 2</t>
  </si>
  <si>
    <t>AF-1; IFGR2; IFNGT1; IMD28;IFN-gamma-R-beta; interferon gamma receptor beta chain; interferon gamma receptor accessory factor-1; IFN-gamma-R2; interferon gamma transducer 1; IFN-gamma receptor 2</t>
  </si>
  <si>
    <t>This gene (IFNGR2) encodes the non-ligand-binding beta chain of the gamma interferon receptor. Human interferon-gamma receptor is a heterodimer of IFNGR1 and IFNGR2. Defects in IFNGR2 are a cause of mendelian susceptibility to mycobacterial disease (MSMD), also known as familial disseminated atypical mycobacterial infection. MSMD is a genetically heterogeneous disease with autosomal recessive, autosomal dominant or X-linked inheritance. [provided by RefSeq, Jul 2008]</t>
  </si>
  <si>
    <t>1493</t>
  </si>
  <si>
    <t>cytotoxic T-lymphocyte associated protein 4</t>
  </si>
  <si>
    <t>ALPS5; CD; CD152; CELIAC3; CTLA-4; GRD4; GSE; IDDM12;cytotoxic T lymphocyte associated antigen 4 short spliced form; ligand and transmembrane spliced cytotoxic T lymphocyte associated antigen 4; celiac disease 3; cytotoxic T-lymphocyte-associated serine esterase-4; insulin-dependent diabetes mellitus 12</t>
  </si>
  <si>
    <t>This gene is a member of the immunoglobulin superfamily and encodes a protein which transmits an inhibitory signal to T cells. The protein contains a V domain, a transmembrane domain, and a cytoplasmic tail. Alternate transcriptional splice variants, encoding different isoforms, have been characterized. The membrane-bound isoform functions as a homodimer interconnected by a disulfide bond, while the soluble isoform functions as a monomer. Mutations in this gene have been associated with insulin-dependent diabetes mellitus, Graves disease, Hashimoto thyroiditis, celiac disease, systemic lupus erythematosus, thyroid-associated orbitopathy, and other autoimmune diseases. [provided by RefSeq, Jul 2008]</t>
  </si>
  <si>
    <t>6037</t>
  </si>
  <si>
    <t>ribonuclease A family member 3</t>
  </si>
  <si>
    <t>ECP; RAF1; RNS3;cytotoxic ribonuclease; RNase 3; ribonuclease 3; ribonuclease, RNase A family, 3</t>
  </si>
  <si>
    <t>The protein encoded by this gene belongs to the pancreatic ribonuclease family, a subset of the ribonuclease A superfamily. The protein exhibits antimicrobial activity against pathogenic bacteria [provided by RefSeq, Oct 2014]</t>
  </si>
  <si>
    <t>960</t>
  </si>
  <si>
    <t>CD44 molecule (Indian blood group)</t>
  </si>
  <si>
    <t>CDW44; CSPG8; ECMR-III; HCELL; HUTCH-I; IN; LHR; MC56; MDU2; MDU3; MIC4; Pgp1;Indian blood group antigen; chondroitin sulfate proteoglycan 8; GP90 lymphocyte homing/adhesion receptor; hematopoietic cell E- and L-selectin ligand; hyaluronate receptor; heparan sulfate proteoglycan; Hermes antigen; cell surface glycoprotein CD44; homing function and Indian blood group system; epican; extracellular matrix receptor III; phagocytic glycoprotein 1; soluble CD44</t>
  </si>
  <si>
    <t>The protein encoded by this gene is a cell-surface glycoprotein involved in cell-cell interactions, cell adhesion and migration. It is a receptor for hyaluronic acid (HA) and can also interact with other ligands, such as osteopontin, collagens, and matrix metalloproteinases (MMPs). This protein participates in a wide variety of cellular functions including lymphocyte activation, recirculation and homing, hematopoiesis, and tumor metastasis. Transcripts for this gene undergo complex alternative splicing that results in many functionally distinct isoforms, however, the full length nature of some of these variants has not been determined. Alternative splicing is the basis for the structural and functional diversity of this protein, and may be related to tumor metastasis. [provided by RefSeq, Jul 2008]</t>
  </si>
  <si>
    <t>3119</t>
  </si>
  <si>
    <t>major histocompatibility complex, class II, DQ beta 1</t>
  </si>
  <si>
    <t>CELIAC1; HLA-DQB; IDDM1;MHC class II antigen DQB1; MHC class II antigen HLA-DQ-beta-1; MHC class II HLA-DQ beta glycoprotein; MHC class II DQ beta chain</t>
  </si>
  <si>
    <t>HLA-DQB1 belongs to the HLA class II beta chain paralogs. This class II molecule is a heterodimer consisting of an alpha (DQA) and a beta chain (DQB), both anchored in the membrane. It plays a central role in the immune system by presenting peptides derived from extracellular proteins. Class II molecules are expressed in antigen presenting cells (APC: B lymphocytes, dendritic cells, macrophages). The beta chain is approximately 26-28 kDa and it contains six exons. Exon 1 encodes the leader peptide, exons 2 and 3 encode the two extracellular domains, exon 4 encodes the transmembrane domain and exon 5 encodes the cytoplasmic tail. Within the DQ molecule both the alpha chain and the beta chain contain the polymorphisms specifying the peptide binding specificities, resulting in up to four different molecules. Typing for these polymorphisms is routinely done for bone marrow transplantation. Alternative splicing results in multiple transcript variants. [provided by RefSeq, Sep 2011]</t>
  </si>
  <si>
    <t>1605</t>
  </si>
  <si>
    <t>dystroglycan 1</t>
  </si>
  <si>
    <t>156DAG; A3a; AGRNR; DAG; LGMDR16; MDDGA9; MDDGC7; MDDGC9;dystroglycan 1 (dystrophin-associated glycoprotein 1)</t>
  </si>
  <si>
    <t>This gene encodes dystroglycan, a central component of dystrophin-glycoprotein complex that links the extracellular matrix and the cytoskeleton in the skeletal muscle. The encoded preproprotein undergoes O- and N-glycosylation, and proteolytic processing to generate alpha and beta subunits. Certain mutations in this gene are known to cause distinct forms of muscular dystrophy. Alternative splicing results in multiple transcript variants, all encoding the same protein. [provided by RefSeq, Nov 2015]</t>
  </si>
  <si>
    <t>4318</t>
  </si>
  <si>
    <t>matrix metallopeptidase 9</t>
  </si>
  <si>
    <t>CLG4B; GELB; MANDP2; MMP-9;matrix metallopeptidase 9 (gelatinase B, 92kDa gelatinase, 92kDa type IV collagenase); macrophage gelatinase; type V collagenase; matrix metalloproteinase 9 (gelatinase B, 92kDa gelatinase, 92kDa type IV collagenase)</t>
  </si>
  <si>
    <t>Proteins of the matrix metalloproteinase (MMP) family are involved in the breakdown of extracellular matrix in normal physiological processes, such as embryonic development, reproduction, and tissue remodeling, as well as in disease processes, such as arthritis and metastasis. Most MMP's are secreted as inactive proproteins which are activated when cleaved by extracellular proteinases. The enzyme encoded by this gene degrades type IV and V collagens. Studies in rhesus monkeys suggest that the enzyme is involved in IL-8-induced mobilization of hematopoietic progenitor cells from bone marrow, and murine studies suggest a role in tumor-associated tissue remodeling. [provided by RefSeq, Jul 2008]</t>
  </si>
  <si>
    <t>4153</t>
  </si>
  <si>
    <t>mannose binding lectin 2</t>
  </si>
  <si>
    <t>COLEC1; HSMBPC; MBL; MBL2D; MBP; MBP-C; MBP1; MBPD;mannose-binding lectin 2, soluble (opsonic defect); mannose-binding lectin (protein C) 2, soluble (opsonic defect); mannan-binding lectin; collectin-1</t>
  </si>
  <si>
    <t>This gene encodes the soluble mannose-binding lectin or mannose-binding protein found in serum. The protein encoded belongs to the collectin family and is an important element in the innate immune system. The protein recognizes and binds to mannose and N-acetylglucosamine on many microorganisms, including bacteria, yeast, and viruses including influenza virus, HIV and SARS-CoV. This binding activates the classical complement pathway. Deficiencies of this gene have been associated with susceptibility to autoimmune and infectious diseases. [provided by RefSeq, Jun 2020]</t>
  </si>
  <si>
    <t>5788</t>
  </si>
  <si>
    <t>protein tyrosine phosphatase receptor type C</t>
  </si>
  <si>
    <t>B220; CD45; CD45R; GP180; L-CA; LCA; LY5; T200;T200 leukocyte common antigen; CD45 antigen; protein tyrosine phosphatase, receptor type, c polypeptide; T200 glycoprotein</t>
  </si>
  <si>
    <t>The protein encoded by this gene is a member of the protein tyrosine phosphatase (PTP) family. PTPs are known to be signaling molecules that regulate a variety of cellular processes including cell growth, differentiation, mitosis, and oncogenic transformation. This PTP contains an extracellular domain, a single transmembrane segment and two tandem intracytoplasmic catalytic domains, and thus is classified as a receptor type PTP. This PTP has been shown to be an essential regulator of T- and B-cell antigen receptor signaling. It functions through either direct interaction with components of the antigen receptor complexes, or by activating various Src family kinases required for the antigen receptor signaling. This PTP also suppresses JAK kinases, and thus functions as a regulator of cytokine receptor signaling. Alternatively spliced transcripts variants of this gene, which encode distinct isoforms, have been reported. [provided by RefSeq, Jun 2012]</t>
  </si>
  <si>
    <r>
      <t>Rima Hajjo</t>
    </r>
    <r>
      <rPr>
        <vertAlign val="superscript"/>
        <sz val="12"/>
        <color theme="1"/>
        <rFont val="Arial"/>
        <family val="2"/>
      </rPr>
      <t>1,2,3*</t>
    </r>
    <r>
      <rPr>
        <sz val="12"/>
        <color theme="1"/>
        <rFont val="Arial"/>
        <family val="2"/>
      </rPr>
      <t>, Dima A. Sabbah</t>
    </r>
    <r>
      <rPr>
        <vertAlign val="superscript"/>
        <sz val="12"/>
        <color theme="1"/>
        <rFont val="Arial"/>
        <family val="2"/>
      </rPr>
      <t>1</t>
    </r>
    <r>
      <rPr>
        <sz val="12"/>
        <color theme="1"/>
        <rFont val="Arial"/>
        <family val="2"/>
      </rPr>
      <t>, Sanaa K. Bardaweel</t>
    </r>
    <r>
      <rPr>
        <vertAlign val="superscript"/>
        <sz val="12"/>
        <color theme="1"/>
        <rFont val="Arial"/>
        <family val="2"/>
      </rPr>
      <t>4</t>
    </r>
    <r>
      <rPr>
        <sz val="12"/>
        <color theme="1"/>
        <rFont val="Arial"/>
        <family val="2"/>
      </rPr>
      <t>, Alexander Tropsha</t>
    </r>
    <r>
      <rPr>
        <vertAlign val="superscript"/>
        <sz val="12"/>
        <color theme="1"/>
        <rFont val="Arial"/>
        <family val="2"/>
      </rPr>
      <t>2</t>
    </r>
  </si>
  <si>
    <r>
      <t>1</t>
    </r>
    <r>
      <rPr>
        <sz val="12"/>
        <color theme="1"/>
        <rFont val="Arial"/>
        <family val="2"/>
      </rPr>
      <t>Department of Pharmacy, Faculty of Pharmacy, Al-Zaytoonah University of Jordan, P.O. Box 130 Amman 11733 Jordan.</t>
    </r>
  </si>
  <si>
    <r>
      <t>2</t>
    </r>
    <r>
      <rPr>
        <sz val="12"/>
        <color theme="1"/>
        <rFont val="Arial"/>
        <family val="2"/>
      </rPr>
      <t>Laboratory for Molecular Modeling, Division of Chemical Biology and Medicinal Chemistry, Eshelman School of Pharmacy, The University of North Carlina at Chapel Hill.</t>
    </r>
  </si>
  <si>
    <r>
      <t>3</t>
    </r>
    <r>
      <rPr>
        <sz val="12"/>
        <color theme="1"/>
        <rFont val="Arial"/>
        <family val="2"/>
      </rPr>
      <t>National Center for Epidemics and Communicable Disease Control, Amman, Jordan.</t>
    </r>
  </si>
  <si>
    <r>
      <t>4</t>
    </r>
    <r>
      <rPr>
        <sz val="12"/>
        <color theme="1"/>
        <rFont val="Arial"/>
        <family val="2"/>
      </rPr>
      <t>Department of Pharmaceutical Sciences, School of Pharmacy, University of Jordan, Amman 11942, Jordan</t>
    </r>
  </si>
  <si>
    <t xml:space="preserve">*Correspondence </t>
  </si>
  <si>
    <t>Shedding the Light on Post-vaccine Myocarditis and Pericarditis in COVID-19 and non-COVID-19 Vaccine Recipients</t>
  </si>
  <si>
    <t>Table S1. The list of myocarditis biomarkers from MetaCore.</t>
  </si>
  <si>
    <t>Table S2. The list of common biomarkers for myocarditis and virus infection from MetaCore</t>
  </si>
  <si>
    <t>E-mail: r.hajjo@zuj.edu.jo</t>
  </si>
  <si>
    <t>Rima Hajjo, PhD</t>
  </si>
  <si>
    <t>This table contains all 41 myocarditis biomarkers and their different products of protein isoforms.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</si>
</sst>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04"/>
      <scheme val="minor"/>
    </font>
    <font>
      <sz val="16"/>
      <color indexed="8"/>
      <name val="Arial"/>
      <family val="2"/>
    </font>
    <font>
      <b/>
      <sz val="14"/>
      <color indexed="9"/>
      <name val="Arial"/>
      <family val="2"/>
    </font>
    <font>
      <b/>
      <sz val="10"/>
      <color indexed="9"/>
      <name val="Arial"/>
      <family val="2"/>
    </font>
    <font>
      <sz val="10"/>
      <color indexed="8"/>
      <name val="Arial"/>
      <family val="2"/>
    </font>
    <font>
      <u/>
      <sz val="10"/>
      <color indexed="12"/>
      <name val="Arial"/>
      <family val="2"/>
    </font>
    <font>
      <sz val="10"/>
      <name val="Arial"/>
      <family val="2"/>
    </font>
    <font>
      <b/>
      <sz val="12"/>
      <color theme="1"/>
      <name val="Arial"/>
      <family val="2"/>
    </font>
    <font>
      <i/>
      <sz val="12"/>
      <color theme="1"/>
      <name val="Arial"/>
      <family val="2"/>
    </font>
    <font>
      <sz val="12"/>
      <color theme="1"/>
      <name val="Arial"/>
      <family val="2"/>
    </font>
    <font>
      <vertAlign val="superscript"/>
      <sz val="12"/>
      <color theme="1"/>
      <name val="Arial"/>
      <family val="2"/>
    </font>
  </fonts>
  <fills count="5">
    <fill>
      <patternFill patternType="none"/>
    </fill>
    <fill>
      <patternFill patternType="gray125"/>
    </fill>
    <fill>
      <patternFill patternType="solid">
        <fgColor indexed="17"/>
        <bgColor indexed="64"/>
      </patternFill>
    </fill>
    <fill>
      <patternFill patternType="solid">
        <fgColor indexed="21"/>
        <bgColor indexed="64"/>
      </patternFill>
    </fill>
    <fill>
      <patternFill patternType="solid">
        <fgColor indexed="23"/>
        <bgColor indexed="64"/>
      </patternFill>
    </fill>
  </fills>
  <borders count="7">
    <border>
      <left/>
      <right/>
      <top/>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bottom style="medium">
        <color indexed="8"/>
      </bottom>
      <diagonal/>
    </border>
    <border>
      <left/>
      <right/>
      <top style="thin">
        <color indexed="8"/>
      </top>
      <bottom/>
      <diagonal/>
    </border>
  </borders>
  <cellStyleXfs count="2">
    <xf numFmtId="0" fontId="0" fillId="0" borderId="0"/>
    <xf numFmtId="0" fontId="6" fillId="0" borderId="0"/>
  </cellStyleXfs>
  <cellXfs count="24">
    <xf numFmtId="0" fontId="0" fillId="0" borderId="0" xfId="0"/>
    <xf numFmtId="0" fontId="3" fillId="4" borderId="2" xfId="0" applyFont="1" applyFill="1" applyBorder="1" applyAlignment="1">
      <alignment horizontal="center" vertical="center" wrapText="1"/>
    </xf>
    <xf numFmtId="0" fontId="4" fillId="0" borderId="4" xfId="0" applyFont="1" applyBorder="1" applyAlignment="1">
      <alignment vertical="top" wrapText="1"/>
    </xf>
    <xf numFmtId="0" fontId="5" fillId="0" borderId="4" xfId="0" applyFont="1" applyBorder="1" applyAlignment="1">
      <alignment vertical="top" wrapText="1"/>
    </xf>
    <xf numFmtId="0" fontId="5" fillId="0" borderId="3" xfId="0" applyFont="1" applyBorder="1" applyAlignment="1">
      <alignment vertical="top" wrapText="1"/>
    </xf>
    <xf numFmtId="0" fontId="6" fillId="0" borderId="0" xfId="1"/>
    <xf numFmtId="0" fontId="3" fillId="4" borderId="2" xfId="1" applyFont="1" applyFill="1" applyBorder="1" applyAlignment="1">
      <alignment horizontal="center" vertical="center" wrapText="1"/>
    </xf>
    <xf numFmtId="0" fontId="4" fillId="0" borderId="4" xfId="1" applyFont="1" applyBorder="1" applyAlignment="1">
      <alignment vertical="top" wrapText="1"/>
    </xf>
    <xf numFmtId="0" fontId="5" fillId="0" borderId="4" xfId="1" applyFont="1" applyBorder="1" applyAlignment="1">
      <alignment vertical="top" wrapText="1"/>
    </xf>
    <xf numFmtId="0" fontId="7" fillId="0" borderId="0" xfId="0" applyFont="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horizontal="justify" vertical="center"/>
    </xf>
    <xf numFmtId="0" fontId="7" fillId="0" borderId="0" xfId="0" applyFont="1" applyAlignment="1">
      <alignment horizontal="justify" vertical="center"/>
    </xf>
    <xf numFmtId="0" fontId="9" fillId="0" borderId="0" xfId="0" applyFont="1" applyAlignment="1">
      <alignment horizontal="justify" vertical="center"/>
    </xf>
    <xf numFmtId="0" fontId="9" fillId="0" borderId="0" xfId="0" applyFont="1"/>
    <xf numFmtId="0" fontId="2" fillId="2" borderId="1" xfId="0" applyFont="1" applyFill="1" applyBorder="1"/>
    <xf numFmtId="0" fontId="2" fillId="3" borderId="1" xfId="0" applyFont="1" applyFill="1" applyBorder="1"/>
    <xf numFmtId="0" fontId="1" fillId="0" borderId="5" xfId="0" applyFont="1" applyBorder="1" applyAlignment="1"/>
    <xf numFmtId="0" fontId="0" fillId="0" borderId="5" xfId="0" applyBorder="1" applyAlignment="1"/>
    <xf numFmtId="0" fontId="1" fillId="0" borderId="0" xfId="1" applyFont="1"/>
    <xf numFmtId="0" fontId="6" fillId="0" borderId="0" xfId="1"/>
    <xf numFmtId="0" fontId="6" fillId="0" borderId="6" xfId="1" applyBorder="1" applyAlignment="1"/>
    <xf numFmtId="0" fontId="0" fillId="0" borderId="6" xfId="0" applyBorder="1" applyAlignment="1"/>
  </cellXfs>
  <cellStyles count="2">
    <cellStyle name="Normal" xfId="0" builtinId="0"/>
    <cellStyle name="Normal 2" xfId="1" xr:uid="{8D1825DB-D90D-9643-A96D-EAAEEC3C8C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B4D6-51DD-9A4D-BF53-19CF7FF43C3C}">
  <dimension ref="A1:A12"/>
  <sheetViews>
    <sheetView workbookViewId="0">
      <selection activeCell="A16" sqref="A16"/>
    </sheetView>
  </sheetViews>
  <sheetFormatPr baseColWidth="10" defaultRowHeight="15" x14ac:dyDescent="0.2"/>
  <cols>
    <col min="1" max="1" width="113.5" customWidth="1"/>
  </cols>
  <sheetData>
    <row r="1" spans="1:1" ht="16" x14ac:dyDescent="0.2">
      <c r="A1" s="9" t="s">
        <v>187</v>
      </c>
    </row>
    <row r="2" spans="1:1" ht="16" x14ac:dyDescent="0.2">
      <c r="A2" s="10"/>
    </row>
    <row r="3" spans="1:1" ht="18" x14ac:dyDescent="0.2">
      <c r="A3" s="11" t="s">
        <v>181</v>
      </c>
    </row>
    <row r="4" spans="1:1" ht="19" x14ac:dyDescent="0.2">
      <c r="A4" s="12" t="s">
        <v>182</v>
      </c>
    </row>
    <row r="5" spans="1:1" ht="36" x14ac:dyDescent="0.2">
      <c r="A5" s="12" t="s">
        <v>183</v>
      </c>
    </row>
    <row r="6" spans="1:1" ht="19" x14ac:dyDescent="0.2">
      <c r="A6" s="12" t="s">
        <v>184</v>
      </c>
    </row>
    <row r="7" spans="1:1" ht="19" x14ac:dyDescent="0.2">
      <c r="A7" s="12" t="s">
        <v>185</v>
      </c>
    </row>
    <row r="9" spans="1:1" ht="17" x14ac:dyDescent="0.2">
      <c r="A9" s="13" t="s">
        <v>186</v>
      </c>
    </row>
    <row r="11" spans="1:1" ht="17" x14ac:dyDescent="0.2">
      <c r="A11" s="14" t="s">
        <v>191</v>
      </c>
    </row>
    <row r="12" spans="1:1" ht="16" x14ac:dyDescent="0.2">
      <c r="A12" s="15" t="s">
        <v>190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3942-4F6D-9A4B-8089-6555AFEF567A}">
  <dimension ref="A1:K2264"/>
  <sheetViews>
    <sheetView zoomScale="90" workbookViewId="0">
      <pane xSplit="2" ySplit="3" topLeftCell="C51" activePane="bottomRight" state="frozen"/>
      <selection pane="topRight"/>
      <selection pane="bottomLeft"/>
      <selection pane="bottomRight" activeCell="B3" sqref="B1:B1048576"/>
    </sheetView>
  </sheetViews>
  <sheetFormatPr baseColWidth="10" defaultRowHeight="15" x14ac:dyDescent="0.2"/>
  <cols>
    <col min="1" max="1" width="7" customWidth="1"/>
    <col min="2" max="11" width="14" customWidth="1"/>
    <col min="12" max="253" width="8.83203125" customWidth="1"/>
    <col min="254" max="254" width="7" customWidth="1"/>
    <col min="255" max="265" width="14" customWidth="1"/>
    <col min="266" max="267" width="10" customWidth="1"/>
    <col min="268" max="509" width="8.83203125" customWidth="1"/>
    <col min="510" max="510" width="7" customWidth="1"/>
    <col min="511" max="521" width="14" customWidth="1"/>
    <col min="522" max="523" width="10" customWidth="1"/>
    <col min="524" max="765" width="8.83203125" customWidth="1"/>
    <col min="766" max="766" width="7" customWidth="1"/>
    <col min="767" max="777" width="14" customWidth="1"/>
    <col min="778" max="779" width="10" customWidth="1"/>
    <col min="780" max="1021" width="8.83203125" customWidth="1"/>
    <col min="1022" max="1022" width="7" customWidth="1"/>
    <col min="1023" max="1033" width="14" customWidth="1"/>
    <col min="1034" max="1035" width="10" customWidth="1"/>
    <col min="1036" max="1277" width="8.83203125" customWidth="1"/>
    <col min="1278" max="1278" width="7" customWidth="1"/>
    <col min="1279" max="1289" width="14" customWidth="1"/>
    <col min="1290" max="1291" width="10" customWidth="1"/>
    <col min="1292" max="1533" width="8.83203125" customWidth="1"/>
    <col min="1534" max="1534" width="7" customWidth="1"/>
    <col min="1535" max="1545" width="14" customWidth="1"/>
    <col min="1546" max="1547" width="10" customWidth="1"/>
    <col min="1548" max="1789" width="8.83203125" customWidth="1"/>
    <col min="1790" max="1790" width="7" customWidth="1"/>
    <col min="1791" max="1801" width="14" customWidth="1"/>
    <col min="1802" max="1803" width="10" customWidth="1"/>
    <col min="1804" max="2045" width="8.83203125" customWidth="1"/>
    <col min="2046" max="2046" width="7" customWidth="1"/>
    <col min="2047" max="2057" width="14" customWidth="1"/>
    <col min="2058" max="2059" width="10" customWidth="1"/>
    <col min="2060" max="2301" width="8.83203125" customWidth="1"/>
    <col min="2302" max="2302" width="7" customWidth="1"/>
    <col min="2303" max="2313" width="14" customWidth="1"/>
    <col min="2314" max="2315" width="10" customWidth="1"/>
    <col min="2316" max="2557" width="8.83203125" customWidth="1"/>
    <col min="2558" max="2558" width="7" customWidth="1"/>
    <col min="2559" max="2569" width="14" customWidth="1"/>
    <col min="2570" max="2571" width="10" customWidth="1"/>
    <col min="2572" max="2813" width="8.83203125" customWidth="1"/>
    <col min="2814" max="2814" width="7" customWidth="1"/>
    <col min="2815" max="2825" width="14" customWidth="1"/>
    <col min="2826" max="2827" width="10" customWidth="1"/>
    <col min="2828" max="3069" width="8.83203125" customWidth="1"/>
    <col min="3070" max="3070" width="7" customWidth="1"/>
    <col min="3071" max="3081" width="14" customWidth="1"/>
    <col min="3082" max="3083" width="10" customWidth="1"/>
    <col min="3084" max="3325" width="8.83203125" customWidth="1"/>
    <col min="3326" max="3326" width="7" customWidth="1"/>
    <col min="3327" max="3337" width="14" customWidth="1"/>
    <col min="3338" max="3339" width="10" customWidth="1"/>
    <col min="3340" max="3581" width="8.83203125" customWidth="1"/>
    <col min="3582" max="3582" width="7" customWidth="1"/>
    <col min="3583" max="3593" width="14" customWidth="1"/>
    <col min="3594" max="3595" width="10" customWidth="1"/>
    <col min="3596" max="3837" width="8.83203125" customWidth="1"/>
    <col min="3838" max="3838" width="7" customWidth="1"/>
    <col min="3839" max="3849" width="14" customWidth="1"/>
    <col min="3850" max="3851" width="10" customWidth="1"/>
    <col min="3852" max="4093" width="8.83203125" customWidth="1"/>
    <col min="4094" max="4094" width="7" customWidth="1"/>
    <col min="4095" max="4105" width="14" customWidth="1"/>
    <col min="4106" max="4107" width="10" customWidth="1"/>
    <col min="4108" max="4349" width="8.83203125" customWidth="1"/>
    <col min="4350" max="4350" width="7" customWidth="1"/>
    <col min="4351" max="4361" width="14" customWidth="1"/>
    <col min="4362" max="4363" width="10" customWidth="1"/>
    <col min="4364" max="4605" width="8.83203125" customWidth="1"/>
    <col min="4606" max="4606" width="7" customWidth="1"/>
    <col min="4607" max="4617" width="14" customWidth="1"/>
    <col min="4618" max="4619" width="10" customWidth="1"/>
    <col min="4620" max="4861" width="8.83203125" customWidth="1"/>
    <col min="4862" max="4862" width="7" customWidth="1"/>
    <col min="4863" max="4873" width="14" customWidth="1"/>
    <col min="4874" max="4875" width="10" customWidth="1"/>
    <col min="4876" max="5117" width="8.83203125" customWidth="1"/>
    <col min="5118" max="5118" width="7" customWidth="1"/>
    <col min="5119" max="5129" width="14" customWidth="1"/>
    <col min="5130" max="5131" width="10" customWidth="1"/>
    <col min="5132" max="5373" width="8.83203125" customWidth="1"/>
    <col min="5374" max="5374" width="7" customWidth="1"/>
    <col min="5375" max="5385" width="14" customWidth="1"/>
    <col min="5386" max="5387" width="10" customWidth="1"/>
    <col min="5388" max="5629" width="8.83203125" customWidth="1"/>
    <col min="5630" max="5630" width="7" customWidth="1"/>
    <col min="5631" max="5641" width="14" customWidth="1"/>
    <col min="5642" max="5643" width="10" customWidth="1"/>
    <col min="5644" max="5885" width="8.83203125" customWidth="1"/>
    <col min="5886" max="5886" width="7" customWidth="1"/>
    <col min="5887" max="5897" width="14" customWidth="1"/>
    <col min="5898" max="5899" width="10" customWidth="1"/>
    <col min="5900" max="6141" width="8.83203125" customWidth="1"/>
    <col min="6142" max="6142" width="7" customWidth="1"/>
    <col min="6143" max="6153" width="14" customWidth="1"/>
    <col min="6154" max="6155" width="10" customWidth="1"/>
    <col min="6156" max="6397" width="8.83203125" customWidth="1"/>
    <col min="6398" max="6398" width="7" customWidth="1"/>
    <col min="6399" max="6409" width="14" customWidth="1"/>
    <col min="6410" max="6411" width="10" customWidth="1"/>
    <col min="6412" max="6653" width="8.83203125" customWidth="1"/>
    <col min="6654" max="6654" width="7" customWidth="1"/>
    <col min="6655" max="6665" width="14" customWidth="1"/>
    <col min="6666" max="6667" width="10" customWidth="1"/>
    <col min="6668" max="6909" width="8.83203125" customWidth="1"/>
    <col min="6910" max="6910" width="7" customWidth="1"/>
    <col min="6911" max="6921" width="14" customWidth="1"/>
    <col min="6922" max="6923" width="10" customWidth="1"/>
    <col min="6924" max="7165" width="8.83203125" customWidth="1"/>
    <col min="7166" max="7166" width="7" customWidth="1"/>
    <col min="7167" max="7177" width="14" customWidth="1"/>
    <col min="7178" max="7179" width="10" customWidth="1"/>
    <col min="7180" max="7421" width="8.83203125" customWidth="1"/>
    <col min="7422" max="7422" width="7" customWidth="1"/>
    <col min="7423" max="7433" width="14" customWidth="1"/>
    <col min="7434" max="7435" width="10" customWidth="1"/>
    <col min="7436" max="7677" width="8.83203125" customWidth="1"/>
    <col min="7678" max="7678" width="7" customWidth="1"/>
    <col min="7679" max="7689" width="14" customWidth="1"/>
    <col min="7690" max="7691" width="10" customWidth="1"/>
    <col min="7692" max="7933" width="8.83203125" customWidth="1"/>
    <col min="7934" max="7934" width="7" customWidth="1"/>
    <col min="7935" max="7945" width="14" customWidth="1"/>
    <col min="7946" max="7947" width="10" customWidth="1"/>
    <col min="7948" max="8189" width="8.83203125" customWidth="1"/>
    <col min="8190" max="8190" width="7" customWidth="1"/>
    <col min="8191" max="8201" width="14" customWidth="1"/>
    <col min="8202" max="8203" width="10" customWidth="1"/>
    <col min="8204" max="8445" width="8.83203125" customWidth="1"/>
    <col min="8446" max="8446" width="7" customWidth="1"/>
    <col min="8447" max="8457" width="14" customWidth="1"/>
    <col min="8458" max="8459" width="10" customWidth="1"/>
    <col min="8460" max="8701" width="8.83203125" customWidth="1"/>
    <col min="8702" max="8702" width="7" customWidth="1"/>
    <col min="8703" max="8713" width="14" customWidth="1"/>
    <col min="8714" max="8715" width="10" customWidth="1"/>
    <col min="8716" max="8957" width="8.83203125" customWidth="1"/>
    <col min="8958" max="8958" width="7" customWidth="1"/>
    <col min="8959" max="8969" width="14" customWidth="1"/>
    <col min="8970" max="8971" width="10" customWidth="1"/>
    <col min="8972" max="9213" width="8.83203125" customWidth="1"/>
    <col min="9214" max="9214" width="7" customWidth="1"/>
    <col min="9215" max="9225" width="14" customWidth="1"/>
    <col min="9226" max="9227" width="10" customWidth="1"/>
    <col min="9228" max="9469" width="8.83203125" customWidth="1"/>
    <col min="9470" max="9470" width="7" customWidth="1"/>
    <col min="9471" max="9481" width="14" customWidth="1"/>
    <col min="9482" max="9483" width="10" customWidth="1"/>
    <col min="9484" max="9725" width="8.83203125" customWidth="1"/>
    <col min="9726" max="9726" width="7" customWidth="1"/>
    <col min="9727" max="9737" width="14" customWidth="1"/>
    <col min="9738" max="9739" width="10" customWidth="1"/>
    <col min="9740" max="9981" width="8.83203125" customWidth="1"/>
    <col min="9982" max="9982" width="7" customWidth="1"/>
    <col min="9983" max="9993" width="14" customWidth="1"/>
    <col min="9994" max="9995" width="10" customWidth="1"/>
    <col min="9996" max="10237" width="8.83203125" customWidth="1"/>
    <col min="10238" max="10238" width="7" customWidth="1"/>
    <col min="10239" max="10249" width="14" customWidth="1"/>
    <col min="10250" max="10251" width="10" customWidth="1"/>
    <col min="10252" max="10493" width="8.83203125" customWidth="1"/>
    <col min="10494" max="10494" width="7" customWidth="1"/>
    <col min="10495" max="10505" width="14" customWidth="1"/>
    <col min="10506" max="10507" width="10" customWidth="1"/>
    <col min="10508" max="10749" width="8.83203125" customWidth="1"/>
    <col min="10750" max="10750" width="7" customWidth="1"/>
    <col min="10751" max="10761" width="14" customWidth="1"/>
    <col min="10762" max="10763" width="10" customWidth="1"/>
    <col min="10764" max="11005" width="8.83203125" customWidth="1"/>
    <col min="11006" max="11006" width="7" customWidth="1"/>
    <col min="11007" max="11017" width="14" customWidth="1"/>
    <col min="11018" max="11019" width="10" customWidth="1"/>
    <col min="11020" max="11261" width="8.83203125" customWidth="1"/>
    <col min="11262" max="11262" width="7" customWidth="1"/>
    <col min="11263" max="11273" width="14" customWidth="1"/>
    <col min="11274" max="11275" width="10" customWidth="1"/>
    <col min="11276" max="11517" width="8.83203125" customWidth="1"/>
    <col min="11518" max="11518" width="7" customWidth="1"/>
    <col min="11519" max="11529" width="14" customWidth="1"/>
    <col min="11530" max="11531" width="10" customWidth="1"/>
    <col min="11532" max="11773" width="8.83203125" customWidth="1"/>
    <col min="11774" max="11774" width="7" customWidth="1"/>
    <col min="11775" max="11785" width="14" customWidth="1"/>
    <col min="11786" max="11787" width="10" customWidth="1"/>
    <col min="11788" max="12029" width="8.83203125" customWidth="1"/>
    <col min="12030" max="12030" width="7" customWidth="1"/>
    <col min="12031" max="12041" width="14" customWidth="1"/>
    <col min="12042" max="12043" width="10" customWidth="1"/>
    <col min="12044" max="12285" width="8.83203125" customWidth="1"/>
    <col min="12286" max="12286" width="7" customWidth="1"/>
    <col min="12287" max="12297" width="14" customWidth="1"/>
    <col min="12298" max="12299" width="10" customWidth="1"/>
    <col min="12300" max="12541" width="8.83203125" customWidth="1"/>
    <col min="12542" max="12542" width="7" customWidth="1"/>
    <col min="12543" max="12553" width="14" customWidth="1"/>
    <col min="12554" max="12555" width="10" customWidth="1"/>
    <col min="12556" max="12797" width="8.83203125" customWidth="1"/>
    <col min="12798" max="12798" width="7" customWidth="1"/>
    <col min="12799" max="12809" width="14" customWidth="1"/>
    <col min="12810" max="12811" width="10" customWidth="1"/>
    <col min="12812" max="13053" width="8.83203125" customWidth="1"/>
    <col min="13054" max="13054" width="7" customWidth="1"/>
    <col min="13055" max="13065" width="14" customWidth="1"/>
    <col min="13066" max="13067" width="10" customWidth="1"/>
    <col min="13068" max="13309" width="8.83203125" customWidth="1"/>
    <col min="13310" max="13310" width="7" customWidth="1"/>
    <col min="13311" max="13321" width="14" customWidth="1"/>
    <col min="13322" max="13323" width="10" customWidth="1"/>
    <col min="13324" max="13565" width="8.83203125" customWidth="1"/>
    <col min="13566" max="13566" width="7" customWidth="1"/>
    <col min="13567" max="13577" width="14" customWidth="1"/>
    <col min="13578" max="13579" width="10" customWidth="1"/>
    <col min="13580" max="13821" width="8.83203125" customWidth="1"/>
    <col min="13822" max="13822" width="7" customWidth="1"/>
    <col min="13823" max="13833" width="14" customWidth="1"/>
    <col min="13834" max="13835" width="10" customWidth="1"/>
    <col min="13836" max="14077" width="8.83203125" customWidth="1"/>
    <col min="14078" max="14078" width="7" customWidth="1"/>
    <col min="14079" max="14089" width="14" customWidth="1"/>
    <col min="14090" max="14091" width="10" customWidth="1"/>
    <col min="14092" max="14333" width="8.83203125" customWidth="1"/>
    <col min="14334" max="14334" width="7" customWidth="1"/>
    <col min="14335" max="14345" width="14" customWidth="1"/>
    <col min="14346" max="14347" width="10" customWidth="1"/>
    <col min="14348" max="14589" width="8.83203125" customWidth="1"/>
    <col min="14590" max="14590" width="7" customWidth="1"/>
    <col min="14591" max="14601" width="14" customWidth="1"/>
    <col min="14602" max="14603" width="10" customWidth="1"/>
    <col min="14604" max="14845" width="8.83203125" customWidth="1"/>
    <col min="14846" max="14846" width="7" customWidth="1"/>
    <col min="14847" max="14857" width="14" customWidth="1"/>
    <col min="14858" max="14859" width="10" customWidth="1"/>
    <col min="14860" max="15101" width="8.83203125" customWidth="1"/>
    <col min="15102" max="15102" width="7" customWidth="1"/>
    <col min="15103" max="15113" width="14" customWidth="1"/>
    <col min="15114" max="15115" width="10" customWidth="1"/>
    <col min="15116" max="15357" width="8.83203125" customWidth="1"/>
    <col min="15358" max="15358" width="7" customWidth="1"/>
    <col min="15359" max="15369" width="14" customWidth="1"/>
    <col min="15370" max="15371" width="10" customWidth="1"/>
    <col min="15372" max="15613" width="8.83203125" customWidth="1"/>
    <col min="15614" max="15614" width="7" customWidth="1"/>
    <col min="15615" max="15625" width="14" customWidth="1"/>
    <col min="15626" max="15627" width="10" customWidth="1"/>
    <col min="15628" max="15869" width="8.83203125" customWidth="1"/>
    <col min="15870" max="15870" width="7" customWidth="1"/>
    <col min="15871" max="15881" width="14" customWidth="1"/>
    <col min="15882" max="15883" width="10" customWidth="1"/>
    <col min="15884" max="16125" width="8.83203125" customWidth="1"/>
    <col min="16126" max="16126" width="7" customWidth="1"/>
    <col min="16127" max="16137" width="14" customWidth="1"/>
    <col min="16138" max="16139" width="10" customWidth="1"/>
    <col min="16140" max="16384" width="8.83203125" customWidth="1"/>
  </cols>
  <sheetData>
    <row r="1" spans="1:11" ht="21" customHeight="1" thickBot="1" x14ac:dyDescent="0.25">
      <c r="A1" s="18" t="s">
        <v>188</v>
      </c>
      <c r="B1" s="19"/>
      <c r="C1" s="19"/>
      <c r="D1" s="19"/>
      <c r="E1" s="19"/>
      <c r="F1" s="19"/>
      <c r="G1" s="19"/>
      <c r="H1" s="19"/>
      <c r="I1" s="19"/>
      <c r="J1" s="19"/>
      <c r="K1" s="19"/>
    </row>
    <row r="2" spans="1:11" ht="29.5" customHeight="1" thickBot="1" x14ac:dyDescent="0.25">
      <c r="A2" s="16" t="s">
        <v>0</v>
      </c>
      <c r="B2" s="16"/>
      <c r="C2" s="16"/>
      <c r="D2" s="16"/>
      <c r="E2" s="16"/>
      <c r="F2" s="16"/>
      <c r="G2" s="16"/>
      <c r="H2" s="17" t="s">
        <v>1</v>
      </c>
      <c r="I2" s="17"/>
      <c r="J2" s="17"/>
      <c r="K2" s="17"/>
    </row>
    <row r="3" spans="1:11" ht="37.5" customHeight="1" x14ac:dyDescent="0.2">
      <c r="A3" s="1" t="s">
        <v>2</v>
      </c>
      <c r="B3" s="1" t="s">
        <v>3</v>
      </c>
      <c r="C3" s="1" t="s">
        <v>4</v>
      </c>
      <c r="D3" s="1" t="s">
        <v>5</v>
      </c>
      <c r="E3" s="1" t="s">
        <v>6</v>
      </c>
      <c r="F3" s="1" t="s">
        <v>7</v>
      </c>
      <c r="G3" s="1" t="s">
        <v>8</v>
      </c>
      <c r="H3" s="1" t="s">
        <v>9</v>
      </c>
      <c r="I3" s="1" t="s">
        <v>10</v>
      </c>
      <c r="J3" s="1" t="s">
        <v>11</v>
      </c>
      <c r="K3" s="1" t="s">
        <v>12</v>
      </c>
    </row>
    <row r="4" spans="1:11" ht="60" customHeight="1" x14ac:dyDescent="0.2">
      <c r="A4" s="2">
        <v>1</v>
      </c>
      <c r="B4" s="3" t="str">
        <f t="shared" ref="B4:B10" si="0">HYPERLINK("https://portal.genego.com/cgi/entity_page.cgi?term=100&amp;id=-1565542839","Alpha dystroglycan")</f>
        <v>Alpha dystroglycan</v>
      </c>
      <c r="C4" s="3" t="str">
        <f t="shared" ref="C4:C17" si="1">HYPERLINK("https://portal.genego.com/cgi/entity_page.cgi?term=20&amp;id=1031602642","DAG1")</f>
        <v>DAG1</v>
      </c>
      <c r="D4" s="3" t="str">
        <f t="shared" ref="D4:D10" si="2">HYPERLINK("https://portal.genego.com/cgi/entity_page.cgi?term=7&amp;id=1676987439","alpha-DG_(HUMAN)")</f>
        <v>alpha-DG_(HUMAN)</v>
      </c>
      <c r="E4" s="2" t="s">
        <v>13</v>
      </c>
      <c r="F4" s="3" t="str">
        <f t="shared" ref="F4:F10" si="3">HYPERLINK("https://portal.genego.com/cgi/entity_page.cgi?term=100&amp;id=-1565542839","Alpha-dystroglycan")</f>
        <v>Alpha-dystroglycan</v>
      </c>
      <c r="G4" s="4"/>
      <c r="H4" s="3" t="str">
        <f>HYPERLINK("https://www.cortellis.com/drugdiscovery/entity/biomarkers/5300","Dystroglycan")</f>
        <v>Dystroglycan</v>
      </c>
      <c r="I4" s="2" t="s">
        <v>14</v>
      </c>
      <c r="J4" s="2" t="s">
        <v>15</v>
      </c>
      <c r="K4" s="4" t="str">
        <f>HYPERLINK("https://www.cortellis.com/drugdiscovery/result/proxy/related-content/biomarkers/genestargets/5300","dystroglycan 1")</f>
        <v>dystroglycan 1</v>
      </c>
    </row>
    <row r="5" spans="1:11" ht="60" customHeight="1" x14ac:dyDescent="0.2">
      <c r="A5" s="2">
        <v>2</v>
      </c>
      <c r="B5" s="3" t="str">
        <f t="shared" si="0"/>
        <v>Alpha dystroglycan</v>
      </c>
      <c r="C5" s="3" t="str">
        <f t="shared" si="1"/>
        <v>DAG1</v>
      </c>
      <c r="D5" s="3" t="str">
        <f t="shared" si="2"/>
        <v>alpha-DG_(HUMAN)</v>
      </c>
      <c r="E5" s="2" t="s">
        <v>13</v>
      </c>
      <c r="F5" s="3" t="str">
        <f t="shared" si="3"/>
        <v>Alpha-dystroglycan</v>
      </c>
      <c r="G5" s="4"/>
      <c r="H5" s="3" t="str">
        <f>HYPERLINK("https://www.cortellis.com/drugdiscovery/entity/biomarkers/33598","Cyclin-dependent kinase 5 activator 1, p35")</f>
        <v>Cyclin-dependent kinase 5 activator 1, p35</v>
      </c>
      <c r="I5" s="2" t="s">
        <v>16</v>
      </c>
      <c r="J5" s="2" t="s">
        <v>15</v>
      </c>
      <c r="K5" s="4" t="str">
        <f>HYPERLINK("https://www.cortellis.com/drugdiscovery/result/proxy/related-content/biomarkers/genestargets/33598","dystroglycan 1")</f>
        <v>dystroglycan 1</v>
      </c>
    </row>
    <row r="6" spans="1:11" ht="60" customHeight="1" x14ac:dyDescent="0.2">
      <c r="A6" s="2">
        <v>3</v>
      </c>
      <c r="B6" s="3" t="str">
        <f t="shared" si="0"/>
        <v>Alpha dystroglycan</v>
      </c>
      <c r="C6" s="3" t="str">
        <f t="shared" si="1"/>
        <v>DAG1</v>
      </c>
      <c r="D6" s="3" t="str">
        <f t="shared" si="2"/>
        <v>alpha-DG_(HUMAN)</v>
      </c>
      <c r="E6" s="2" t="s">
        <v>13</v>
      </c>
      <c r="F6" s="3" t="str">
        <f t="shared" si="3"/>
        <v>Alpha-dystroglycan</v>
      </c>
      <c r="G6" s="4"/>
      <c r="H6" s="3" t="str">
        <f>HYPERLINK("https://www.cortellis.com/drugdiscovery/entity/biomarkers/33599","Cyclin-dependent kinase 5 activator 1, p25")</f>
        <v>Cyclin-dependent kinase 5 activator 1, p25</v>
      </c>
      <c r="I6" s="2" t="s">
        <v>16</v>
      </c>
      <c r="J6" s="2" t="s">
        <v>17</v>
      </c>
      <c r="K6" s="4" t="str">
        <f>HYPERLINK("https://www.cortellis.com/drugdiscovery/result/proxy/related-content/biomarkers/genestargets/33599","dystroglycan 1")</f>
        <v>dystroglycan 1</v>
      </c>
    </row>
    <row r="7" spans="1:11" ht="60" customHeight="1" x14ac:dyDescent="0.2">
      <c r="A7" s="2">
        <v>4</v>
      </c>
      <c r="B7" s="3" t="str">
        <f t="shared" si="0"/>
        <v>Alpha dystroglycan</v>
      </c>
      <c r="C7" s="3" t="str">
        <f t="shared" si="1"/>
        <v>DAG1</v>
      </c>
      <c r="D7" s="3" t="str">
        <f t="shared" si="2"/>
        <v>alpha-DG_(HUMAN)</v>
      </c>
      <c r="E7" s="2" t="s">
        <v>13</v>
      </c>
      <c r="F7" s="3" t="str">
        <f t="shared" si="3"/>
        <v>Alpha-dystroglycan</v>
      </c>
      <c r="G7" s="4"/>
      <c r="H7" s="3" t="str">
        <f>HYPERLINK("https://www.cortellis.com/drugdiscovery/entity/biomarkers/48282","31-gene expression glioblastoma panel")</f>
        <v>31-gene expression glioblastoma panel</v>
      </c>
      <c r="I7" s="2" t="s">
        <v>18</v>
      </c>
      <c r="J7" s="2" t="s">
        <v>19</v>
      </c>
      <c r="K7" s="4" t="str">
        <f>HYPERLINK("https://www.cortellis.com/drugdiscovery/result/proxy/related-content/biomarkers/genestargets/48282","cyclin D1; dystroglycan 1; protein tyrosine phosphatase receptor type C")</f>
        <v>cyclin D1; dystroglycan 1; protein tyrosine phosphatase receptor type C</v>
      </c>
    </row>
    <row r="8" spans="1:11" ht="60" customHeight="1" x14ac:dyDescent="0.2">
      <c r="A8" s="2">
        <v>5</v>
      </c>
      <c r="B8" s="3" t="str">
        <f t="shared" si="0"/>
        <v>Alpha dystroglycan</v>
      </c>
      <c r="C8" s="3" t="str">
        <f t="shared" si="1"/>
        <v>DAG1</v>
      </c>
      <c r="D8" s="3" t="str">
        <f t="shared" si="2"/>
        <v>alpha-DG_(HUMAN)</v>
      </c>
      <c r="E8" s="2" t="s">
        <v>13</v>
      </c>
      <c r="F8" s="3" t="str">
        <f t="shared" si="3"/>
        <v>Alpha-dystroglycan</v>
      </c>
      <c r="G8" s="4"/>
      <c r="H8" s="3" t="str">
        <f>HYPERLINK("https://www.cortellis.com/drugdiscovery/entity/biomarkers/57337","16-gene expression Alzheimer's disease panel")</f>
        <v>16-gene expression Alzheimer's disease panel</v>
      </c>
      <c r="I8" s="2" t="s">
        <v>20</v>
      </c>
      <c r="J8" s="2" t="s">
        <v>17</v>
      </c>
      <c r="K8" s="4" t="str">
        <f>HYPERLINK("https://www.cortellis.com/drugdiscovery/result/proxy/related-content/biomarkers/genestargets/57337","dystroglycan 1")</f>
        <v>dystroglycan 1</v>
      </c>
    </row>
    <row r="9" spans="1:11" ht="60" customHeight="1" x14ac:dyDescent="0.2">
      <c r="A9" s="2">
        <v>6</v>
      </c>
      <c r="B9" s="3" t="str">
        <f t="shared" si="0"/>
        <v>Alpha dystroglycan</v>
      </c>
      <c r="C9" s="3" t="str">
        <f t="shared" si="1"/>
        <v>DAG1</v>
      </c>
      <c r="D9" s="3" t="str">
        <f t="shared" si="2"/>
        <v>alpha-DG_(HUMAN)</v>
      </c>
      <c r="E9" s="2" t="s">
        <v>13</v>
      </c>
      <c r="F9" s="3" t="str">
        <f t="shared" si="3"/>
        <v>Alpha-dystroglycan</v>
      </c>
      <c r="G9" s="4"/>
      <c r="H9" s="3" t="str">
        <f>HYPERLINK("https://www.cortellis.com/drugdiscovery/entity/biomarkers/58961","18-gene expression rectal cancer panel")</f>
        <v>18-gene expression rectal cancer panel</v>
      </c>
      <c r="I9" s="2" t="s">
        <v>18</v>
      </c>
      <c r="J9" s="2" t="s">
        <v>19</v>
      </c>
      <c r="K9" s="4" t="str">
        <f>HYPERLINK("https://www.cortellis.com/drugdiscovery/result/proxy/related-content/biomarkers/genestargets/58961","dystroglycan 1")</f>
        <v>dystroglycan 1</v>
      </c>
    </row>
    <row r="10" spans="1:11" ht="60" customHeight="1" x14ac:dyDescent="0.2">
      <c r="A10" s="2">
        <v>7</v>
      </c>
      <c r="B10" s="3" t="str">
        <f t="shared" si="0"/>
        <v>Alpha dystroglycan</v>
      </c>
      <c r="C10" s="3" t="str">
        <f t="shared" si="1"/>
        <v>DAG1</v>
      </c>
      <c r="D10" s="3" t="str">
        <f t="shared" si="2"/>
        <v>alpha-DG_(HUMAN)</v>
      </c>
      <c r="E10" s="2" t="s">
        <v>13</v>
      </c>
      <c r="F10" s="3" t="str">
        <f t="shared" si="3"/>
        <v>Alpha-dystroglycan</v>
      </c>
      <c r="G10" s="4"/>
      <c r="H10" s="3" t="str">
        <f>HYPERLINK("https://www.cortellis.com/drugdiscovery/entity/biomarkers/65232","7-gene expression lung cancer panel")</f>
        <v>7-gene expression lung cancer panel</v>
      </c>
      <c r="I10" s="2" t="s">
        <v>18</v>
      </c>
      <c r="J10" s="2" t="s">
        <v>19</v>
      </c>
      <c r="K10" s="4" t="str">
        <f>HYPERLINK("https://www.cortellis.com/drugdiscovery/result/proxy/related-content/biomarkers/genestargets/65232","dystroglycan 1")</f>
        <v>dystroglycan 1</v>
      </c>
    </row>
    <row r="11" spans="1:11" ht="60" customHeight="1" x14ac:dyDescent="0.2">
      <c r="A11" s="2">
        <v>8</v>
      </c>
      <c r="B11" s="3" t="str">
        <f t="shared" ref="B11:B17" si="4">HYPERLINK("https://portal.genego.com/cgi/entity_page.cgi?term=100&amp;id=-411924946","Beta dystroglycan")</f>
        <v>Beta dystroglycan</v>
      </c>
      <c r="C11" s="3" t="str">
        <f t="shared" si="1"/>
        <v>DAG1</v>
      </c>
      <c r="D11" s="3" t="str">
        <f t="shared" ref="D11:D17" si="5">HYPERLINK("https://portal.genego.com/cgi/entity_page.cgi?term=7&amp;id=2127295801","beta-DG_(HUMAN)")</f>
        <v>beta-DG_(HUMAN)</v>
      </c>
      <c r="E11" s="2" t="s">
        <v>13</v>
      </c>
      <c r="F11" s="3" t="str">
        <f t="shared" ref="F11:F17" si="6">HYPERLINK("https://portal.genego.com/cgi/entity_page.cgi?term=100&amp;id=-411924946","Beta-dystroglycan")</f>
        <v>Beta-dystroglycan</v>
      </c>
      <c r="G11" s="4"/>
      <c r="H11" s="3" t="str">
        <f>HYPERLINK("https://www.cortellis.com/drugdiscovery/entity/biomarkers/5300","Dystroglycan")</f>
        <v>Dystroglycan</v>
      </c>
      <c r="I11" s="2" t="s">
        <v>14</v>
      </c>
      <c r="J11" s="2" t="s">
        <v>15</v>
      </c>
      <c r="K11" s="4" t="str">
        <f>HYPERLINK("https://www.cortellis.com/drugdiscovery/result/proxy/related-content/biomarkers/genestargets/5300","dystroglycan 1")</f>
        <v>dystroglycan 1</v>
      </c>
    </row>
    <row r="12" spans="1:11" ht="60" customHeight="1" x14ac:dyDescent="0.2">
      <c r="A12" s="2">
        <v>9</v>
      </c>
      <c r="B12" s="3" t="str">
        <f t="shared" si="4"/>
        <v>Beta dystroglycan</v>
      </c>
      <c r="C12" s="3" t="str">
        <f t="shared" si="1"/>
        <v>DAG1</v>
      </c>
      <c r="D12" s="3" t="str">
        <f t="shared" si="5"/>
        <v>beta-DG_(HUMAN)</v>
      </c>
      <c r="E12" s="2" t="s">
        <v>13</v>
      </c>
      <c r="F12" s="3" t="str">
        <f t="shared" si="6"/>
        <v>Beta-dystroglycan</v>
      </c>
      <c r="G12" s="4"/>
      <c r="H12" s="3" t="str">
        <f>HYPERLINK("https://www.cortellis.com/drugdiscovery/entity/biomarkers/33598","Cyclin-dependent kinase 5 activator 1, p35")</f>
        <v>Cyclin-dependent kinase 5 activator 1, p35</v>
      </c>
      <c r="I12" s="2" t="s">
        <v>16</v>
      </c>
      <c r="J12" s="2" t="s">
        <v>15</v>
      </c>
      <c r="K12" s="4" t="str">
        <f>HYPERLINK("https://www.cortellis.com/drugdiscovery/result/proxy/related-content/biomarkers/genestargets/33598","dystroglycan 1")</f>
        <v>dystroglycan 1</v>
      </c>
    </row>
    <row r="13" spans="1:11" ht="60" customHeight="1" x14ac:dyDescent="0.2">
      <c r="A13" s="2">
        <v>10</v>
      </c>
      <c r="B13" s="3" t="str">
        <f t="shared" si="4"/>
        <v>Beta dystroglycan</v>
      </c>
      <c r="C13" s="3" t="str">
        <f t="shared" si="1"/>
        <v>DAG1</v>
      </c>
      <c r="D13" s="3" t="str">
        <f t="shared" si="5"/>
        <v>beta-DG_(HUMAN)</v>
      </c>
      <c r="E13" s="2" t="s">
        <v>13</v>
      </c>
      <c r="F13" s="3" t="str">
        <f t="shared" si="6"/>
        <v>Beta-dystroglycan</v>
      </c>
      <c r="G13" s="4"/>
      <c r="H13" s="3" t="str">
        <f>HYPERLINK("https://www.cortellis.com/drugdiscovery/entity/biomarkers/33599","Cyclin-dependent kinase 5 activator 1, p25")</f>
        <v>Cyclin-dependent kinase 5 activator 1, p25</v>
      </c>
      <c r="I13" s="2" t="s">
        <v>16</v>
      </c>
      <c r="J13" s="2" t="s">
        <v>17</v>
      </c>
      <c r="K13" s="4" t="str">
        <f>HYPERLINK("https://www.cortellis.com/drugdiscovery/result/proxy/related-content/biomarkers/genestargets/33599","dystroglycan 1")</f>
        <v>dystroglycan 1</v>
      </c>
    </row>
    <row r="14" spans="1:11" ht="60" customHeight="1" x14ac:dyDescent="0.2">
      <c r="A14" s="2">
        <v>11</v>
      </c>
      <c r="B14" s="3" t="str">
        <f t="shared" si="4"/>
        <v>Beta dystroglycan</v>
      </c>
      <c r="C14" s="3" t="str">
        <f t="shared" si="1"/>
        <v>DAG1</v>
      </c>
      <c r="D14" s="3" t="str">
        <f t="shared" si="5"/>
        <v>beta-DG_(HUMAN)</v>
      </c>
      <c r="E14" s="2" t="s">
        <v>13</v>
      </c>
      <c r="F14" s="3" t="str">
        <f t="shared" si="6"/>
        <v>Beta-dystroglycan</v>
      </c>
      <c r="G14" s="4"/>
      <c r="H14" s="3" t="str">
        <f>HYPERLINK("https://www.cortellis.com/drugdiscovery/entity/biomarkers/48282","31-gene expression glioblastoma panel")</f>
        <v>31-gene expression glioblastoma panel</v>
      </c>
      <c r="I14" s="2" t="s">
        <v>18</v>
      </c>
      <c r="J14" s="2" t="s">
        <v>19</v>
      </c>
      <c r="K14" s="4" t="str">
        <f>HYPERLINK("https://www.cortellis.com/drugdiscovery/result/proxy/related-content/biomarkers/genestargets/48282","cyclin D1; dystroglycan 1; protein tyrosine phosphatase receptor type C")</f>
        <v>cyclin D1; dystroglycan 1; protein tyrosine phosphatase receptor type C</v>
      </c>
    </row>
    <row r="15" spans="1:11" ht="60" customHeight="1" x14ac:dyDescent="0.2">
      <c r="A15" s="2">
        <v>12</v>
      </c>
      <c r="B15" s="3" t="str">
        <f t="shared" si="4"/>
        <v>Beta dystroglycan</v>
      </c>
      <c r="C15" s="3" t="str">
        <f t="shared" si="1"/>
        <v>DAG1</v>
      </c>
      <c r="D15" s="3" t="str">
        <f t="shared" si="5"/>
        <v>beta-DG_(HUMAN)</v>
      </c>
      <c r="E15" s="2" t="s">
        <v>13</v>
      </c>
      <c r="F15" s="3" t="str">
        <f t="shared" si="6"/>
        <v>Beta-dystroglycan</v>
      </c>
      <c r="G15" s="4"/>
      <c r="H15" s="3" t="str">
        <f>HYPERLINK("https://www.cortellis.com/drugdiscovery/entity/biomarkers/57337","16-gene expression Alzheimer's disease panel")</f>
        <v>16-gene expression Alzheimer's disease panel</v>
      </c>
      <c r="I15" s="2" t="s">
        <v>20</v>
      </c>
      <c r="J15" s="2" t="s">
        <v>17</v>
      </c>
      <c r="K15" s="4" t="str">
        <f>HYPERLINK("https://www.cortellis.com/drugdiscovery/result/proxy/related-content/biomarkers/genestargets/57337","dystroglycan 1")</f>
        <v>dystroglycan 1</v>
      </c>
    </row>
    <row r="16" spans="1:11" ht="60" customHeight="1" x14ac:dyDescent="0.2">
      <c r="A16" s="2">
        <v>13</v>
      </c>
      <c r="B16" s="3" t="str">
        <f t="shared" si="4"/>
        <v>Beta dystroglycan</v>
      </c>
      <c r="C16" s="3" t="str">
        <f t="shared" si="1"/>
        <v>DAG1</v>
      </c>
      <c r="D16" s="3" t="str">
        <f t="shared" si="5"/>
        <v>beta-DG_(HUMAN)</v>
      </c>
      <c r="E16" s="2" t="s">
        <v>13</v>
      </c>
      <c r="F16" s="3" t="str">
        <f t="shared" si="6"/>
        <v>Beta-dystroglycan</v>
      </c>
      <c r="G16" s="4"/>
      <c r="H16" s="3" t="str">
        <f>HYPERLINK("https://www.cortellis.com/drugdiscovery/entity/biomarkers/58961","18-gene expression rectal cancer panel")</f>
        <v>18-gene expression rectal cancer panel</v>
      </c>
      <c r="I16" s="2" t="s">
        <v>18</v>
      </c>
      <c r="J16" s="2" t="s">
        <v>19</v>
      </c>
      <c r="K16" s="4" t="str">
        <f>HYPERLINK("https://www.cortellis.com/drugdiscovery/result/proxy/related-content/biomarkers/genestargets/58961","dystroglycan 1")</f>
        <v>dystroglycan 1</v>
      </c>
    </row>
    <row r="17" spans="1:11" ht="60" customHeight="1" x14ac:dyDescent="0.2">
      <c r="A17" s="2">
        <v>14</v>
      </c>
      <c r="B17" s="3" t="str">
        <f t="shared" si="4"/>
        <v>Beta dystroglycan</v>
      </c>
      <c r="C17" s="3" t="str">
        <f t="shared" si="1"/>
        <v>DAG1</v>
      </c>
      <c r="D17" s="3" t="str">
        <f t="shared" si="5"/>
        <v>beta-DG_(HUMAN)</v>
      </c>
      <c r="E17" s="2" t="s">
        <v>13</v>
      </c>
      <c r="F17" s="3" t="str">
        <f t="shared" si="6"/>
        <v>Beta-dystroglycan</v>
      </c>
      <c r="G17" s="4"/>
      <c r="H17" s="3" t="str">
        <f>HYPERLINK("https://www.cortellis.com/drugdiscovery/entity/biomarkers/65232","7-gene expression lung cancer panel")</f>
        <v>7-gene expression lung cancer panel</v>
      </c>
      <c r="I17" s="2" t="s">
        <v>18</v>
      </c>
      <c r="J17" s="2" t="s">
        <v>19</v>
      </c>
      <c r="K17" s="4" t="str">
        <f>HYPERLINK("https://www.cortellis.com/drugdiscovery/result/proxy/related-content/biomarkers/genestargets/65232","dystroglycan 1")</f>
        <v>dystroglycan 1</v>
      </c>
    </row>
    <row r="18" spans="1:11" ht="60" customHeight="1" x14ac:dyDescent="0.2">
      <c r="A18" s="2">
        <v>15</v>
      </c>
      <c r="B18" s="3" t="str">
        <f t="shared" ref="B18:B44" si="7">HYPERLINK("https://portal.genego.com/cgi/entity_page.cgi?term=100&amp;id=-1547657770","CCL2")</f>
        <v>CCL2</v>
      </c>
      <c r="C18" s="3" t="str">
        <f t="shared" ref="C18:C44" si="8">HYPERLINK("https://portal.genego.com/cgi/entity_page.cgi?term=20&amp;id=1978121817","CCL2")</f>
        <v>CCL2</v>
      </c>
      <c r="D18" s="3" t="str">
        <f t="shared" ref="D18:D44" si="9">HYPERLINK("https://portal.genego.com/cgi/entity_page.cgi?term=7&amp;id=1389045273","CCL2_HUMAN")</f>
        <v>CCL2_HUMAN</v>
      </c>
      <c r="E18" s="2" t="s">
        <v>21</v>
      </c>
      <c r="F18" s="3" t="str">
        <f t="shared" ref="F18:F44" si="10">HYPERLINK("https://portal.genego.com/cgi/entity_page.cgi?term=100&amp;id=-1547657770","C-C motif chemokine 2")</f>
        <v>C-C motif chemokine 2</v>
      </c>
      <c r="G18" s="4" t="str">
        <f t="shared" ref="G18:G44" si="11">HYPERLINK("https://portal.genego.com/cgi/entity_page.cgi?term=7&amp;id=817753168","Carlumab")</f>
        <v>Carlumab</v>
      </c>
      <c r="H18" s="3" t="str">
        <f>HYPERLINK("https://www.cortellis.com/drugdiscovery/entity/biomarkers/130","C-C motif chemokine 2")</f>
        <v>C-C motif chemokine 2</v>
      </c>
      <c r="I18" s="2" t="s">
        <v>22</v>
      </c>
      <c r="J18" s="2" t="s">
        <v>15</v>
      </c>
      <c r="K18" s="4" t="str">
        <f>HYPERLINK("https://www.cortellis.com/drugdiscovery/result/proxy/related-content/biomarkers/genestargets/130","C-C motif chemokine ligand 2")</f>
        <v>C-C motif chemokine ligand 2</v>
      </c>
    </row>
    <row r="19" spans="1:11" ht="60" customHeight="1" x14ac:dyDescent="0.2">
      <c r="A19" s="2">
        <v>16</v>
      </c>
      <c r="B19" s="3" t="str">
        <f t="shared" si="7"/>
        <v>CCL2</v>
      </c>
      <c r="C19" s="3" t="str">
        <f t="shared" si="8"/>
        <v>CCL2</v>
      </c>
      <c r="D19" s="3" t="str">
        <f t="shared" si="9"/>
        <v>CCL2_HUMAN</v>
      </c>
      <c r="E19" s="2" t="s">
        <v>21</v>
      </c>
      <c r="F19" s="3" t="str">
        <f t="shared" si="10"/>
        <v>C-C motif chemokine 2</v>
      </c>
      <c r="G19" s="4" t="str">
        <f t="shared" si="11"/>
        <v>Carlumab</v>
      </c>
      <c r="H19" s="3" t="str">
        <f>HYPERLINK("https://www.cortellis.com/drugdiscovery/entity/biomarkers/27598","89-protein neurological alzheimer's panel")</f>
        <v>89-protein neurological alzheimer's panel</v>
      </c>
      <c r="I19" s="2" t="s">
        <v>23</v>
      </c>
      <c r="J19" s="2" t="s">
        <v>17</v>
      </c>
      <c r="K19"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0" spans="1:11" ht="60" customHeight="1" x14ac:dyDescent="0.2">
      <c r="A20" s="2">
        <v>17</v>
      </c>
      <c r="B20" s="3" t="str">
        <f t="shared" si="7"/>
        <v>CCL2</v>
      </c>
      <c r="C20" s="3" t="str">
        <f t="shared" si="8"/>
        <v>CCL2</v>
      </c>
      <c r="D20" s="3" t="str">
        <f t="shared" si="9"/>
        <v>CCL2_HUMAN</v>
      </c>
      <c r="E20" s="2" t="s">
        <v>21</v>
      </c>
      <c r="F20" s="3" t="str">
        <f t="shared" si="10"/>
        <v>C-C motif chemokine 2</v>
      </c>
      <c r="G20" s="4" t="str">
        <f t="shared" si="11"/>
        <v>Carlumab</v>
      </c>
      <c r="H20" s="3" t="str">
        <f>HYPERLINK("https://www.cortellis.com/drugdiscovery/entity/biomarkers/29865","37-gene expression lupus panel")</f>
        <v>37-gene expression lupus panel</v>
      </c>
      <c r="I20" s="2" t="s">
        <v>23</v>
      </c>
      <c r="J20" s="2" t="s">
        <v>19</v>
      </c>
      <c r="K20" s="4" t="str">
        <f>HYPERLINK("https://www.cortellis.com/drugdiscovery/result/proxy/related-content/biomarkers/genestargets/29865","C-C motif chemokine ligand 2")</f>
        <v>C-C motif chemokine ligand 2</v>
      </c>
    </row>
    <row r="21" spans="1:11" ht="60" customHeight="1" x14ac:dyDescent="0.2">
      <c r="A21" s="2">
        <v>18</v>
      </c>
      <c r="B21" s="3" t="str">
        <f t="shared" si="7"/>
        <v>CCL2</v>
      </c>
      <c r="C21" s="3" t="str">
        <f t="shared" si="8"/>
        <v>CCL2</v>
      </c>
      <c r="D21" s="3" t="str">
        <f t="shared" si="9"/>
        <v>CCL2_HUMAN</v>
      </c>
      <c r="E21" s="2" t="s">
        <v>21</v>
      </c>
      <c r="F21" s="3" t="str">
        <f t="shared" si="10"/>
        <v>C-C motif chemokine 2</v>
      </c>
      <c r="G21" s="4" t="str">
        <f t="shared" si="11"/>
        <v>Carlumab</v>
      </c>
      <c r="H21" s="3" t="str">
        <f>HYPERLINK("https://www.cortellis.com/drugdiscovery/entity/biomarkers/31652","786-gene expression cancer panel")</f>
        <v>786-gene expression cancer panel</v>
      </c>
      <c r="I21" s="2" t="s">
        <v>23</v>
      </c>
      <c r="J21" s="2" t="s">
        <v>19</v>
      </c>
      <c r="K21" s="4" t="str">
        <f>HYPERLINK("https://www.cortellis.com/drugdiscovery/result/proxy/related-content/biomarkers/genestargets/31652","C-C motif chemokine ligand 2; coagulation factor III, tissue factor; tenascin C")</f>
        <v>C-C motif chemokine ligand 2; coagulation factor III, tissue factor; tenascin C</v>
      </c>
    </row>
    <row r="22" spans="1:11" ht="60" customHeight="1" x14ac:dyDescent="0.2">
      <c r="A22" s="2">
        <v>19</v>
      </c>
      <c r="B22" s="3" t="str">
        <f t="shared" si="7"/>
        <v>CCL2</v>
      </c>
      <c r="C22" s="3" t="str">
        <f t="shared" si="8"/>
        <v>CCL2</v>
      </c>
      <c r="D22" s="3" t="str">
        <f t="shared" si="9"/>
        <v>CCL2_HUMAN</v>
      </c>
      <c r="E22" s="2" t="s">
        <v>21</v>
      </c>
      <c r="F22" s="3" t="str">
        <f t="shared" si="10"/>
        <v>C-C motif chemokine 2</v>
      </c>
      <c r="G22" s="4" t="str">
        <f t="shared" si="11"/>
        <v>Carlumab</v>
      </c>
      <c r="H22" s="3" t="str">
        <f>HYPERLINK("https://www.cortellis.com/drugdiscovery/entity/biomarkers/31674","90-gene expression acute promyelocytic leukemia panel")</f>
        <v>90-gene expression acute promyelocytic leukemia panel</v>
      </c>
      <c r="I22" s="2" t="s">
        <v>24</v>
      </c>
      <c r="J22" s="2" t="s">
        <v>19</v>
      </c>
      <c r="K22" s="4" t="str">
        <f>HYPERLINK("https://www.cortellis.com/drugdiscovery/result/proxy/related-content/biomarkers/genestargets/31674","C-C motif chemokine ligand 2")</f>
        <v>C-C motif chemokine ligand 2</v>
      </c>
    </row>
    <row r="23" spans="1:11" ht="60" customHeight="1" x14ac:dyDescent="0.2">
      <c r="A23" s="2">
        <v>20</v>
      </c>
      <c r="B23" s="3" t="str">
        <f t="shared" si="7"/>
        <v>CCL2</v>
      </c>
      <c r="C23" s="3" t="str">
        <f t="shared" si="8"/>
        <v>CCL2</v>
      </c>
      <c r="D23" s="3" t="str">
        <f t="shared" si="9"/>
        <v>CCL2_HUMAN</v>
      </c>
      <c r="E23" s="2" t="s">
        <v>21</v>
      </c>
      <c r="F23" s="3" t="str">
        <f t="shared" si="10"/>
        <v>C-C motif chemokine 2</v>
      </c>
      <c r="G23" s="4" t="str">
        <f t="shared" si="11"/>
        <v>Carlumab</v>
      </c>
      <c r="H23" s="3" t="str">
        <f>HYPERLINK("https://www.cortellis.com/drugdiscovery/entity/biomarkers/34385","30-protein alzheimer's panel")</f>
        <v>30-protein alzheimer's panel</v>
      </c>
      <c r="I23" s="2" t="s">
        <v>23</v>
      </c>
      <c r="J23" s="2" t="s">
        <v>17</v>
      </c>
      <c r="K23" s="4" t="str">
        <f>HYPERLINK("https://www.cortellis.com/drugdiscovery/result/proxy/related-content/biomarkers/genestargets/34385","C-C motif chemokine ligand 2; interleukin 7; tenascin C; tumor necrosis factor")</f>
        <v>C-C motif chemokine ligand 2; interleukin 7; tenascin C; tumor necrosis factor</v>
      </c>
    </row>
    <row r="24" spans="1:11" ht="60" customHeight="1" x14ac:dyDescent="0.2">
      <c r="A24" s="2">
        <v>21</v>
      </c>
      <c r="B24" s="3" t="str">
        <f t="shared" si="7"/>
        <v>CCL2</v>
      </c>
      <c r="C24" s="3" t="str">
        <f t="shared" si="8"/>
        <v>CCL2</v>
      </c>
      <c r="D24" s="3" t="str">
        <f t="shared" si="9"/>
        <v>CCL2_HUMAN</v>
      </c>
      <c r="E24" s="2" t="s">
        <v>21</v>
      </c>
      <c r="F24" s="3" t="str">
        <f t="shared" si="10"/>
        <v>C-C motif chemokine 2</v>
      </c>
      <c r="G24" s="4" t="str">
        <f t="shared" si="11"/>
        <v>Carlumab</v>
      </c>
      <c r="H24" s="3" t="str">
        <f>HYPERLINK("https://www.cortellis.com/drugdiscovery/entity/biomarkers/36097","21-protein breast cancer panel")</f>
        <v>21-protein breast cancer panel</v>
      </c>
      <c r="I24" s="2" t="s">
        <v>18</v>
      </c>
      <c r="J24" s="2" t="s">
        <v>17</v>
      </c>
      <c r="K24" s="4" t="str">
        <f>HYPERLINK("https://www.cortellis.com/drugdiscovery/result/proxy/related-content/biomarkers/genestargets/36097","C-C motif chemokine ligand 2; interleukin 12B; interleukin 7")</f>
        <v>C-C motif chemokine ligand 2; interleukin 12B; interleukin 7</v>
      </c>
    </row>
    <row r="25" spans="1:11" ht="60" customHeight="1" x14ac:dyDescent="0.2">
      <c r="A25" s="2">
        <v>22</v>
      </c>
      <c r="B25" s="3" t="str">
        <f t="shared" si="7"/>
        <v>CCL2</v>
      </c>
      <c r="C25" s="3" t="str">
        <f t="shared" si="8"/>
        <v>CCL2</v>
      </c>
      <c r="D25" s="3" t="str">
        <f t="shared" si="9"/>
        <v>CCL2_HUMAN</v>
      </c>
      <c r="E25" s="2" t="s">
        <v>21</v>
      </c>
      <c r="F25" s="3" t="str">
        <f t="shared" si="10"/>
        <v>C-C motif chemokine 2</v>
      </c>
      <c r="G25" s="4" t="str">
        <f t="shared" si="11"/>
        <v>Carlumab</v>
      </c>
      <c r="H25" s="3" t="str">
        <f>HYPERLINK("https://www.cortellis.com/drugdiscovery/entity/biomarkers/38194","6-protein lung cancer panel")</f>
        <v>6-protein lung cancer panel</v>
      </c>
      <c r="I25" s="2" t="s">
        <v>23</v>
      </c>
      <c r="J25" s="2" t="s">
        <v>17</v>
      </c>
      <c r="K25" s="4" t="str">
        <f>HYPERLINK("https://www.cortellis.com/drugdiscovery/result/proxy/related-content/biomarkers/genestargets/38194","C-C motif chemokine ligand 2")</f>
        <v>C-C motif chemokine ligand 2</v>
      </c>
    </row>
    <row r="26" spans="1:11" ht="60" customHeight="1" x14ac:dyDescent="0.2">
      <c r="A26" s="2">
        <v>23</v>
      </c>
      <c r="B26" s="3" t="str">
        <f t="shared" si="7"/>
        <v>CCL2</v>
      </c>
      <c r="C26" s="3" t="str">
        <f t="shared" si="8"/>
        <v>CCL2</v>
      </c>
      <c r="D26" s="3" t="str">
        <f t="shared" si="9"/>
        <v>CCL2_HUMAN</v>
      </c>
      <c r="E26" s="2" t="s">
        <v>21</v>
      </c>
      <c r="F26" s="3" t="str">
        <f t="shared" si="10"/>
        <v>C-C motif chemokine 2</v>
      </c>
      <c r="G26" s="4" t="str">
        <f t="shared" si="11"/>
        <v>Carlumab</v>
      </c>
      <c r="H26" s="3" t="str">
        <f>HYPERLINK("https://www.cortellis.com/drugdiscovery/entity/biomarkers/38797","204-gene expression breast cancer panel")</f>
        <v>204-gene expression breast cancer panel</v>
      </c>
      <c r="I26" s="2" t="s">
        <v>25</v>
      </c>
      <c r="J26" s="2" t="s">
        <v>19</v>
      </c>
      <c r="K26" s="4" t="str">
        <f>HYPERLINK("https://www.cortellis.com/drugdiscovery/result/proxy/related-content/biomarkers/genestargets/38797","C-C motif chemokine ligand 2")</f>
        <v>C-C motif chemokine ligand 2</v>
      </c>
    </row>
    <row r="27" spans="1:11" ht="60" customHeight="1" x14ac:dyDescent="0.2">
      <c r="A27" s="2">
        <v>24</v>
      </c>
      <c r="B27" s="3" t="str">
        <f t="shared" si="7"/>
        <v>CCL2</v>
      </c>
      <c r="C27" s="3" t="str">
        <f t="shared" si="8"/>
        <v>CCL2</v>
      </c>
      <c r="D27" s="3" t="str">
        <f t="shared" si="9"/>
        <v>CCL2_HUMAN</v>
      </c>
      <c r="E27" s="2" t="s">
        <v>21</v>
      </c>
      <c r="F27" s="3" t="str">
        <f t="shared" si="10"/>
        <v>C-C motif chemokine 2</v>
      </c>
      <c r="G27" s="4" t="str">
        <f t="shared" si="11"/>
        <v>Carlumab</v>
      </c>
      <c r="H27" s="3" t="str">
        <f>HYPERLINK("https://www.cortellis.com/drugdiscovery/entity/biomarkers/39788","Epithelial-mesenchymal transition gene signature")</f>
        <v>Epithelial-mesenchymal transition gene signature</v>
      </c>
      <c r="I27" s="2" t="s">
        <v>18</v>
      </c>
      <c r="J27" s="2" t="s">
        <v>19</v>
      </c>
      <c r="K27" s="4" t="str">
        <f>HYPERLINK("https://www.cortellis.com/drugdiscovery/result/proxy/related-content/biomarkers/genestargets/39788","C-C motif chemokine ligand 2; matrix metallopeptidase 9")</f>
        <v>C-C motif chemokine ligand 2; matrix metallopeptidase 9</v>
      </c>
    </row>
    <row r="28" spans="1:11" ht="60" customHeight="1" x14ac:dyDescent="0.2">
      <c r="A28" s="2">
        <v>25</v>
      </c>
      <c r="B28" s="3" t="str">
        <f t="shared" si="7"/>
        <v>CCL2</v>
      </c>
      <c r="C28" s="3" t="str">
        <f t="shared" si="8"/>
        <v>CCL2</v>
      </c>
      <c r="D28" s="3" t="str">
        <f t="shared" si="9"/>
        <v>CCL2_HUMAN</v>
      </c>
      <c r="E28" s="2" t="s">
        <v>21</v>
      </c>
      <c r="F28" s="3" t="str">
        <f t="shared" si="10"/>
        <v>C-C motif chemokine 2</v>
      </c>
      <c r="G28" s="4" t="str">
        <f t="shared" si="11"/>
        <v>Carlumab</v>
      </c>
      <c r="H28" s="3" t="str">
        <f>HYPERLINK("https://www.cortellis.com/drugdiscovery/entity/biomarkers/41724","113-gene expression breast cancer panel")</f>
        <v>113-gene expression breast cancer panel</v>
      </c>
      <c r="I28" s="2" t="s">
        <v>25</v>
      </c>
      <c r="J28" s="2" t="s">
        <v>19</v>
      </c>
      <c r="K28" s="4" t="str">
        <f>HYPERLINK("https://www.cortellis.com/drugdiscovery/result/proxy/related-content/biomarkers/genestargets/41724","C-C motif chemokine ligand 2; tenascin C")</f>
        <v>C-C motif chemokine ligand 2; tenascin C</v>
      </c>
    </row>
    <row r="29" spans="1:11" ht="60" customHeight="1" x14ac:dyDescent="0.2">
      <c r="A29" s="2">
        <v>26</v>
      </c>
      <c r="B29" s="3" t="str">
        <f t="shared" si="7"/>
        <v>CCL2</v>
      </c>
      <c r="C29" s="3" t="str">
        <f t="shared" si="8"/>
        <v>CCL2</v>
      </c>
      <c r="D29" s="3" t="str">
        <f t="shared" si="9"/>
        <v>CCL2_HUMAN</v>
      </c>
      <c r="E29" s="2" t="s">
        <v>21</v>
      </c>
      <c r="F29" s="3" t="str">
        <f t="shared" si="10"/>
        <v>C-C motif chemokine 2</v>
      </c>
      <c r="G29" s="4" t="str">
        <f t="shared" si="11"/>
        <v>Carlumab</v>
      </c>
      <c r="H29" s="3" t="str">
        <f>HYPERLINK("https://www.cortellis.com/drugdiscovery/entity/biomarkers/42240","14-gene expression glioblastoma panel")</f>
        <v>14-gene expression glioblastoma panel</v>
      </c>
      <c r="I29" s="2" t="s">
        <v>25</v>
      </c>
      <c r="J29" s="2" t="s">
        <v>19</v>
      </c>
      <c r="K29" s="4" t="str">
        <f>HYPERLINK("https://www.cortellis.com/drugdiscovery/result/proxy/related-content/biomarkers/genestargets/42240","C-C motif chemokine ligand 2")</f>
        <v>C-C motif chemokine ligand 2</v>
      </c>
    </row>
    <row r="30" spans="1:11" ht="60" customHeight="1" x14ac:dyDescent="0.2">
      <c r="A30" s="2">
        <v>27</v>
      </c>
      <c r="B30" s="3" t="str">
        <f t="shared" si="7"/>
        <v>CCL2</v>
      </c>
      <c r="C30" s="3" t="str">
        <f t="shared" si="8"/>
        <v>CCL2</v>
      </c>
      <c r="D30" s="3" t="str">
        <f t="shared" si="9"/>
        <v>CCL2_HUMAN</v>
      </c>
      <c r="E30" s="2" t="s">
        <v>21</v>
      </c>
      <c r="F30" s="3" t="str">
        <f t="shared" si="10"/>
        <v>C-C motif chemokine 2</v>
      </c>
      <c r="G30" s="4" t="str">
        <f t="shared" si="11"/>
        <v>Carlumab</v>
      </c>
      <c r="H30" s="3" t="str">
        <f>HYPERLINK("https://www.cortellis.com/drugdiscovery/entity/biomarkers/43073","4-protein glioblastoma panel")</f>
        <v>4-protein glioblastoma panel</v>
      </c>
      <c r="I30" s="2" t="s">
        <v>25</v>
      </c>
      <c r="J30" s="2" t="s">
        <v>17</v>
      </c>
      <c r="K30" s="4" t="str">
        <f>HYPERLINK("https://www.cortellis.com/drugdiscovery/result/proxy/related-content/biomarkers/genestargets/43073","C-C motif chemokine ligand 2; interleukin 7")</f>
        <v>C-C motif chemokine ligand 2; interleukin 7</v>
      </c>
    </row>
    <row r="31" spans="1:11" ht="60" customHeight="1" x14ac:dyDescent="0.2">
      <c r="A31" s="2">
        <v>28</v>
      </c>
      <c r="B31" s="3" t="str">
        <f t="shared" si="7"/>
        <v>CCL2</v>
      </c>
      <c r="C31" s="3" t="str">
        <f t="shared" si="8"/>
        <v>CCL2</v>
      </c>
      <c r="D31" s="3" t="str">
        <f t="shared" si="9"/>
        <v>CCL2_HUMAN</v>
      </c>
      <c r="E31" s="2" t="s">
        <v>21</v>
      </c>
      <c r="F31" s="3" t="str">
        <f t="shared" si="10"/>
        <v>C-C motif chemokine 2</v>
      </c>
      <c r="G31" s="4" t="str">
        <f t="shared" si="11"/>
        <v>Carlumab</v>
      </c>
      <c r="H31" s="3" t="str">
        <f>HYPERLINK("https://www.cortellis.com/drugdiscovery/entity/biomarkers/46063","15-gene expression graves disease panel")</f>
        <v>15-gene expression graves disease panel</v>
      </c>
      <c r="I31" s="2" t="s">
        <v>23</v>
      </c>
      <c r="J31" s="2" t="s">
        <v>19</v>
      </c>
      <c r="K31" s="4" t="str">
        <f>HYPERLINK("https://www.cortellis.com/drugdiscovery/result/proxy/related-content/biomarkers/genestargets/46063","C-C motif chemokine ligand 2")</f>
        <v>C-C motif chemokine ligand 2</v>
      </c>
    </row>
    <row r="32" spans="1:11" ht="60" customHeight="1" x14ac:dyDescent="0.2">
      <c r="A32" s="2">
        <v>29</v>
      </c>
      <c r="B32" s="3" t="str">
        <f t="shared" si="7"/>
        <v>CCL2</v>
      </c>
      <c r="C32" s="3" t="str">
        <f t="shared" si="8"/>
        <v>CCL2</v>
      </c>
      <c r="D32" s="3" t="str">
        <f t="shared" si="9"/>
        <v>CCL2_HUMAN</v>
      </c>
      <c r="E32" s="2" t="s">
        <v>21</v>
      </c>
      <c r="F32" s="3" t="str">
        <f t="shared" si="10"/>
        <v>C-C motif chemokine 2</v>
      </c>
      <c r="G32" s="4" t="str">
        <f t="shared" si="11"/>
        <v>Carlumab</v>
      </c>
      <c r="H32" s="3" t="str">
        <f>HYPERLINK("https://www.cortellis.com/drugdiscovery/entity/biomarkers/48483","AngioMatrix")</f>
        <v>AngioMatrix</v>
      </c>
      <c r="I32" s="2" t="s">
        <v>26</v>
      </c>
      <c r="J32" s="2" t="s">
        <v>19</v>
      </c>
      <c r="K32" s="4" t="str">
        <f>HYPERLINK("https://www.cortellis.com/drugdiscovery/result/proxy/related-content/biomarkers/genestargets/48483","C-C motif chemokine ligand 2; tenascin C")</f>
        <v>C-C motif chemokine ligand 2; tenascin C</v>
      </c>
    </row>
    <row r="33" spans="1:11" ht="60" customHeight="1" x14ac:dyDescent="0.2">
      <c r="A33" s="2">
        <v>30</v>
      </c>
      <c r="B33" s="3" t="str">
        <f t="shared" si="7"/>
        <v>CCL2</v>
      </c>
      <c r="C33" s="3" t="str">
        <f t="shared" si="8"/>
        <v>CCL2</v>
      </c>
      <c r="D33" s="3" t="str">
        <f t="shared" si="9"/>
        <v>CCL2_HUMAN</v>
      </c>
      <c r="E33" s="2" t="s">
        <v>21</v>
      </c>
      <c r="F33" s="3" t="str">
        <f t="shared" si="10"/>
        <v>C-C motif chemokine 2</v>
      </c>
      <c r="G33" s="4" t="str">
        <f t="shared" si="11"/>
        <v>Carlumab</v>
      </c>
      <c r="H33" s="3" t="str">
        <f>HYPERLINK("https://www.cortellis.com/drugdiscovery/entity/biomarkers/50816","10-gene lyme disease panel")</f>
        <v>10-gene lyme disease panel</v>
      </c>
      <c r="I33" s="2" t="s">
        <v>23</v>
      </c>
      <c r="J33" s="2" t="s">
        <v>15</v>
      </c>
      <c r="K33" s="4" t="str">
        <f>HYPERLINK("https://www.cortellis.com/drugdiscovery/result/proxy/related-content/biomarkers/genestargets/50816","C-C motif chemokine ligand 2; interferon gamma; tumor necrosis factor")</f>
        <v>C-C motif chemokine ligand 2; interferon gamma; tumor necrosis factor</v>
      </c>
    </row>
    <row r="34" spans="1:11" ht="60" customHeight="1" x14ac:dyDescent="0.2">
      <c r="A34" s="2">
        <v>31</v>
      </c>
      <c r="B34" s="3" t="str">
        <f t="shared" si="7"/>
        <v>CCL2</v>
      </c>
      <c r="C34" s="3" t="str">
        <f t="shared" si="8"/>
        <v>CCL2</v>
      </c>
      <c r="D34" s="3" t="str">
        <f t="shared" si="9"/>
        <v>CCL2_HUMAN</v>
      </c>
      <c r="E34" s="2" t="s">
        <v>21</v>
      </c>
      <c r="F34" s="3" t="str">
        <f t="shared" si="10"/>
        <v>C-C motif chemokine 2</v>
      </c>
      <c r="G34" s="4" t="str">
        <f t="shared" si="11"/>
        <v>Carlumab</v>
      </c>
      <c r="H34" s="3" t="str">
        <f>HYPERLINK("https://www.cortellis.com/drugdiscovery/entity/biomarkers/50817","11-gene lyme disease panel")</f>
        <v>11-gene lyme disease panel</v>
      </c>
      <c r="I34" s="2" t="s">
        <v>23</v>
      </c>
      <c r="J34" s="2" t="s">
        <v>15</v>
      </c>
      <c r="K34" s="4" t="str">
        <f>HYPERLINK("https://www.cortellis.com/drugdiscovery/result/proxy/related-content/biomarkers/genestargets/50817","C-C motif chemokine ligand 2; interferon gamma; tumor necrosis factor")</f>
        <v>C-C motif chemokine ligand 2; interferon gamma; tumor necrosis factor</v>
      </c>
    </row>
    <row r="35" spans="1:11" ht="60" customHeight="1" x14ac:dyDescent="0.2">
      <c r="A35" s="2">
        <v>32</v>
      </c>
      <c r="B35" s="3" t="str">
        <f t="shared" si="7"/>
        <v>CCL2</v>
      </c>
      <c r="C35" s="3" t="str">
        <f t="shared" si="8"/>
        <v>CCL2</v>
      </c>
      <c r="D35" s="3" t="str">
        <f t="shared" si="9"/>
        <v>CCL2_HUMAN</v>
      </c>
      <c r="E35" s="2" t="s">
        <v>21</v>
      </c>
      <c r="F35" s="3" t="str">
        <f t="shared" si="10"/>
        <v>C-C motif chemokine 2</v>
      </c>
      <c r="G35" s="4" t="str">
        <f t="shared" si="11"/>
        <v>Carlumab</v>
      </c>
      <c r="H35" s="3" t="str">
        <f>HYPERLINK("https://www.cortellis.com/drugdiscovery/entity/biomarkers/50818","12 protein Lyme disease panel")</f>
        <v>12 protein Lyme disease panel</v>
      </c>
      <c r="I35" s="2" t="s">
        <v>23</v>
      </c>
      <c r="J35" s="2" t="s">
        <v>17</v>
      </c>
      <c r="K35" s="4" t="str">
        <f>HYPERLINK("https://www.cortellis.com/drugdiscovery/result/proxy/related-content/biomarkers/genestargets/50818","C-C motif chemokine ligand 2; interferon gamma; tumor necrosis factor")</f>
        <v>C-C motif chemokine ligand 2; interferon gamma; tumor necrosis factor</v>
      </c>
    </row>
    <row r="36" spans="1:11" ht="60" customHeight="1" x14ac:dyDescent="0.2">
      <c r="A36" s="2">
        <v>33</v>
      </c>
      <c r="B36" s="3" t="str">
        <f t="shared" si="7"/>
        <v>CCL2</v>
      </c>
      <c r="C36" s="3" t="str">
        <f t="shared" si="8"/>
        <v>CCL2</v>
      </c>
      <c r="D36" s="3" t="str">
        <f t="shared" si="9"/>
        <v>CCL2_HUMAN</v>
      </c>
      <c r="E36" s="2" t="s">
        <v>21</v>
      </c>
      <c r="F36" s="3" t="str">
        <f t="shared" si="10"/>
        <v>C-C motif chemokine 2</v>
      </c>
      <c r="G36" s="4" t="str">
        <f t="shared" si="11"/>
        <v>Carlumab</v>
      </c>
      <c r="H36" s="3" t="str">
        <f>HYPERLINK("https://www.cortellis.com/drugdiscovery/entity/biomarkers/50876","6-gene expression glioblastoma panel")</f>
        <v>6-gene expression glioblastoma panel</v>
      </c>
      <c r="I36" s="2" t="s">
        <v>27</v>
      </c>
      <c r="J36" s="2" t="s">
        <v>19</v>
      </c>
      <c r="K36" s="4" t="str">
        <f>HYPERLINK("https://www.cortellis.com/drugdiscovery/result/proxy/related-content/biomarkers/genestargets/50876","C-C motif chemokine ligand 2")</f>
        <v>C-C motif chemokine ligand 2</v>
      </c>
    </row>
    <row r="37" spans="1:11" ht="60" customHeight="1" x14ac:dyDescent="0.2">
      <c r="A37" s="2">
        <v>34</v>
      </c>
      <c r="B37" s="3" t="str">
        <f t="shared" si="7"/>
        <v>CCL2</v>
      </c>
      <c r="C37" s="3" t="str">
        <f t="shared" si="8"/>
        <v>CCL2</v>
      </c>
      <c r="D37" s="3" t="str">
        <f t="shared" si="9"/>
        <v>CCL2_HUMAN</v>
      </c>
      <c r="E37" s="2" t="s">
        <v>21</v>
      </c>
      <c r="F37" s="3" t="str">
        <f t="shared" si="10"/>
        <v>C-C motif chemokine 2</v>
      </c>
      <c r="G37" s="4" t="str">
        <f t="shared" si="11"/>
        <v>Carlumab</v>
      </c>
      <c r="H37" s="3" t="str">
        <f>HYPERLINK("https://www.cortellis.com/drugdiscovery/entity/biomarkers/51292","37-gene expression major depression panel")</f>
        <v>37-gene expression major depression panel</v>
      </c>
      <c r="I37" s="2" t="s">
        <v>23</v>
      </c>
      <c r="J37" s="2" t="s">
        <v>19</v>
      </c>
      <c r="K37" s="4" t="str">
        <f>HYPERLINK("https://www.cortellis.com/drugdiscovery/result/proxy/related-content/biomarkers/genestargets/51292","C-C motif chemokine ligand 2; tumor necrosis factor")</f>
        <v>C-C motif chemokine ligand 2; tumor necrosis factor</v>
      </c>
    </row>
    <row r="38" spans="1:11" ht="60" customHeight="1" x14ac:dyDescent="0.2">
      <c r="A38" s="2">
        <v>35</v>
      </c>
      <c r="B38" s="3" t="str">
        <f t="shared" si="7"/>
        <v>CCL2</v>
      </c>
      <c r="C38" s="3" t="str">
        <f t="shared" si="8"/>
        <v>CCL2</v>
      </c>
      <c r="D38" s="3" t="str">
        <f t="shared" si="9"/>
        <v>CCL2_HUMAN</v>
      </c>
      <c r="E38" s="2" t="s">
        <v>21</v>
      </c>
      <c r="F38" s="3" t="str">
        <f t="shared" si="10"/>
        <v>C-C motif chemokine 2</v>
      </c>
      <c r="G38" s="4" t="str">
        <f t="shared" si="11"/>
        <v>Carlumab</v>
      </c>
      <c r="H38" s="3" t="str">
        <f>HYPERLINK("https://www.cortellis.com/drugdiscovery/entity/biomarkers/53322","4-protein arthritis panel")</f>
        <v>4-protein arthritis panel</v>
      </c>
      <c r="I38" s="2" t="s">
        <v>28</v>
      </c>
      <c r="J38" s="2" t="s">
        <v>17</v>
      </c>
      <c r="K38" s="4" t="str">
        <f>HYPERLINK("https://www.cortellis.com/drugdiscovery/result/proxy/related-content/biomarkers/genestargets/53322","C-C motif chemokine ligand 2")</f>
        <v>C-C motif chemokine ligand 2</v>
      </c>
    </row>
    <row r="39" spans="1:11" ht="60" customHeight="1" x14ac:dyDescent="0.2">
      <c r="A39" s="2">
        <v>36</v>
      </c>
      <c r="B39" s="3" t="str">
        <f t="shared" si="7"/>
        <v>CCL2</v>
      </c>
      <c r="C39" s="3" t="str">
        <f t="shared" si="8"/>
        <v>CCL2</v>
      </c>
      <c r="D39" s="3" t="str">
        <f t="shared" si="9"/>
        <v>CCL2_HUMAN</v>
      </c>
      <c r="E39" s="2" t="s">
        <v>21</v>
      </c>
      <c r="F39" s="3" t="str">
        <f t="shared" si="10"/>
        <v>C-C motif chemokine 2</v>
      </c>
      <c r="G39" s="4" t="str">
        <f t="shared" si="11"/>
        <v>Carlumab</v>
      </c>
      <c r="H39" s="3" t="str">
        <f>HYPERLINK("https://www.cortellis.com/drugdiscovery/entity/biomarkers/56837","794-gene expression intrahepatic cholangiocarcinoma panel")</f>
        <v>794-gene expression intrahepatic cholangiocarcinoma panel</v>
      </c>
      <c r="I39" s="2" t="s">
        <v>25</v>
      </c>
      <c r="J39" s="2" t="s">
        <v>19</v>
      </c>
      <c r="K39" s="4" t="str">
        <f>HYPERLINK("https://www.cortellis.com/drugdiscovery/result/proxy/related-content/biomarkers/genestargets/56837","C-C motif chemokine ligand 2; tenascin C")</f>
        <v>C-C motif chemokine ligand 2; tenascin C</v>
      </c>
    </row>
    <row r="40" spans="1:11" ht="60" customHeight="1" x14ac:dyDescent="0.2">
      <c r="A40" s="2">
        <v>37</v>
      </c>
      <c r="B40" s="3" t="str">
        <f t="shared" si="7"/>
        <v>CCL2</v>
      </c>
      <c r="C40" s="3" t="str">
        <f t="shared" si="8"/>
        <v>CCL2</v>
      </c>
      <c r="D40" s="3" t="str">
        <f t="shared" si="9"/>
        <v>CCL2_HUMAN</v>
      </c>
      <c r="E40" s="2" t="s">
        <v>21</v>
      </c>
      <c r="F40" s="3" t="str">
        <f t="shared" si="10"/>
        <v>C-C motif chemokine 2</v>
      </c>
      <c r="G40" s="4" t="str">
        <f t="shared" si="11"/>
        <v>Carlumab</v>
      </c>
      <c r="H40" s="3" t="str">
        <f>HYPERLINK("https://www.cortellis.com/drugdiscovery/entity/biomarkers/58911","12-gene expression breast cancer panel")</f>
        <v>12-gene expression breast cancer panel</v>
      </c>
      <c r="I40" s="2" t="s">
        <v>18</v>
      </c>
      <c r="J40" s="2" t="s">
        <v>19</v>
      </c>
      <c r="K40" s="4" t="str">
        <f>HYPERLINK("https://www.cortellis.com/drugdiscovery/result/proxy/related-content/biomarkers/genestargets/58911","C-C motif chemokine ligand 2")</f>
        <v>C-C motif chemokine ligand 2</v>
      </c>
    </row>
    <row r="41" spans="1:11" ht="60" customHeight="1" x14ac:dyDescent="0.2">
      <c r="A41" s="2">
        <v>38</v>
      </c>
      <c r="B41" s="3" t="str">
        <f t="shared" si="7"/>
        <v>CCL2</v>
      </c>
      <c r="C41" s="3" t="str">
        <f t="shared" si="8"/>
        <v>CCL2</v>
      </c>
      <c r="D41" s="3" t="str">
        <f t="shared" si="9"/>
        <v>CCL2_HUMAN</v>
      </c>
      <c r="E41" s="2" t="s">
        <v>21</v>
      </c>
      <c r="F41" s="3" t="str">
        <f t="shared" si="10"/>
        <v>C-C motif chemokine 2</v>
      </c>
      <c r="G41" s="4" t="str">
        <f t="shared" si="11"/>
        <v>Carlumab</v>
      </c>
      <c r="H41" s="3" t="str">
        <f>HYPERLINK("https://www.cortellis.com/drugdiscovery/entity/biomarkers/60189","CCL2-ATF7IP fusion protein")</f>
        <v>CCL2-ATF7IP fusion protein</v>
      </c>
      <c r="I41" s="2" t="s">
        <v>18</v>
      </c>
      <c r="J41" s="2" t="s">
        <v>15</v>
      </c>
      <c r="K41" s="4" t="str">
        <f>HYPERLINK("https://www.cortellis.com/drugdiscovery/result/proxy/related-content/biomarkers/genestargets/60189","C-C motif chemokine ligand 2")</f>
        <v>C-C motif chemokine ligand 2</v>
      </c>
    </row>
    <row r="42" spans="1:11" ht="60" customHeight="1" x14ac:dyDescent="0.2">
      <c r="A42" s="2">
        <v>39</v>
      </c>
      <c r="B42" s="3" t="str">
        <f t="shared" si="7"/>
        <v>CCL2</v>
      </c>
      <c r="C42" s="3" t="str">
        <f t="shared" si="8"/>
        <v>CCL2</v>
      </c>
      <c r="D42" s="3" t="str">
        <f t="shared" si="9"/>
        <v>CCL2_HUMAN</v>
      </c>
      <c r="E42" s="2" t="s">
        <v>21</v>
      </c>
      <c r="F42" s="3" t="str">
        <f t="shared" si="10"/>
        <v>C-C motif chemokine 2</v>
      </c>
      <c r="G42" s="4" t="str">
        <f t="shared" si="11"/>
        <v>Carlumab</v>
      </c>
      <c r="H42" s="3" t="str">
        <f>HYPERLINK("https://www.cortellis.com/drugdiscovery/entity/biomarkers/62155","19-protein rhegmatogenous retinal detachment panel")</f>
        <v>19-protein rhegmatogenous retinal detachment panel</v>
      </c>
      <c r="I42" s="2" t="s">
        <v>24</v>
      </c>
      <c r="J42" s="2" t="s">
        <v>17</v>
      </c>
      <c r="K42" s="4" t="str">
        <f>HYPERLINK("https://www.cortellis.com/drugdiscovery/result/proxy/related-content/biomarkers/genestargets/62155","C-C motif chemokine ligand 2; interleukin 12B; tumor necrosis factor")</f>
        <v>C-C motif chemokine ligand 2; interleukin 12B; tumor necrosis factor</v>
      </c>
    </row>
    <row r="43" spans="1:11" ht="60" customHeight="1" x14ac:dyDescent="0.2">
      <c r="A43" s="2">
        <v>40</v>
      </c>
      <c r="B43" s="3" t="str">
        <f t="shared" si="7"/>
        <v>CCL2</v>
      </c>
      <c r="C43" s="3" t="str">
        <f t="shared" si="8"/>
        <v>CCL2</v>
      </c>
      <c r="D43" s="3" t="str">
        <f t="shared" si="9"/>
        <v>CCL2_HUMAN</v>
      </c>
      <c r="E43" s="2" t="s">
        <v>21</v>
      </c>
      <c r="F43" s="3" t="str">
        <f t="shared" si="10"/>
        <v>C-C motif chemokine 2</v>
      </c>
      <c r="G43" s="4" t="str">
        <f t="shared" si="11"/>
        <v>Carlumab</v>
      </c>
      <c r="H43" s="3" t="str">
        <f>HYPERLINK("https://www.cortellis.com/drugdiscovery/entity/biomarkers/62663","9-protein immunological disorders panel")</f>
        <v>9-protein immunological disorders panel</v>
      </c>
      <c r="I43" s="2" t="s">
        <v>24</v>
      </c>
      <c r="J43" s="2" t="s">
        <v>17</v>
      </c>
      <c r="K43" s="4" t="str">
        <f>HYPERLINK("https://www.cortellis.com/drugdiscovery/result/proxy/related-content/biomarkers/genestargets/62663","C-C motif chemokine ligand 2; interferon gamma; tumor necrosis factor")</f>
        <v>C-C motif chemokine ligand 2; interferon gamma; tumor necrosis factor</v>
      </c>
    </row>
    <row r="44" spans="1:11" ht="60" customHeight="1" x14ac:dyDescent="0.2">
      <c r="A44" s="2">
        <v>41</v>
      </c>
      <c r="B44" s="3" t="str">
        <f t="shared" si="7"/>
        <v>CCL2</v>
      </c>
      <c r="C44" s="3" t="str">
        <f t="shared" si="8"/>
        <v>CCL2</v>
      </c>
      <c r="D44" s="3" t="str">
        <f t="shared" si="9"/>
        <v>CCL2_HUMAN</v>
      </c>
      <c r="E44" s="2" t="s">
        <v>21</v>
      </c>
      <c r="F44" s="3" t="str">
        <f t="shared" si="10"/>
        <v>C-C motif chemokine 2</v>
      </c>
      <c r="G44" s="4" t="str">
        <f t="shared" si="11"/>
        <v>Carlumab</v>
      </c>
      <c r="H44" s="3" t="str">
        <f>HYPERLINK("https://www.cortellis.com/drugdiscovery/entity/biomarkers/64489","13-gene expression head and neck squamous cell carcinoma panel")</f>
        <v>13-gene expression head and neck squamous cell carcinoma panel</v>
      </c>
      <c r="I44" s="2" t="s">
        <v>18</v>
      </c>
      <c r="J44" s="2" t="s">
        <v>19</v>
      </c>
      <c r="K44" s="4" t="str">
        <f>HYPERLINK("https://www.cortellis.com/drugdiscovery/result/proxy/related-content/biomarkers/genestargets/64489","C-C motif chemokine ligand 2")</f>
        <v>C-C motif chemokine ligand 2</v>
      </c>
    </row>
    <row r="45" spans="1:11" ht="60" customHeight="1" x14ac:dyDescent="0.2">
      <c r="A45" s="2">
        <v>42</v>
      </c>
      <c r="B45" s="3" t="str">
        <f t="shared" ref="B45:B55" si="12">HYPERLINK("https://portal.genego.com/cgi/entity_page.cgi?term=100&amp;id=124","CD44")</f>
        <v>CD44</v>
      </c>
      <c r="C45" s="3" t="str">
        <f t="shared" ref="C45:C88" si="13">HYPERLINK("https://portal.genego.com/cgi/entity_page.cgi?term=20&amp;id=841376480","CD44")</f>
        <v>CD44</v>
      </c>
      <c r="D45" s="3" t="str">
        <f t="shared" ref="D45:D55" si="14">HYPERLINK("https://portal.genego.com/cgi/entity_page.cgi?term=7&amp;id=-1728366767","CD44_HUMAN")</f>
        <v>CD44_HUMAN</v>
      </c>
      <c r="E45" s="2" t="s">
        <v>13</v>
      </c>
      <c r="F45" s="3" t="str">
        <f t="shared" ref="F45:F55" si="15">HYPERLINK("https://portal.genego.com/cgi/entity_page.cgi?term=100&amp;id=124","CD44 antigen")</f>
        <v>CD44 antigen</v>
      </c>
      <c r="G45" s="4" t="str">
        <f t="shared" ref="G45:G55" si="16">HYPERLINK("https://portal.genego.com/cgi/entity_page.cgi?term=7&amp;id=791446525","Bivatuzumab")</f>
        <v>Bivatuzumab</v>
      </c>
      <c r="H45" s="3" t="str">
        <f>HYPERLINK("https://www.cortellis.com/drugdiscovery/entity/biomarkers/36","CD44 antigen")</f>
        <v>CD44 antigen</v>
      </c>
      <c r="I45" s="2" t="s">
        <v>22</v>
      </c>
      <c r="J45" s="2" t="s">
        <v>15</v>
      </c>
      <c r="K45" s="4" t="str">
        <f>HYPERLINK("https://www.cortellis.com/drugdiscovery/result/proxy/related-content/biomarkers/genestargets/36","CD44 molecule (Indian blood group)")</f>
        <v>CD44 molecule (Indian blood group)</v>
      </c>
    </row>
    <row r="46" spans="1:11" ht="60" customHeight="1" x14ac:dyDescent="0.2">
      <c r="A46" s="2">
        <v>43</v>
      </c>
      <c r="B46" s="3" t="str">
        <f t="shared" si="12"/>
        <v>CD44</v>
      </c>
      <c r="C46" s="3" t="str">
        <f t="shared" si="13"/>
        <v>CD44</v>
      </c>
      <c r="D46" s="3" t="str">
        <f t="shared" si="14"/>
        <v>CD44_HUMAN</v>
      </c>
      <c r="E46" s="2" t="s">
        <v>13</v>
      </c>
      <c r="F46" s="3" t="str">
        <f t="shared" si="15"/>
        <v>CD44 antigen</v>
      </c>
      <c r="G46" s="4" t="str">
        <f t="shared" si="16"/>
        <v>Bivatuzumab</v>
      </c>
      <c r="H46" s="3" t="str">
        <f>HYPERLINK("https://www.cortellis.com/drugdiscovery/entity/biomarkers/25837","374-gene expression breast cancer panel")</f>
        <v>374-gene expression breast cancer panel</v>
      </c>
      <c r="I46" s="2" t="s">
        <v>25</v>
      </c>
      <c r="J46" s="2" t="s">
        <v>19</v>
      </c>
      <c r="K46" s="4" t="str">
        <f>HYPERLINK("https://www.cortellis.com/drugdiscovery/result/proxy/related-content/biomarkers/genestargets/25837","CD44 molecule (Indian blood group); coagulation factor III, tissue factor; cyclin D1")</f>
        <v>CD44 molecule (Indian blood group); coagulation factor III, tissue factor; cyclin D1</v>
      </c>
    </row>
    <row r="47" spans="1:11" ht="60" customHeight="1" x14ac:dyDescent="0.2">
      <c r="A47" s="2">
        <v>44</v>
      </c>
      <c r="B47" s="3" t="str">
        <f t="shared" si="12"/>
        <v>CD44</v>
      </c>
      <c r="C47" s="3" t="str">
        <f t="shared" si="13"/>
        <v>CD44</v>
      </c>
      <c r="D47" s="3" t="str">
        <f t="shared" si="14"/>
        <v>CD44_HUMAN</v>
      </c>
      <c r="E47" s="2" t="s">
        <v>13</v>
      </c>
      <c r="F47" s="3" t="str">
        <f t="shared" si="15"/>
        <v>CD44 antigen</v>
      </c>
      <c r="G47" s="4" t="str">
        <f t="shared" si="16"/>
        <v>Bivatuzumab</v>
      </c>
      <c r="H47" s="3" t="str">
        <f>HYPERLINK("https://www.cortellis.com/drugdiscovery/entity/biomarkers/27383","59-gene expression neuroblastoma panel")</f>
        <v>59-gene expression neuroblastoma panel</v>
      </c>
      <c r="I47" s="2" t="s">
        <v>25</v>
      </c>
      <c r="J47" s="2" t="s">
        <v>19</v>
      </c>
      <c r="K47" s="4" t="str">
        <f>HYPERLINK("https://www.cortellis.com/drugdiscovery/result/proxy/related-content/biomarkers/genestargets/27383","CD44 molecule (Indian blood group)")</f>
        <v>CD44 molecule (Indian blood group)</v>
      </c>
    </row>
    <row r="48" spans="1:11" ht="60" customHeight="1" x14ac:dyDescent="0.2">
      <c r="A48" s="2">
        <v>45</v>
      </c>
      <c r="B48" s="3" t="str">
        <f t="shared" si="12"/>
        <v>CD44</v>
      </c>
      <c r="C48" s="3" t="str">
        <f t="shared" si="13"/>
        <v>CD44</v>
      </c>
      <c r="D48" s="3" t="str">
        <f t="shared" si="14"/>
        <v>CD44_HUMAN</v>
      </c>
      <c r="E48" s="2" t="s">
        <v>13</v>
      </c>
      <c r="F48" s="3" t="str">
        <f t="shared" si="15"/>
        <v>CD44 antigen</v>
      </c>
      <c r="G48" s="4" t="str">
        <f t="shared" si="16"/>
        <v>Bivatuzumab</v>
      </c>
      <c r="H48" s="3" t="str">
        <f>HYPERLINK("https://www.cortellis.com/drugdiscovery/entity/biomarkers/27478","45-gene expression lung cancer panel")</f>
        <v>45-gene expression lung cancer panel</v>
      </c>
      <c r="I48" s="2" t="s">
        <v>18</v>
      </c>
      <c r="J48" s="2" t="s">
        <v>19</v>
      </c>
      <c r="K48" s="4" t="str">
        <f>HYPERLINK("https://www.cortellis.com/drugdiscovery/result/proxy/related-content/biomarkers/genestargets/27478","CD44 molecule (Indian blood group)")</f>
        <v>CD44 molecule (Indian blood group)</v>
      </c>
    </row>
    <row r="49" spans="1:11" ht="60" customHeight="1" x14ac:dyDescent="0.2">
      <c r="A49" s="2">
        <v>46</v>
      </c>
      <c r="B49" s="3" t="str">
        <f t="shared" si="12"/>
        <v>CD44</v>
      </c>
      <c r="C49" s="3" t="str">
        <f t="shared" si="13"/>
        <v>CD44</v>
      </c>
      <c r="D49" s="3" t="str">
        <f t="shared" si="14"/>
        <v>CD44_HUMAN</v>
      </c>
      <c r="E49" s="2" t="s">
        <v>13</v>
      </c>
      <c r="F49" s="3" t="str">
        <f t="shared" si="15"/>
        <v>CD44 antigen</v>
      </c>
      <c r="G49" s="4" t="str">
        <f t="shared" si="16"/>
        <v>Bivatuzumab</v>
      </c>
      <c r="H49" s="3" t="str">
        <f>HYPERLINK("https://www.cortellis.com/drugdiscovery/entity/biomarkers/38653","61-gene expression allergic rhinitis panel")</f>
        <v>61-gene expression allergic rhinitis panel</v>
      </c>
      <c r="I49" s="2" t="s">
        <v>23</v>
      </c>
      <c r="J49" s="2" t="s">
        <v>19</v>
      </c>
      <c r="K49" s="4" t="str">
        <f>HYPERLINK("https://www.cortellis.com/drugdiscovery/result/proxy/related-content/biomarkers/genestargets/38653","CD274 molecule; CD44 molecule (Indian blood group)")</f>
        <v>CD274 molecule; CD44 molecule (Indian blood group)</v>
      </c>
    </row>
    <row r="50" spans="1:11" ht="60" customHeight="1" x14ac:dyDescent="0.2">
      <c r="A50" s="2">
        <v>47</v>
      </c>
      <c r="B50" s="3" t="str">
        <f t="shared" si="12"/>
        <v>CD44</v>
      </c>
      <c r="C50" s="3" t="str">
        <f t="shared" si="13"/>
        <v>CD44</v>
      </c>
      <c r="D50" s="3" t="str">
        <f t="shared" si="14"/>
        <v>CD44_HUMAN</v>
      </c>
      <c r="E50" s="2" t="s">
        <v>13</v>
      </c>
      <c r="F50" s="3" t="str">
        <f t="shared" si="15"/>
        <v>CD44 antigen</v>
      </c>
      <c r="G50" s="4" t="str">
        <f t="shared" si="16"/>
        <v>Bivatuzumab</v>
      </c>
      <c r="H50" s="3" t="str">
        <f>HYPERLINK("https://www.cortellis.com/drugdiscovery/entity/biomarkers/39244","53-protein diffuse large B-cell lymphoma panel")</f>
        <v>53-protein diffuse large B-cell lymphoma panel</v>
      </c>
      <c r="I50" s="2" t="s">
        <v>28</v>
      </c>
      <c r="J50" s="2" t="s">
        <v>17</v>
      </c>
      <c r="K50" s="4" t="str">
        <f>HYPERLINK("https://www.cortellis.com/drugdiscovery/result/proxy/related-content/biomarkers/genestargets/39244","CD44 molecule (Indian blood group)")</f>
        <v>CD44 molecule (Indian blood group)</v>
      </c>
    </row>
    <row r="51" spans="1:11" ht="60" customHeight="1" x14ac:dyDescent="0.2">
      <c r="A51" s="2">
        <v>48</v>
      </c>
      <c r="B51" s="3" t="str">
        <f t="shared" si="12"/>
        <v>CD44</v>
      </c>
      <c r="C51" s="3" t="str">
        <f t="shared" si="13"/>
        <v>CD44</v>
      </c>
      <c r="D51" s="3" t="str">
        <f t="shared" si="14"/>
        <v>CD44_HUMAN</v>
      </c>
      <c r="E51" s="2" t="s">
        <v>13</v>
      </c>
      <c r="F51" s="3" t="str">
        <f t="shared" si="15"/>
        <v>CD44 antigen</v>
      </c>
      <c r="G51" s="4" t="str">
        <f t="shared" si="16"/>
        <v>Bivatuzumab</v>
      </c>
      <c r="H51" s="3" t="str">
        <f>HYPERLINK("https://www.cortellis.com/drugdiscovery/entity/biomarkers/41312","4-gene expression prostate cancer panel")</f>
        <v>4-gene expression prostate cancer panel</v>
      </c>
      <c r="I51" s="2" t="s">
        <v>23</v>
      </c>
      <c r="J51" s="2" t="s">
        <v>19</v>
      </c>
      <c r="K51" s="4" t="str">
        <f>HYPERLINK("https://www.cortellis.com/drugdiscovery/result/proxy/related-content/biomarkers/genestargets/41312","CD44 molecule (Indian blood group)")</f>
        <v>CD44 molecule (Indian blood group)</v>
      </c>
    </row>
    <row r="52" spans="1:11" ht="60" customHeight="1" x14ac:dyDescent="0.2">
      <c r="A52" s="2">
        <v>49</v>
      </c>
      <c r="B52" s="3" t="str">
        <f t="shared" si="12"/>
        <v>CD44</v>
      </c>
      <c r="C52" s="3" t="str">
        <f t="shared" si="13"/>
        <v>CD44</v>
      </c>
      <c r="D52" s="3" t="str">
        <f t="shared" si="14"/>
        <v>CD44_HUMAN</v>
      </c>
      <c r="E52" s="2" t="s">
        <v>13</v>
      </c>
      <c r="F52" s="3" t="str">
        <f t="shared" si="15"/>
        <v>CD44 antigen</v>
      </c>
      <c r="G52" s="4" t="str">
        <f t="shared" si="16"/>
        <v>Bivatuzumab</v>
      </c>
      <c r="H52" s="3" t="str">
        <f>HYPERLINK("https://www.cortellis.com/drugdiscovery/entity/biomarkers/41780","322-gene expression thyroid cancer panel")</f>
        <v>322-gene expression thyroid cancer panel</v>
      </c>
      <c r="I52" s="2" t="s">
        <v>23</v>
      </c>
      <c r="J52" s="2" t="s">
        <v>19</v>
      </c>
      <c r="K52" s="4" t="str">
        <f>HYPERLINK("https://www.cortellis.com/drugdiscovery/result/proxy/related-content/biomarkers/genestargets/41780","CD44 molecule (Indian blood group)")</f>
        <v>CD44 molecule (Indian blood group)</v>
      </c>
    </row>
    <row r="53" spans="1:11" ht="60" customHeight="1" x14ac:dyDescent="0.2">
      <c r="A53" s="2">
        <v>50</v>
      </c>
      <c r="B53" s="3" t="str">
        <f t="shared" si="12"/>
        <v>CD44</v>
      </c>
      <c r="C53" s="3" t="str">
        <f t="shared" si="13"/>
        <v>CD44</v>
      </c>
      <c r="D53" s="3" t="str">
        <f t="shared" si="14"/>
        <v>CD44_HUMAN</v>
      </c>
      <c r="E53" s="2" t="s">
        <v>13</v>
      </c>
      <c r="F53" s="3" t="str">
        <f t="shared" si="15"/>
        <v>CD44 antigen</v>
      </c>
      <c r="G53" s="4" t="str">
        <f t="shared" si="16"/>
        <v>Bivatuzumab</v>
      </c>
      <c r="H53" s="3" t="str">
        <f>HYPERLINK("https://www.cortellis.com/drugdiscovery/entity/biomarkers/61761","8-gene expression lung cancer panel")</f>
        <v>8-gene expression lung cancer panel</v>
      </c>
      <c r="I53" s="2" t="s">
        <v>23</v>
      </c>
      <c r="J53" s="2" t="s">
        <v>19</v>
      </c>
      <c r="K53" s="4" t="str">
        <f>HYPERLINK("https://www.cortellis.com/drugdiscovery/result/proxy/related-content/biomarkers/genestargets/61761","CD44 molecule (Indian blood group)")</f>
        <v>CD44 molecule (Indian blood group)</v>
      </c>
    </row>
    <row r="54" spans="1:11" ht="60" customHeight="1" x14ac:dyDescent="0.2">
      <c r="A54" s="2">
        <v>51</v>
      </c>
      <c r="B54" s="3" t="str">
        <f t="shared" si="12"/>
        <v>CD44</v>
      </c>
      <c r="C54" s="3" t="str">
        <f t="shared" si="13"/>
        <v>CD44</v>
      </c>
      <c r="D54" s="3" t="str">
        <f t="shared" si="14"/>
        <v>CD44_HUMAN</v>
      </c>
      <c r="E54" s="2" t="s">
        <v>13</v>
      </c>
      <c r="F54" s="3" t="str">
        <f t="shared" si="15"/>
        <v>CD44 antigen</v>
      </c>
      <c r="G54" s="4" t="str">
        <f t="shared" si="16"/>
        <v>Bivatuzumab</v>
      </c>
      <c r="H54" s="3" t="str">
        <f>HYPERLINK("https://www.cortellis.com/drugdiscovery/entity/biomarkers/62809","8-protein endometrium cancer panel")</f>
        <v>8-protein endometrium cancer panel</v>
      </c>
      <c r="I54" s="2" t="s">
        <v>23</v>
      </c>
      <c r="J54" s="2" t="s">
        <v>17</v>
      </c>
      <c r="K54" s="4" t="str">
        <f>HYPERLINK("https://www.cortellis.com/drugdiscovery/result/proxy/related-content/biomarkers/genestargets/62809","CD44 molecule (Indian blood group)")</f>
        <v>CD44 molecule (Indian blood group)</v>
      </c>
    </row>
    <row r="55" spans="1:11" ht="60" customHeight="1" x14ac:dyDescent="0.2">
      <c r="A55" s="2">
        <v>52</v>
      </c>
      <c r="B55" s="3" t="str">
        <f t="shared" si="12"/>
        <v>CD44</v>
      </c>
      <c r="C55" s="3" t="str">
        <f t="shared" si="13"/>
        <v>CD44</v>
      </c>
      <c r="D55" s="3" t="str">
        <f t="shared" si="14"/>
        <v>CD44_HUMAN</v>
      </c>
      <c r="E55" s="2" t="s">
        <v>13</v>
      </c>
      <c r="F55" s="3" t="str">
        <f t="shared" si="15"/>
        <v>CD44 antigen</v>
      </c>
      <c r="G55" s="4" t="str">
        <f t="shared" si="16"/>
        <v>Bivatuzumab</v>
      </c>
      <c r="H55" s="3" t="str">
        <f>HYPERLINK("https://www.cortellis.com/drugdiscovery/entity/biomarkers/63165","CD44-IGF1R fusion protein")</f>
        <v>CD44-IGF1R fusion protein</v>
      </c>
      <c r="I55" s="2" t="s">
        <v>29</v>
      </c>
      <c r="J55" s="2" t="s">
        <v>15</v>
      </c>
      <c r="K55" s="4" t="str">
        <f>HYPERLINK("https://www.cortellis.com/drugdiscovery/result/proxy/related-content/biomarkers/genestargets/63165","CD44 molecule (Indian blood group)")</f>
        <v>CD44 molecule (Indian blood group)</v>
      </c>
    </row>
    <row r="56" spans="1:11" ht="60" customHeight="1" x14ac:dyDescent="0.2">
      <c r="A56" s="2">
        <v>53</v>
      </c>
      <c r="B56" s="3" t="str">
        <f t="shared" ref="B56:B66" si="17">HYPERLINK("https://portal.genego.com/cgi/entity_page.cgi?term=100&amp;id=-1907300401","CD44 (EXT)")</f>
        <v>CD44 (EXT)</v>
      </c>
      <c r="C56" s="3" t="str">
        <f t="shared" si="13"/>
        <v>CD44</v>
      </c>
      <c r="D56" s="3" t="str">
        <f t="shared" ref="D56:D66" si="18">HYPERLINK("https://portal.genego.com/cgi/entity_page.cgi?term=7&amp;id=-719247050","CD44 (EXT)_(HUMAN)")</f>
        <v>CD44 (EXT)_(HUMAN)</v>
      </c>
      <c r="E56" s="2" t="s">
        <v>30</v>
      </c>
      <c r="F56" s="3" t="str">
        <f t="shared" ref="F56:F66" si="19">HYPERLINK("https://portal.genego.com/cgi/entity_page.cgi?term=100&amp;id=-1907300401","CD44 extracellular truncation")</f>
        <v>CD44 extracellular truncation</v>
      </c>
      <c r="G56" s="4"/>
      <c r="H56" s="3" t="str">
        <f>HYPERLINK("https://www.cortellis.com/drugdiscovery/entity/biomarkers/36","CD44 antigen")</f>
        <v>CD44 antigen</v>
      </c>
      <c r="I56" s="2" t="s">
        <v>22</v>
      </c>
      <c r="J56" s="2" t="s">
        <v>15</v>
      </c>
      <c r="K56" s="4" t="str">
        <f>HYPERLINK("https://www.cortellis.com/drugdiscovery/result/proxy/related-content/biomarkers/genestargets/36","CD44 molecule (Indian blood group)")</f>
        <v>CD44 molecule (Indian blood group)</v>
      </c>
    </row>
    <row r="57" spans="1:11" ht="60" customHeight="1" x14ac:dyDescent="0.2">
      <c r="A57" s="2">
        <v>54</v>
      </c>
      <c r="B57" s="3" t="str">
        <f t="shared" si="17"/>
        <v>CD44 (EXT)</v>
      </c>
      <c r="C57" s="3" t="str">
        <f t="shared" si="13"/>
        <v>CD44</v>
      </c>
      <c r="D57" s="3" t="str">
        <f t="shared" si="18"/>
        <v>CD44 (EXT)_(HUMAN)</v>
      </c>
      <c r="E57" s="2" t="s">
        <v>30</v>
      </c>
      <c r="F57" s="3" t="str">
        <f t="shared" si="19"/>
        <v>CD44 extracellular truncation</v>
      </c>
      <c r="G57" s="4"/>
      <c r="H57" s="3" t="str">
        <f>HYPERLINK("https://www.cortellis.com/drugdiscovery/entity/biomarkers/25837","374-gene expression breast cancer panel")</f>
        <v>374-gene expression breast cancer panel</v>
      </c>
      <c r="I57" s="2" t="s">
        <v>25</v>
      </c>
      <c r="J57" s="2" t="s">
        <v>19</v>
      </c>
      <c r="K57" s="4" t="str">
        <f>HYPERLINK("https://www.cortellis.com/drugdiscovery/result/proxy/related-content/biomarkers/genestargets/25837","CD44 molecule (Indian blood group); coagulation factor III, tissue factor; cyclin D1")</f>
        <v>CD44 molecule (Indian blood group); coagulation factor III, tissue factor; cyclin D1</v>
      </c>
    </row>
    <row r="58" spans="1:11" ht="60" customHeight="1" x14ac:dyDescent="0.2">
      <c r="A58" s="2">
        <v>55</v>
      </c>
      <c r="B58" s="3" t="str">
        <f t="shared" si="17"/>
        <v>CD44 (EXT)</v>
      </c>
      <c r="C58" s="3" t="str">
        <f t="shared" si="13"/>
        <v>CD44</v>
      </c>
      <c r="D58" s="3" t="str">
        <f t="shared" si="18"/>
        <v>CD44 (EXT)_(HUMAN)</v>
      </c>
      <c r="E58" s="2" t="s">
        <v>30</v>
      </c>
      <c r="F58" s="3" t="str">
        <f t="shared" si="19"/>
        <v>CD44 extracellular truncation</v>
      </c>
      <c r="G58" s="4"/>
      <c r="H58" s="3" t="str">
        <f>HYPERLINK("https://www.cortellis.com/drugdiscovery/entity/biomarkers/27383","59-gene expression neuroblastoma panel")</f>
        <v>59-gene expression neuroblastoma panel</v>
      </c>
      <c r="I58" s="2" t="s">
        <v>25</v>
      </c>
      <c r="J58" s="2" t="s">
        <v>19</v>
      </c>
      <c r="K58" s="4" t="str">
        <f>HYPERLINK("https://www.cortellis.com/drugdiscovery/result/proxy/related-content/biomarkers/genestargets/27383","CD44 molecule (Indian blood group)")</f>
        <v>CD44 molecule (Indian blood group)</v>
      </c>
    </row>
    <row r="59" spans="1:11" ht="60" customHeight="1" x14ac:dyDescent="0.2">
      <c r="A59" s="2">
        <v>56</v>
      </c>
      <c r="B59" s="3" t="str">
        <f t="shared" si="17"/>
        <v>CD44 (EXT)</v>
      </c>
      <c r="C59" s="3" t="str">
        <f t="shared" si="13"/>
        <v>CD44</v>
      </c>
      <c r="D59" s="3" t="str">
        <f t="shared" si="18"/>
        <v>CD44 (EXT)_(HUMAN)</v>
      </c>
      <c r="E59" s="2" t="s">
        <v>30</v>
      </c>
      <c r="F59" s="3" t="str">
        <f t="shared" si="19"/>
        <v>CD44 extracellular truncation</v>
      </c>
      <c r="G59" s="4"/>
      <c r="H59" s="3" t="str">
        <f>HYPERLINK("https://www.cortellis.com/drugdiscovery/entity/biomarkers/27478","45-gene expression lung cancer panel")</f>
        <v>45-gene expression lung cancer panel</v>
      </c>
      <c r="I59" s="2" t="s">
        <v>18</v>
      </c>
      <c r="J59" s="2" t="s">
        <v>19</v>
      </c>
      <c r="K59" s="4" t="str">
        <f>HYPERLINK("https://www.cortellis.com/drugdiscovery/result/proxy/related-content/biomarkers/genestargets/27478","CD44 molecule (Indian blood group)")</f>
        <v>CD44 molecule (Indian blood group)</v>
      </c>
    </row>
    <row r="60" spans="1:11" ht="60" customHeight="1" x14ac:dyDescent="0.2">
      <c r="A60" s="2">
        <v>57</v>
      </c>
      <c r="B60" s="3" t="str">
        <f t="shared" si="17"/>
        <v>CD44 (EXT)</v>
      </c>
      <c r="C60" s="3" t="str">
        <f t="shared" si="13"/>
        <v>CD44</v>
      </c>
      <c r="D60" s="3" t="str">
        <f t="shared" si="18"/>
        <v>CD44 (EXT)_(HUMAN)</v>
      </c>
      <c r="E60" s="2" t="s">
        <v>30</v>
      </c>
      <c r="F60" s="3" t="str">
        <f t="shared" si="19"/>
        <v>CD44 extracellular truncation</v>
      </c>
      <c r="G60" s="4"/>
      <c r="H60" s="3" t="str">
        <f>HYPERLINK("https://www.cortellis.com/drugdiscovery/entity/biomarkers/38653","61-gene expression allergic rhinitis panel")</f>
        <v>61-gene expression allergic rhinitis panel</v>
      </c>
      <c r="I60" s="2" t="s">
        <v>23</v>
      </c>
      <c r="J60" s="2" t="s">
        <v>19</v>
      </c>
      <c r="K60" s="4" t="str">
        <f>HYPERLINK("https://www.cortellis.com/drugdiscovery/result/proxy/related-content/biomarkers/genestargets/38653","CD274 molecule; CD44 molecule (Indian blood group)")</f>
        <v>CD274 molecule; CD44 molecule (Indian blood group)</v>
      </c>
    </row>
    <row r="61" spans="1:11" ht="60" customHeight="1" x14ac:dyDescent="0.2">
      <c r="A61" s="2">
        <v>58</v>
      </c>
      <c r="B61" s="3" t="str">
        <f t="shared" si="17"/>
        <v>CD44 (EXT)</v>
      </c>
      <c r="C61" s="3" t="str">
        <f t="shared" si="13"/>
        <v>CD44</v>
      </c>
      <c r="D61" s="3" t="str">
        <f t="shared" si="18"/>
        <v>CD44 (EXT)_(HUMAN)</v>
      </c>
      <c r="E61" s="2" t="s">
        <v>30</v>
      </c>
      <c r="F61" s="3" t="str">
        <f t="shared" si="19"/>
        <v>CD44 extracellular truncation</v>
      </c>
      <c r="G61" s="4"/>
      <c r="H61" s="3" t="str">
        <f>HYPERLINK("https://www.cortellis.com/drugdiscovery/entity/biomarkers/39244","53-protein diffuse large B-cell lymphoma panel")</f>
        <v>53-protein diffuse large B-cell lymphoma panel</v>
      </c>
      <c r="I61" s="2" t="s">
        <v>28</v>
      </c>
      <c r="J61" s="2" t="s">
        <v>17</v>
      </c>
      <c r="K61" s="4" t="str">
        <f>HYPERLINK("https://www.cortellis.com/drugdiscovery/result/proxy/related-content/biomarkers/genestargets/39244","CD44 molecule (Indian blood group)")</f>
        <v>CD44 molecule (Indian blood group)</v>
      </c>
    </row>
    <row r="62" spans="1:11" ht="60" customHeight="1" x14ac:dyDescent="0.2">
      <c r="A62" s="2">
        <v>59</v>
      </c>
      <c r="B62" s="3" t="str">
        <f t="shared" si="17"/>
        <v>CD44 (EXT)</v>
      </c>
      <c r="C62" s="3" t="str">
        <f t="shared" si="13"/>
        <v>CD44</v>
      </c>
      <c r="D62" s="3" t="str">
        <f t="shared" si="18"/>
        <v>CD44 (EXT)_(HUMAN)</v>
      </c>
      <c r="E62" s="2" t="s">
        <v>30</v>
      </c>
      <c r="F62" s="3" t="str">
        <f t="shared" si="19"/>
        <v>CD44 extracellular truncation</v>
      </c>
      <c r="G62" s="4"/>
      <c r="H62" s="3" t="str">
        <f>HYPERLINK("https://www.cortellis.com/drugdiscovery/entity/biomarkers/41312","4-gene expression prostate cancer panel")</f>
        <v>4-gene expression prostate cancer panel</v>
      </c>
      <c r="I62" s="2" t="s">
        <v>23</v>
      </c>
      <c r="J62" s="2" t="s">
        <v>19</v>
      </c>
      <c r="K62" s="4" t="str">
        <f>HYPERLINK("https://www.cortellis.com/drugdiscovery/result/proxy/related-content/biomarkers/genestargets/41312","CD44 molecule (Indian blood group)")</f>
        <v>CD44 molecule (Indian blood group)</v>
      </c>
    </row>
    <row r="63" spans="1:11" ht="60" customHeight="1" x14ac:dyDescent="0.2">
      <c r="A63" s="2">
        <v>60</v>
      </c>
      <c r="B63" s="3" t="str">
        <f t="shared" si="17"/>
        <v>CD44 (EXT)</v>
      </c>
      <c r="C63" s="3" t="str">
        <f t="shared" si="13"/>
        <v>CD44</v>
      </c>
      <c r="D63" s="3" t="str">
        <f t="shared" si="18"/>
        <v>CD44 (EXT)_(HUMAN)</v>
      </c>
      <c r="E63" s="2" t="s">
        <v>30</v>
      </c>
      <c r="F63" s="3" t="str">
        <f t="shared" si="19"/>
        <v>CD44 extracellular truncation</v>
      </c>
      <c r="G63" s="4"/>
      <c r="H63" s="3" t="str">
        <f>HYPERLINK("https://www.cortellis.com/drugdiscovery/entity/biomarkers/41780","322-gene expression thyroid cancer panel")</f>
        <v>322-gene expression thyroid cancer panel</v>
      </c>
      <c r="I63" s="2" t="s">
        <v>23</v>
      </c>
      <c r="J63" s="2" t="s">
        <v>19</v>
      </c>
      <c r="K63" s="4" t="str">
        <f>HYPERLINK("https://www.cortellis.com/drugdiscovery/result/proxy/related-content/biomarkers/genestargets/41780","CD44 molecule (Indian blood group)")</f>
        <v>CD44 molecule (Indian blood group)</v>
      </c>
    </row>
    <row r="64" spans="1:11" ht="60" customHeight="1" x14ac:dyDescent="0.2">
      <c r="A64" s="2">
        <v>61</v>
      </c>
      <c r="B64" s="3" t="str">
        <f t="shared" si="17"/>
        <v>CD44 (EXT)</v>
      </c>
      <c r="C64" s="3" t="str">
        <f t="shared" si="13"/>
        <v>CD44</v>
      </c>
      <c r="D64" s="3" t="str">
        <f t="shared" si="18"/>
        <v>CD44 (EXT)_(HUMAN)</v>
      </c>
      <c r="E64" s="2" t="s">
        <v>30</v>
      </c>
      <c r="F64" s="3" t="str">
        <f t="shared" si="19"/>
        <v>CD44 extracellular truncation</v>
      </c>
      <c r="G64" s="4"/>
      <c r="H64" s="3" t="str">
        <f>HYPERLINK("https://www.cortellis.com/drugdiscovery/entity/biomarkers/61761","8-gene expression lung cancer panel")</f>
        <v>8-gene expression lung cancer panel</v>
      </c>
      <c r="I64" s="2" t="s">
        <v>23</v>
      </c>
      <c r="J64" s="2" t="s">
        <v>19</v>
      </c>
      <c r="K64" s="4" t="str">
        <f>HYPERLINK("https://www.cortellis.com/drugdiscovery/result/proxy/related-content/biomarkers/genestargets/61761","CD44 molecule (Indian blood group)")</f>
        <v>CD44 molecule (Indian blood group)</v>
      </c>
    </row>
    <row r="65" spans="1:11" ht="60" customHeight="1" x14ac:dyDescent="0.2">
      <c r="A65" s="2">
        <v>62</v>
      </c>
      <c r="B65" s="3" t="str">
        <f t="shared" si="17"/>
        <v>CD44 (EXT)</v>
      </c>
      <c r="C65" s="3" t="str">
        <f t="shared" si="13"/>
        <v>CD44</v>
      </c>
      <c r="D65" s="3" t="str">
        <f t="shared" si="18"/>
        <v>CD44 (EXT)_(HUMAN)</v>
      </c>
      <c r="E65" s="2" t="s">
        <v>30</v>
      </c>
      <c r="F65" s="3" t="str">
        <f t="shared" si="19"/>
        <v>CD44 extracellular truncation</v>
      </c>
      <c r="G65" s="4"/>
      <c r="H65" s="3" t="str">
        <f>HYPERLINK("https://www.cortellis.com/drugdiscovery/entity/biomarkers/62809","8-protein endometrium cancer panel")</f>
        <v>8-protein endometrium cancer panel</v>
      </c>
      <c r="I65" s="2" t="s">
        <v>23</v>
      </c>
      <c r="J65" s="2" t="s">
        <v>17</v>
      </c>
      <c r="K65" s="4" t="str">
        <f>HYPERLINK("https://www.cortellis.com/drugdiscovery/result/proxy/related-content/biomarkers/genestargets/62809","CD44 molecule (Indian blood group)")</f>
        <v>CD44 molecule (Indian blood group)</v>
      </c>
    </row>
    <row r="66" spans="1:11" ht="60" customHeight="1" x14ac:dyDescent="0.2">
      <c r="A66" s="2">
        <v>63</v>
      </c>
      <c r="B66" s="3" t="str">
        <f t="shared" si="17"/>
        <v>CD44 (EXT)</v>
      </c>
      <c r="C66" s="3" t="str">
        <f t="shared" si="13"/>
        <v>CD44</v>
      </c>
      <c r="D66" s="3" t="str">
        <f t="shared" si="18"/>
        <v>CD44 (EXT)_(HUMAN)</v>
      </c>
      <c r="E66" s="2" t="s">
        <v>30</v>
      </c>
      <c r="F66" s="3" t="str">
        <f t="shared" si="19"/>
        <v>CD44 extracellular truncation</v>
      </c>
      <c r="G66" s="4"/>
      <c r="H66" s="3" t="str">
        <f>HYPERLINK("https://www.cortellis.com/drugdiscovery/entity/biomarkers/63165","CD44-IGF1R fusion protein")</f>
        <v>CD44-IGF1R fusion protein</v>
      </c>
      <c r="I66" s="2" t="s">
        <v>29</v>
      </c>
      <c r="J66" s="2" t="s">
        <v>15</v>
      </c>
      <c r="K66" s="4" t="str">
        <f>HYPERLINK("https://www.cortellis.com/drugdiscovery/result/proxy/related-content/biomarkers/genestargets/63165","CD44 molecule (Indian blood group)")</f>
        <v>CD44 molecule (Indian blood group)</v>
      </c>
    </row>
    <row r="67" spans="1:11" ht="60" customHeight="1" x14ac:dyDescent="0.2">
      <c r="A67" s="2">
        <v>64</v>
      </c>
      <c r="B67" s="3" t="str">
        <f t="shared" ref="B67:B77" si="20">HYPERLINK("https://portal.genego.com/cgi/entity_page.cgi?term=100&amp;id=-1279173489","CD44 (ICD)")</f>
        <v>CD44 (ICD)</v>
      </c>
      <c r="C67" s="3" t="str">
        <f t="shared" si="13"/>
        <v>CD44</v>
      </c>
      <c r="D67" s="3" t="str">
        <f t="shared" ref="D67:D77" si="21">HYPERLINK("https://portal.genego.com/cgi/entity_page.cgi?term=7&amp;id=-1232713415","CD44 (ICD)_(HUMAN)")</f>
        <v>CD44 (ICD)_(HUMAN)</v>
      </c>
      <c r="E67" s="2" t="s">
        <v>30</v>
      </c>
      <c r="F67" s="3" t="str">
        <f t="shared" ref="F67:F77" si="22">HYPERLINK("https://portal.genego.com/cgi/entity_page.cgi?term=100&amp;id=-1279173489","CD44 intracellular domain")</f>
        <v>CD44 intracellular domain</v>
      </c>
      <c r="G67" s="4"/>
      <c r="H67" s="3" t="str">
        <f>HYPERLINK("https://www.cortellis.com/drugdiscovery/entity/biomarkers/36","CD44 antigen")</f>
        <v>CD44 antigen</v>
      </c>
      <c r="I67" s="2" t="s">
        <v>22</v>
      </c>
      <c r="J67" s="2" t="s">
        <v>15</v>
      </c>
      <c r="K67" s="4" t="str">
        <f>HYPERLINK("https://www.cortellis.com/drugdiscovery/result/proxy/related-content/biomarkers/genestargets/36","CD44 molecule (Indian blood group)")</f>
        <v>CD44 molecule (Indian blood group)</v>
      </c>
    </row>
    <row r="68" spans="1:11" ht="60" customHeight="1" x14ac:dyDescent="0.2">
      <c r="A68" s="2">
        <v>65</v>
      </c>
      <c r="B68" s="3" t="str">
        <f t="shared" si="20"/>
        <v>CD44 (ICD)</v>
      </c>
      <c r="C68" s="3" t="str">
        <f t="shared" si="13"/>
        <v>CD44</v>
      </c>
      <c r="D68" s="3" t="str">
        <f t="shared" si="21"/>
        <v>CD44 (ICD)_(HUMAN)</v>
      </c>
      <c r="E68" s="2" t="s">
        <v>30</v>
      </c>
      <c r="F68" s="3" t="str">
        <f t="shared" si="22"/>
        <v>CD44 intracellular domain</v>
      </c>
      <c r="G68" s="4"/>
      <c r="H68" s="3" t="str">
        <f>HYPERLINK("https://www.cortellis.com/drugdiscovery/entity/biomarkers/25837","374-gene expression breast cancer panel")</f>
        <v>374-gene expression breast cancer panel</v>
      </c>
      <c r="I68" s="2" t="s">
        <v>25</v>
      </c>
      <c r="J68" s="2" t="s">
        <v>19</v>
      </c>
      <c r="K68" s="4" t="str">
        <f>HYPERLINK("https://www.cortellis.com/drugdiscovery/result/proxy/related-content/biomarkers/genestargets/25837","CD44 molecule (Indian blood group); coagulation factor III, tissue factor; cyclin D1")</f>
        <v>CD44 molecule (Indian blood group); coagulation factor III, tissue factor; cyclin D1</v>
      </c>
    </row>
    <row r="69" spans="1:11" ht="60" customHeight="1" x14ac:dyDescent="0.2">
      <c r="A69" s="2">
        <v>66</v>
      </c>
      <c r="B69" s="3" t="str">
        <f t="shared" si="20"/>
        <v>CD44 (ICD)</v>
      </c>
      <c r="C69" s="3" t="str">
        <f t="shared" si="13"/>
        <v>CD44</v>
      </c>
      <c r="D69" s="3" t="str">
        <f t="shared" si="21"/>
        <v>CD44 (ICD)_(HUMAN)</v>
      </c>
      <c r="E69" s="2" t="s">
        <v>30</v>
      </c>
      <c r="F69" s="3" t="str">
        <f t="shared" si="22"/>
        <v>CD44 intracellular domain</v>
      </c>
      <c r="G69" s="4"/>
      <c r="H69" s="3" t="str">
        <f>HYPERLINK("https://www.cortellis.com/drugdiscovery/entity/biomarkers/27383","59-gene expression neuroblastoma panel")</f>
        <v>59-gene expression neuroblastoma panel</v>
      </c>
      <c r="I69" s="2" t="s">
        <v>25</v>
      </c>
      <c r="J69" s="2" t="s">
        <v>19</v>
      </c>
      <c r="K69" s="4" t="str">
        <f>HYPERLINK("https://www.cortellis.com/drugdiscovery/result/proxy/related-content/biomarkers/genestargets/27383","CD44 molecule (Indian blood group)")</f>
        <v>CD44 molecule (Indian blood group)</v>
      </c>
    </row>
    <row r="70" spans="1:11" ht="60" customHeight="1" x14ac:dyDescent="0.2">
      <c r="A70" s="2">
        <v>67</v>
      </c>
      <c r="B70" s="3" t="str">
        <f t="shared" si="20"/>
        <v>CD44 (ICD)</v>
      </c>
      <c r="C70" s="3" t="str">
        <f t="shared" si="13"/>
        <v>CD44</v>
      </c>
      <c r="D70" s="3" t="str">
        <f t="shared" si="21"/>
        <v>CD44 (ICD)_(HUMAN)</v>
      </c>
      <c r="E70" s="2" t="s">
        <v>30</v>
      </c>
      <c r="F70" s="3" t="str">
        <f t="shared" si="22"/>
        <v>CD44 intracellular domain</v>
      </c>
      <c r="G70" s="4"/>
      <c r="H70" s="3" t="str">
        <f>HYPERLINK("https://www.cortellis.com/drugdiscovery/entity/biomarkers/27478","45-gene expression lung cancer panel")</f>
        <v>45-gene expression lung cancer panel</v>
      </c>
      <c r="I70" s="2" t="s">
        <v>18</v>
      </c>
      <c r="J70" s="2" t="s">
        <v>19</v>
      </c>
      <c r="K70" s="4" t="str">
        <f>HYPERLINK("https://www.cortellis.com/drugdiscovery/result/proxy/related-content/biomarkers/genestargets/27478","CD44 molecule (Indian blood group)")</f>
        <v>CD44 molecule (Indian blood group)</v>
      </c>
    </row>
    <row r="71" spans="1:11" ht="60" customHeight="1" x14ac:dyDescent="0.2">
      <c r="A71" s="2">
        <v>68</v>
      </c>
      <c r="B71" s="3" t="str">
        <f t="shared" si="20"/>
        <v>CD44 (ICD)</v>
      </c>
      <c r="C71" s="3" t="str">
        <f t="shared" si="13"/>
        <v>CD44</v>
      </c>
      <c r="D71" s="3" t="str">
        <f t="shared" si="21"/>
        <v>CD44 (ICD)_(HUMAN)</v>
      </c>
      <c r="E71" s="2" t="s">
        <v>30</v>
      </c>
      <c r="F71" s="3" t="str">
        <f t="shared" si="22"/>
        <v>CD44 intracellular domain</v>
      </c>
      <c r="G71" s="4"/>
      <c r="H71" s="3" t="str">
        <f>HYPERLINK("https://www.cortellis.com/drugdiscovery/entity/biomarkers/38653","61-gene expression allergic rhinitis panel")</f>
        <v>61-gene expression allergic rhinitis panel</v>
      </c>
      <c r="I71" s="2" t="s">
        <v>23</v>
      </c>
      <c r="J71" s="2" t="s">
        <v>19</v>
      </c>
      <c r="K71" s="4" t="str">
        <f>HYPERLINK("https://www.cortellis.com/drugdiscovery/result/proxy/related-content/biomarkers/genestargets/38653","CD274 molecule; CD44 molecule (Indian blood group)")</f>
        <v>CD274 molecule; CD44 molecule (Indian blood group)</v>
      </c>
    </row>
    <row r="72" spans="1:11" ht="60" customHeight="1" x14ac:dyDescent="0.2">
      <c r="A72" s="2">
        <v>69</v>
      </c>
      <c r="B72" s="3" t="str">
        <f t="shared" si="20"/>
        <v>CD44 (ICD)</v>
      </c>
      <c r="C72" s="3" t="str">
        <f t="shared" si="13"/>
        <v>CD44</v>
      </c>
      <c r="D72" s="3" t="str">
        <f t="shared" si="21"/>
        <v>CD44 (ICD)_(HUMAN)</v>
      </c>
      <c r="E72" s="2" t="s">
        <v>30</v>
      </c>
      <c r="F72" s="3" t="str">
        <f t="shared" si="22"/>
        <v>CD44 intracellular domain</v>
      </c>
      <c r="G72" s="4"/>
      <c r="H72" s="3" t="str">
        <f>HYPERLINK("https://www.cortellis.com/drugdiscovery/entity/biomarkers/39244","53-protein diffuse large B-cell lymphoma panel")</f>
        <v>53-protein diffuse large B-cell lymphoma panel</v>
      </c>
      <c r="I72" s="2" t="s">
        <v>28</v>
      </c>
      <c r="J72" s="2" t="s">
        <v>17</v>
      </c>
      <c r="K72" s="4" t="str">
        <f>HYPERLINK("https://www.cortellis.com/drugdiscovery/result/proxy/related-content/biomarkers/genestargets/39244","CD44 molecule (Indian blood group)")</f>
        <v>CD44 molecule (Indian blood group)</v>
      </c>
    </row>
    <row r="73" spans="1:11" ht="60" customHeight="1" x14ac:dyDescent="0.2">
      <c r="A73" s="2">
        <v>70</v>
      </c>
      <c r="B73" s="3" t="str">
        <f t="shared" si="20"/>
        <v>CD44 (ICD)</v>
      </c>
      <c r="C73" s="3" t="str">
        <f t="shared" si="13"/>
        <v>CD44</v>
      </c>
      <c r="D73" s="3" t="str">
        <f t="shared" si="21"/>
        <v>CD44 (ICD)_(HUMAN)</v>
      </c>
      <c r="E73" s="2" t="s">
        <v>30</v>
      </c>
      <c r="F73" s="3" t="str">
        <f t="shared" si="22"/>
        <v>CD44 intracellular domain</v>
      </c>
      <c r="G73" s="4"/>
      <c r="H73" s="3" t="str">
        <f>HYPERLINK("https://www.cortellis.com/drugdiscovery/entity/biomarkers/41312","4-gene expression prostate cancer panel")</f>
        <v>4-gene expression prostate cancer panel</v>
      </c>
      <c r="I73" s="2" t="s">
        <v>23</v>
      </c>
      <c r="J73" s="2" t="s">
        <v>19</v>
      </c>
      <c r="K73" s="4" t="str">
        <f>HYPERLINK("https://www.cortellis.com/drugdiscovery/result/proxy/related-content/biomarkers/genestargets/41312","CD44 molecule (Indian blood group)")</f>
        <v>CD44 molecule (Indian blood group)</v>
      </c>
    </row>
    <row r="74" spans="1:11" ht="60" customHeight="1" x14ac:dyDescent="0.2">
      <c r="A74" s="2">
        <v>71</v>
      </c>
      <c r="B74" s="3" t="str">
        <f t="shared" si="20"/>
        <v>CD44 (ICD)</v>
      </c>
      <c r="C74" s="3" t="str">
        <f t="shared" si="13"/>
        <v>CD44</v>
      </c>
      <c r="D74" s="3" t="str">
        <f t="shared" si="21"/>
        <v>CD44 (ICD)_(HUMAN)</v>
      </c>
      <c r="E74" s="2" t="s">
        <v>30</v>
      </c>
      <c r="F74" s="3" t="str">
        <f t="shared" si="22"/>
        <v>CD44 intracellular domain</v>
      </c>
      <c r="G74" s="4"/>
      <c r="H74" s="3" t="str">
        <f>HYPERLINK("https://www.cortellis.com/drugdiscovery/entity/biomarkers/41780","322-gene expression thyroid cancer panel")</f>
        <v>322-gene expression thyroid cancer panel</v>
      </c>
      <c r="I74" s="2" t="s">
        <v>23</v>
      </c>
      <c r="J74" s="2" t="s">
        <v>19</v>
      </c>
      <c r="K74" s="4" t="str">
        <f>HYPERLINK("https://www.cortellis.com/drugdiscovery/result/proxy/related-content/biomarkers/genestargets/41780","CD44 molecule (Indian blood group)")</f>
        <v>CD44 molecule (Indian blood group)</v>
      </c>
    </row>
    <row r="75" spans="1:11" ht="60" customHeight="1" x14ac:dyDescent="0.2">
      <c r="A75" s="2">
        <v>72</v>
      </c>
      <c r="B75" s="3" t="str">
        <f t="shared" si="20"/>
        <v>CD44 (ICD)</v>
      </c>
      <c r="C75" s="3" t="str">
        <f t="shared" si="13"/>
        <v>CD44</v>
      </c>
      <c r="D75" s="3" t="str">
        <f t="shared" si="21"/>
        <v>CD44 (ICD)_(HUMAN)</v>
      </c>
      <c r="E75" s="2" t="s">
        <v>30</v>
      </c>
      <c r="F75" s="3" t="str">
        <f t="shared" si="22"/>
        <v>CD44 intracellular domain</v>
      </c>
      <c r="G75" s="4"/>
      <c r="H75" s="3" t="str">
        <f>HYPERLINK("https://www.cortellis.com/drugdiscovery/entity/biomarkers/61761","8-gene expression lung cancer panel")</f>
        <v>8-gene expression lung cancer panel</v>
      </c>
      <c r="I75" s="2" t="s">
        <v>23</v>
      </c>
      <c r="J75" s="2" t="s">
        <v>19</v>
      </c>
      <c r="K75" s="4" t="str">
        <f>HYPERLINK("https://www.cortellis.com/drugdiscovery/result/proxy/related-content/biomarkers/genestargets/61761","CD44 molecule (Indian blood group)")</f>
        <v>CD44 molecule (Indian blood group)</v>
      </c>
    </row>
    <row r="76" spans="1:11" ht="60" customHeight="1" x14ac:dyDescent="0.2">
      <c r="A76" s="2">
        <v>73</v>
      </c>
      <c r="B76" s="3" t="str">
        <f t="shared" si="20"/>
        <v>CD44 (ICD)</v>
      </c>
      <c r="C76" s="3" t="str">
        <f t="shared" si="13"/>
        <v>CD44</v>
      </c>
      <c r="D76" s="3" t="str">
        <f t="shared" si="21"/>
        <v>CD44 (ICD)_(HUMAN)</v>
      </c>
      <c r="E76" s="2" t="s">
        <v>30</v>
      </c>
      <c r="F76" s="3" t="str">
        <f t="shared" si="22"/>
        <v>CD44 intracellular domain</v>
      </c>
      <c r="G76" s="4"/>
      <c r="H76" s="3" t="str">
        <f>HYPERLINK("https://www.cortellis.com/drugdiscovery/entity/biomarkers/62809","8-protein endometrium cancer panel")</f>
        <v>8-protein endometrium cancer panel</v>
      </c>
      <c r="I76" s="2" t="s">
        <v>23</v>
      </c>
      <c r="J76" s="2" t="s">
        <v>17</v>
      </c>
      <c r="K76" s="4" t="str">
        <f>HYPERLINK("https://www.cortellis.com/drugdiscovery/result/proxy/related-content/biomarkers/genestargets/62809","CD44 molecule (Indian blood group)")</f>
        <v>CD44 molecule (Indian blood group)</v>
      </c>
    </row>
    <row r="77" spans="1:11" ht="60" customHeight="1" x14ac:dyDescent="0.2">
      <c r="A77" s="2">
        <v>74</v>
      </c>
      <c r="B77" s="3" t="str">
        <f t="shared" si="20"/>
        <v>CD44 (ICD)</v>
      </c>
      <c r="C77" s="3" t="str">
        <f t="shared" si="13"/>
        <v>CD44</v>
      </c>
      <c r="D77" s="3" t="str">
        <f t="shared" si="21"/>
        <v>CD44 (ICD)_(HUMAN)</v>
      </c>
      <c r="E77" s="2" t="s">
        <v>30</v>
      </c>
      <c r="F77" s="3" t="str">
        <f t="shared" si="22"/>
        <v>CD44 intracellular domain</v>
      </c>
      <c r="G77" s="4"/>
      <c r="H77" s="3" t="str">
        <f>HYPERLINK("https://www.cortellis.com/drugdiscovery/entity/biomarkers/63165","CD44-IGF1R fusion protein")</f>
        <v>CD44-IGF1R fusion protein</v>
      </c>
      <c r="I77" s="2" t="s">
        <v>29</v>
      </c>
      <c r="J77" s="2" t="s">
        <v>15</v>
      </c>
      <c r="K77" s="4" t="str">
        <f>HYPERLINK("https://www.cortellis.com/drugdiscovery/result/proxy/related-content/biomarkers/genestargets/63165","CD44 molecule (Indian blood group)")</f>
        <v>CD44 molecule (Indian blood group)</v>
      </c>
    </row>
    <row r="78" spans="1:11" ht="60" customHeight="1" x14ac:dyDescent="0.2">
      <c r="A78" s="2">
        <v>75</v>
      </c>
      <c r="B78" s="3" t="str">
        <f t="shared" ref="B78:B88" si="23">HYPERLINK("https://portal.genego.com/cgi/entity_page.cgi?term=100&amp;id=-1061591670","CD44 soluble")</f>
        <v>CD44 soluble</v>
      </c>
      <c r="C78" s="3" t="str">
        <f t="shared" si="13"/>
        <v>CD44</v>
      </c>
      <c r="D78" s="3" t="str">
        <f t="shared" ref="D78:D88" si="24">HYPERLINK("https://portal.genego.com/cgi/entity_page.cgi?term=7&amp;id=-967550929","CD44 soluble_(HUMAN)")</f>
        <v>CD44 soluble_(HUMAN)</v>
      </c>
      <c r="E78" s="2" t="s">
        <v>30</v>
      </c>
      <c r="F78" s="3" t="str">
        <f t="shared" ref="F78:F88" si="25">HYPERLINK("https://portal.genego.com/cgi/entity_page.cgi?term=100&amp;id=-1061591670","CD44 soluble ectodomain")</f>
        <v>CD44 soluble ectodomain</v>
      </c>
      <c r="G78" s="4"/>
      <c r="H78" s="3" t="str">
        <f>HYPERLINK("https://www.cortellis.com/drugdiscovery/entity/biomarkers/36","CD44 antigen")</f>
        <v>CD44 antigen</v>
      </c>
      <c r="I78" s="2" t="s">
        <v>22</v>
      </c>
      <c r="J78" s="2" t="s">
        <v>15</v>
      </c>
      <c r="K78" s="4" t="str">
        <f>HYPERLINK("https://www.cortellis.com/drugdiscovery/result/proxy/related-content/biomarkers/genestargets/36","CD44 molecule (Indian blood group)")</f>
        <v>CD44 molecule (Indian blood group)</v>
      </c>
    </row>
    <row r="79" spans="1:11" ht="60" customHeight="1" x14ac:dyDescent="0.2">
      <c r="A79" s="2">
        <v>76</v>
      </c>
      <c r="B79" s="3" t="str">
        <f t="shared" si="23"/>
        <v>CD44 soluble</v>
      </c>
      <c r="C79" s="3" t="str">
        <f t="shared" si="13"/>
        <v>CD44</v>
      </c>
      <c r="D79" s="3" t="str">
        <f t="shared" si="24"/>
        <v>CD44 soluble_(HUMAN)</v>
      </c>
      <c r="E79" s="2" t="s">
        <v>30</v>
      </c>
      <c r="F79" s="3" t="str">
        <f t="shared" si="25"/>
        <v>CD44 soluble ectodomain</v>
      </c>
      <c r="G79" s="4"/>
      <c r="H79" s="3" t="str">
        <f>HYPERLINK("https://www.cortellis.com/drugdiscovery/entity/biomarkers/25837","374-gene expression breast cancer panel")</f>
        <v>374-gene expression breast cancer panel</v>
      </c>
      <c r="I79" s="2" t="s">
        <v>25</v>
      </c>
      <c r="J79" s="2" t="s">
        <v>19</v>
      </c>
      <c r="K79" s="4" t="str">
        <f>HYPERLINK("https://www.cortellis.com/drugdiscovery/result/proxy/related-content/biomarkers/genestargets/25837","CD44 molecule (Indian blood group); coagulation factor III, tissue factor; cyclin D1")</f>
        <v>CD44 molecule (Indian blood group); coagulation factor III, tissue factor; cyclin D1</v>
      </c>
    </row>
    <row r="80" spans="1:11" ht="60" customHeight="1" x14ac:dyDescent="0.2">
      <c r="A80" s="2">
        <v>77</v>
      </c>
      <c r="B80" s="3" t="str">
        <f t="shared" si="23"/>
        <v>CD44 soluble</v>
      </c>
      <c r="C80" s="3" t="str">
        <f t="shared" si="13"/>
        <v>CD44</v>
      </c>
      <c r="D80" s="3" t="str">
        <f t="shared" si="24"/>
        <v>CD44 soluble_(HUMAN)</v>
      </c>
      <c r="E80" s="2" t="s">
        <v>30</v>
      </c>
      <c r="F80" s="3" t="str">
        <f t="shared" si="25"/>
        <v>CD44 soluble ectodomain</v>
      </c>
      <c r="G80" s="4"/>
      <c r="H80" s="3" t="str">
        <f>HYPERLINK("https://www.cortellis.com/drugdiscovery/entity/biomarkers/27383","59-gene expression neuroblastoma panel")</f>
        <v>59-gene expression neuroblastoma panel</v>
      </c>
      <c r="I80" s="2" t="s">
        <v>25</v>
      </c>
      <c r="J80" s="2" t="s">
        <v>19</v>
      </c>
      <c r="K80" s="4" t="str">
        <f>HYPERLINK("https://www.cortellis.com/drugdiscovery/result/proxy/related-content/biomarkers/genestargets/27383","CD44 molecule (Indian blood group)")</f>
        <v>CD44 molecule (Indian blood group)</v>
      </c>
    </row>
    <row r="81" spans="1:11" ht="60" customHeight="1" x14ac:dyDescent="0.2">
      <c r="A81" s="2">
        <v>78</v>
      </c>
      <c r="B81" s="3" t="str">
        <f t="shared" si="23"/>
        <v>CD44 soluble</v>
      </c>
      <c r="C81" s="3" t="str">
        <f t="shared" si="13"/>
        <v>CD44</v>
      </c>
      <c r="D81" s="3" t="str">
        <f t="shared" si="24"/>
        <v>CD44 soluble_(HUMAN)</v>
      </c>
      <c r="E81" s="2" t="s">
        <v>30</v>
      </c>
      <c r="F81" s="3" t="str">
        <f t="shared" si="25"/>
        <v>CD44 soluble ectodomain</v>
      </c>
      <c r="G81" s="4"/>
      <c r="H81" s="3" t="str">
        <f>HYPERLINK("https://www.cortellis.com/drugdiscovery/entity/biomarkers/27478","45-gene expression lung cancer panel")</f>
        <v>45-gene expression lung cancer panel</v>
      </c>
      <c r="I81" s="2" t="s">
        <v>18</v>
      </c>
      <c r="J81" s="2" t="s">
        <v>19</v>
      </c>
      <c r="K81" s="4" t="str">
        <f>HYPERLINK("https://www.cortellis.com/drugdiscovery/result/proxy/related-content/biomarkers/genestargets/27478","CD44 molecule (Indian blood group)")</f>
        <v>CD44 molecule (Indian blood group)</v>
      </c>
    </row>
    <row r="82" spans="1:11" ht="60" customHeight="1" x14ac:dyDescent="0.2">
      <c r="A82" s="2">
        <v>79</v>
      </c>
      <c r="B82" s="3" t="str">
        <f t="shared" si="23"/>
        <v>CD44 soluble</v>
      </c>
      <c r="C82" s="3" t="str">
        <f t="shared" si="13"/>
        <v>CD44</v>
      </c>
      <c r="D82" s="3" t="str">
        <f t="shared" si="24"/>
        <v>CD44 soluble_(HUMAN)</v>
      </c>
      <c r="E82" s="2" t="s">
        <v>30</v>
      </c>
      <c r="F82" s="3" t="str">
        <f t="shared" si="25"/>
        <v>CD44 soluble ectodomain</v>
      </c>
      <c r="G82" s="4"/>
      <c r="H82" s="3" t="str">
        <f>HYPERLINK("https://www.cortellis.com/drugdiscovery/entity/biomarkers/38653","61-gene expression allergic rhinitis panel")</f>
        <v>61-gene expression allergic rhinitis panel</v>
      </c>
      <c r="I82" s="2" t="s">
        <v>23</v>
      </c>
      <c r="J82" s="2" t="s">
        <v>19</v>
      </c>
      <c r="K82" s="4" t="str">
        <f>HYPERLINK("https://www.cortellis.com/drugdiscovery/result/proxy/related-content/biomarkers/genestargets/38653","CD274 molecule; CD44 molecule (Indian blood group)")</f>
        <v>CD274 molecule; CD44 molecule (Indian blood group)</v>
      </c>
    </row>
    <row r="83" spans="1:11" ht="60" customHeight="1" x14ac:dyDescent="0.2">
      <c r="A83" s="2">
        <v>80</v>
      </c>
      <c r="B83" s="3" t="str">
        <f t="shared" si="23"/>
        <v>CD44 soluble</v>
      </c>
      <c r="C83" s="3" t="str">
        <f t="shared" si="13"/>
        <v>CD44</v>
      </c>
      <c r="D83" s="3" t="str">
        <f t="shared" si="24"/>
        <v>CD44 soluble_(HUMAN)</v>
      </c>
      <c r="E83" s="2" t="s">
        <v>30</v>
      </c>
      <c r="F83" s="3" t="str">
        <f t="shared" si="25"/>
        <v>CD44 soluble ectodomain</v>
      </c>
      <c r="G83" s="4"/>
      <c r="H83" s="3" t="str">
        <f>HYPERLINK("https://www.cortellis.com/drugdiscovery/entity/biomarkers/39244","53-protein diffuse large B-cell lymphoma panel")</f>
        <v>53-protein diffuse large B-cell lymphoma panel</v>
      </c>
      <c r="I83" s="2" t="s">
        <v>28</v>
      </c>
      <c r="J83" s="2" t="s">
        <v>17</v>
      </c>
      <c r="K83" s="4" t="str">
        <f>HYPERLINK("https://www.cortellis.com/drugdiscovery/result/proxy/related-content/biomarkers/genestargets/39244","CD44 molecule (Indian blood group)")</f>
        <v>CD44 molecule (Indian blood group)</v>
      </c>
    </row>
    <row r="84" spans="1:11" ht="60" customHeight="1" x14ac:dyDescent="0.2">
      <c r="A84" s="2">
        <v>81</v>
      </c>
      <c r="B84" s="3" t="str">
        <f t="shared" si="23"/>
        <v>CD44 soluble</v>
      </c>
      <c r="C84" s="3" t="str">
        <f t="shared" si="13"/>
        <v>CD44</v>
      </c>
      <c r="D84" s="3" t="str">
        <f t="shared" si="24"/>
        <v>CD44 soluble_(HUMAN)</v>
      </c>
      <c r="E84" s="2" t="s">
        <v>30</v>
      </c>
      <c r="F84" s="3" t="str">
        <f t="shared" si="25"/>
        <v>CD44 soluble ectodomain</v>
      </c>
      <c r="G84" s="4"/>
      <c r="H84" s="3" t="str">
        <f>HYPERLINK("https://www.cortellis.com/drugdiscovery/entity/biomarkers/41312","4-gene expression prostate cancer panel")</f>
        <v>4-gene expression prostate cancer panel</v>
      </c>
      <c r="I84" s="2" t="s">
        <v>23</v>
      </c>
      <c r="J84" s="2" t="s">
        <v>19</v>
      </c>
      <c r="K84" s="4" t="str">
        <f>HYPERLINK("https://www.cortellis.com/drugdiscovery/result/proxy/related-content/biomarkers/genestargets/41312","CD44 molecule (Indian blood group)")</f>
        <v>CD44 molecule (Indian blood group)</v>
      </c>
    </row>
    <row r="85" spans="1:11" ht="60" customHeight="1" x14ac:dyDescent="0.2">
      <c r="A85" s="2">
        <v>82</v>
      </c>
      <c r="B85" s="3" t="str">
        <f t="shared" si="23"/>
        <v>CD44 soluble</v>
      </c>
      <c r="C85" s="3" t="str">
        <f t="shared" si="13"/>
        <v>CD44</v>
      </c>
      <c r="D85" s="3" t="str">
        <f t="shared" si="24"/>
        <v>CD44 soluble_(HUMAN)</v>
      </c>
      <c r="E85" s="2" t="s">
        <v>30</v>
      </c>
      <c r="F85" s="3" t="str">
        <f t="shared" si="25"/>
        <v>CD44 soluble ectodomain</v>
      </c>
      <c r="G85" s="4"/>
      <c r="H85" s="3" t="str">
        <f>HYPERLINK("https://www.cortellis.com/drugdiscovery/entity/biomarkers/41780","322-gene expression thyroid cancer panel")</f>
        <v>322-gene expression thyroid cancer panel</v>
      </c>
      <c r="I85" s="2" t="s">
        <v>23</v>
      </c>
      <c r="J85" s="2" t="s">
        <v>19</v>
      </c>
      <c r="K85" s="4" t="str">
        <f>HYPERLINK("https://www.cortellis.com/drugdiscovery/result/proxy/related-content/biomarkers/genestargets/41780","CD44 molecule (Indian blood group)")</f>
        <v>CD44 molecule (Indian blood group)</v>
      </c>
    </row>
    <row r="86" spans="1:11" ht="60" customHeight="1" x14ac:dyDescent="0.2">
      <c r="A86" s="2">
        <v>83</v>
      </c>
      <c r="B86" s="3" t="str">
        <f t="shared" si="23"/>
        <v>CD44 soluble</v>
      </c>
      <c r="C86" s="3" t="str">
        <f t="shared" si="13"/>
        <v>CD44</v>
      </c>
      <c r="D86" s="3" t="str">
        <f t="shared" si="24"/>
        <v>CD44 soluble_(HUMAN)</v>
      </c>
      <c r="E86" s="2" t="s">
        <v>30</v>
      </c>
      <c r="F86" s="3" t="str">
        <f t="shared" si="25"/>
        <v>CD44 soluble ectodomain</v>
      </c>
      <c r="G86" s="4"/>
      <c r="H86" s="3" t="str">
        <f>HYPERLINK("https://www.cortellis.com/drugdiscovery/entity/biomarkers/61761","8-gene expression lung cancer panel")</f>
        <v>8-gene expression lung cancer panel</v>
      </c>
      <c r="I86" s="2" t="s">
        <v>23</v>
      </c>
      <c r="J86" s="2" t="s">
        <v>19</v>
      </c>
      <c r="K86" s="4" t="str">
        <f>HYPERLINK("https://www.cortellis.com/drugdiscovery/result/proxy/related-content/biomarkers/genestargets/61761","CD44 molecule (Indian blood group)")</f>
        <v>CD44 molecule (Indian blood group)</v>
      </c>
    </row>
    <row r="87" spans="1:11" ht="60" customHeight="1" x14ac:dyDescent="0.2">
      <c r="A87" s="2">
        <v>84</v>
      </c>
      <c r="B87" s="3" t="str">
        <f t="shared" si="23"/>
        <v>CD44 soluble</v>
      </c>
      <c r="C87" s="3" t="str">
        <f t="shared" si="13"/>
        <v>CD44</v>
      </c>
      <c r="D87" s="3" t="str">
        <f t="shared" si="24"/>
        <v>CD44 soluble_(HUMAN)</v>
      </c>
      <c r="E87" s="2" t="s">
        <v>30</v>
      </c>
      <c r="F87" s="3" t="str">
        <f t="shared" si="25"/>
        <v>CD44 soluble ectodomain</v>
      </c>
      <c r="G87" s="4"/>
      <c r="H87" s="3" t="str">
        <f>HYPERLINK("https://www.cortellis.com/drugdiscovery/entity/biomarkers/62809","8-protein endometrium cancer panel")</f>
        <v>8-protein endometrium cancer panel</v>
      </c>
      <c r="I87" s="2" t="s">
        <v>23</v>
      </c>
      <c r="J87" s="2" t="s">
        <v>17</v>
      </c>
      <c r="K87" s="4" t="str">
        <f>HYPERLINK("https://www.cortellis.com/drugdiscovery/result/proxy/related-content/biomarkers/genestargets/62809","CD44 molecule (Indian blood group)")</f>
        <v>CD44 molecule (Indian blood group)</v>
      </c>
    </row>
    <row r="88" spans="1:11" ht="60" customHeight="1" x14ac:dyDescent="0.2">
      <c r="A88" s="2">
        <v>85</v>
      </c>
      <c r="B88" s="3" t="str">
        <f t="shared" si="23"/>
        <v>CD44 soluble</v>
      </c>
      <c r="C88" s="3" t="str">
        <f t="shared" si="13"/>
        <v>CD44</v>
      </c>
      <c r="D88" s="3" t="str">
        <f t="shared" si="24"/>
        <v>CD44 soluble_(HUMAN)</v>
      </c>
      <c r="E88" s="2" t="s">
        <v>30</v>
      </c>
      <c r="F88" s="3" t="str">
        <f t="shared" si="25"/>
        <v>CD44 soluble ectodomain</v>
      </c>
      <c r="G88" s="4"/>
      <c r="H88" s="3" t="str">
        <f>HYPERLINK("https://www.cortellis.com/drugdiscovery/entity/biomarkers/63165","CD44-IGF1R fusion protein")</f>
        <v>CD44-IGF1R fusion protein</v>
      </c>
      <c r="I88" s="2" t="s">
        <v>29</v>
      </c>
      <c r="J88" s="2" t="s">
        <v>15</v>
      </c>
      <c r="K88" s="4" t="str">
        <f>HYPERLINK("https://www.cortellis.com/drugdiscovery/result/proxy/related-content/biomarkers/genestargets/63165","CD44 molecule (Indian blood group)")</f>
        <v>CD44 molecule (Indian blood group)</v>
      </c>
    </row>
    <row r="89" spans="1:11" ht="60" customHeight="1" x14ac:dyDescent="0.2">
      <c r="A89" s="2">
        <v>86</v>
      </c>
      <c r="B89" s="3" t="str">
        <f t="shared" ref="B89:B106" si="26">HYPERLINK("https://portal.genego.com/cgi/entity_page.cgi?term=100&amp;id=2076","CD45")</f>
        <v>CD45</v>
      </c>
      <c r="C89" s="3" t="str">
        <f t="shared" ref="C89:C106" si="27">HYPERLINK("https://portal.genego.com/cgi/entity_page.cgi?term=20&amp;id=1797096388","PTPRC")</f>
        <v>PTPRC</v>
      </c>
      <c r="D89" s="3" t="str">
        <f t="shared" ref="D89:D106" si="28">HYPERLINK("https://portal.genego.com/cgi/entity_page.cgi?term=7&amp;id=-750069489","PTPRC_HUMAN")</f>
        <v>PTPRC_HUMAN</v>
      </c>
      <c r="E89" s="2" t="s">
        <v>13</v>
      </c>
      <c r="F89" s="3" t="str">
        <f t="shared" ref="F89:F106" si="29">HYPERLINK("https://portal.genego.com/cgi/entity_page.cgi?term=100&amp;id=2076","Receptor-type tyrosine-protein phosphatase C")</f>
        <v>Receptor-type tyrosine-protein phosphatase C</v>
      </c>
      <c r="G89" s="4"/>
      <c r="H89" s="3" t="str">
        <f>HYPERLINK("https://www.cortellis.com/drugdiscovery/entity/biomarkers/1942","Leukocyte common antigen")</f>
        <v>Leukocyte common antigen</v>
      </c>
      <c r="I89" s="2" t="s">
        <v>31</v>
      </c>
      <c r="J89" s="2" t="s">
        <v>15</v>
      </c>
      <c r="K89" s="4" t="str">
        <f>HYPERLINK("https://www.cortellis.com/drugdiscovery/result/proxy/related-content/biomarkers/genestargets/1942","protein tyrosine phosphatase receptor type C")</f>
        <v>protein tyrosine phosphatase receptor type C</v>
      </c>
    </row>
    <row r="90" spans="1:11" ht="60" customHeight="1" x14ac:dyDescent="0.2">
      <c r="A90" s="2">
        <v>87</v>
      </c>
      <c r="B90" s="3" t="str">
        <f t="shared" si="26"/>
        <v>CD45</v>
      </c>
      <c r="C90" s="3" t="str">
        <f t="shared" si="27"/>
        <v>PTPRC</v>
      </c>
      <c r="D90" s="3" t="str">
        <f t="shared" si="28"/>
        <v>PTPRC_HUMAN</v>
      </c>
      <c r="E90" s="2" t="s">
        <v>13</v>
      </c>
      <c r="F90" s="3" t="str">
        <f t="shared" si="29"/>
        <v>Receptor-type tyrosine-protein phosphatase C</v>
      </c>
      <c r="G90" s="4"/>
      <c r="H90" s="3" t="str">
        <f>HYPERLINK("https://www.cortellis.com/drugdiscovery/entity/biomarkers/25633","42-gene expression cancer panel")</f>
        <v>42-gene expression cancer panel</v>
      </c>
      <c r="I90" s="2" t="s">
        <v>32</v>
      </c>
      <c r="J90" s="2" t="s">
        <v>19</v>
      </c>
      <c r="K90" s="4" t="str">
        <f>HYPERLINK("https://www.cortellis.com/drugdiscovery/result/proxy/related-content/biomarkers/genestargets/25633","protein tyrosine phosphatase receptor type C")</f>
        <v>protein tyrosine phosphatase receptor type C</v>
      </c>
    </row>
    <row r="91" spans="1:11" ht="60" customHeight="1" x14ac:dyDescent="0.2">
      <c r="A91" s="2">
        <v>88</v>
      </c>
      <c r="B91" s="3" t="str">
        <f t="shared" si="26"/>
        <v>CD45</v>
      </c>
      <c r="C91" s="3" t="str">
        <f t="shared" si="27"/>
        <v>PTPRC</v>
      </c>
      <c r="D91" s="3" t="str">
        <f t="shared" si="28"/>
        <v>PTPRC_HUMAN</v>
      </c>
      <c r="E91" s="2" t="s">
        <v>13</v>
      </c>
      <c r="F91" s="3" t="str">
        <f t="shared" si="29"/>
        <v>Receptor-type tyrosine-protein phosphatase C</v>
      </c>
      <c r="G91" s="4"/>
      <c r="H91" s="3" t="str">
        <f>HYPERLINK("https://www.cortellis.com/drugdiscovery/entity/biomarkers/25969","45-gene expression kidney transplant rejection panel")</f>
        <v>45-gene expression kidney transplant rejection panel</v>
      </c>
      <c r="I91" s="2" t="s">
        <v>23</v>
      </c>
      <c r="J91" s="2" t="s">
        <v>19</v>
      </c>
      <c r="K91" s="4" t="str">
        <f>HYPERLINK("https://www.cortellis.com/drugdiscovery/result/proxy/related-content/biomarkers/genestargets/25969","protein tyrosine phosphatase receptor type C")</f>
        <v>protein tyrosine phosphatase receptor type C</v>
      </c>
    </row>
    <row r="92" spans="1:11" ht="60" customHeight="1" x14ac:dyDescent="0.2">
      <c r="A92" s="2">
        <v>89</v>
      </c>
      <c r="B92" s="3" t="str">
        <f t="shared" si="26"/>
        <v>CD45</v>
      </c>
      <c r="C92" s="3" t="str">
        <f t="shared" si="27"/>
        <v>PTPRC</v>
      </c>
      <c r="D92" s="3" t="str">
        <f t="shared" si="28"/>
        <v>PTPRC_HUMAN</v>
      </c>
      <c r="E92" s="2" t="s">
        <v>13</v>
      </c>
      <c r="F92" s="3" t="str">
        <f t="shared" si="29"/>
        <v>Receptor-type tyrosine-protein phosphatase C</v>
      </c>
      <c r="G92" s="4"/>
      <c r="H92" s="3" t="str">
        <f>HYPERLINK("https://www.cortellis.com/drugdiscovery/entity/biomarkers/26318","AclarusDx")</f>
        <v>AclarusDx</v>
      </c>
      <c r="I92" s="2" t="s">
        <v>23</v>
      </c>
      <c r="J92" s="2" t="s">
        <v>19</v>
      </c>
      <c r="K92" s="4" t="str">
        <f>HYPERLINK("https://www.cortellis.com/drugdiscovery/result/proxy/related-content/biomarkers/genestargets/26318","protein tyrosine phosphatase receptor type C")</f>
        <v>protein tyrosine phosphatase receptor type C</v>
      </c>
    </row>
    <row r="93" spans="1:11" ht="60" customHeight="1" x14ac:dyDescent="0.2">
      <c r="A93" s="2">
        <v>90</v>
      </c>
      <c r="B93" s="3" t="str">
        <f t="shared" si="26"/>
        <v>CD45</v>
      </c>
      <c r="C93" s="3" t="str">
        <f t="shared" si="27"/>
        <v>PTPRC</v>
      </c>
      <c r="D93" s="3" t="str">
        <f t="shared" si="28"/>
        <v>PTPRC_HUMAN</v>
      </c>
      <c r="E93" s="2" t="s">
        <v>13</v>
      </c>
      <c r="F93" s="3" t="str">
        <f t="shared" si="29"/>
        <v>Receptor-type tyrosine-protein phosphatase C</v>
      </c>
      <c r="G93" s="4"/>
      <c r="H93" s="3" t="str">
        <f>HYPERLINK("https://www.cortellis.com/drugdiscovery/entity/biomarkers/27550","27-gene polymorphism rheumatoid arthritis panel")</f>
        <v>27-gene polymorphism rheumatoid arthritis panel</v>
      </c>
      <c r="I93" s="2" t="s">
        <v>29</v>
      </c>
      <c r="J93" s="2" t="s">
        <v>19</v>
      </c>
      <c r="K93" s="4" t="str">
        <f>HYPERLINK("https://www.cortellis.com/drugdiscovery/result/proxy/related-content/biomarkers/genestargets/27550","cytotoxic T-lymphocyte associated protein 4; protein tyrosine phosphatase non-receptor type 22; protein tyrosine phosphatase receptor type C")</f>
        <v>cytotoxic T-lymphocyte associated protein 4; protein tyrosine phosphatase non-receptor type 22; protein tyrosine phosphatase receptor type C</v>
      </c>
    </row>
    <row r="94" spans="1:11" ht="60" customHeight="1" x14ac:dyDescent="0.2">
      <c r="A94" s="2">
        <v>91</v>
      </c>
      <c r="B94" s="3" t="str">
        <f t="shared" si="26"/>
        <v>CD45</v>
      </c>
      <c r="C94" s="3" t="str">
        <f t="shared" si="27"/>
        <v>PTPRC</v>
      </c>
      <c r="D94" s="3" t="str">
        <f t="shared" si="28"/>
        <v>PTPRC_HUMAN</v>
      </c>
      <c r="E94" s="2" t="s">
        <v>13</v>
      </c>
      <c r="F94" s="3" t="str">
        <f t="shared" si="29"/>
        <v>Receptor-type tyrosine-protein phosphatase C</v>
      </c>
      <c r="G94" s="4"/>
      <c r="H94" s="3" t="str">
        <f>HYPERLINK("https://www.cortellis.com/drugdiscovery/entity/biomarkers/37946","44-gene expression breast cancer panel")</f>
        <v>44-gene expression breast cancer panel</v>
      </c>
      <c r="I94" s="2" t="s">
        <v>33</v>
      </c>
      <c r="J94" s="2" t="s">
        <v>19</v>
      </c>
      <c r="K94" s="4" t="str">
        <f>HYPERLINK("https://www.cortellis.com/drugdiscovery/result/proxy/related-content/biomarkers/genestargets/37946","CD274 molecule; protein tyrosine phosphatase receptor type C")</f>
        <v>CD274 molecule; protein tyrosine phosphatase receptor type C</v>
      </c>
    </row>
    <row r="95" spans="1:11" ht="60" customHeight="1" x14ac:dyDescent="0.2">
      <c r="A95" s="2">
        <v>92</v>
      </c>
      <c r="B95" s="3" t="str">
        <f t="shared" si="26"/>
        <v>CD45</v>
      </c>
      <c r="C95" s="3" t="str">
        <f t="shared" si="27"/>
        <v>PTPRC</v>
      </c>
      <c r="D95" s="3" t="str">
        <f t="shared" si="28"/>
        <v>PTPRC_HUMAN</v>
      </c>
      <c r="E95" s="2" t="s">
        <v>13</v>
      </c>
      <c r="F95" s="3" t="str">
        <f t="shared" si="29"/>
        <v>Receptor-type tyrosine-protein phosphatase C</v>
      </c>
      <c r="G95" s="4"/>
      <c r="H95" s="3" t="str">
        <f>HYPERLINK("https://www.cortellis.com/drugdiscovery/entity/biomarkers/37985","160-gene expression lung cancer panel")</f>
        <v>160-gene expression lung cancer panel</v>
      </c>
      <c r="I95" s="2" t="s">
        <v>25</v>
      </c>
      <c r="J95" s="2" t="s">
        <v>19</v>
      </c>
      <c r="K95" s="4" t="str">
        <f>HYPERLINK("https://www.cortellis.com/drugdiscovery/result/proxy/related-content/biomarkers/genestargets/37985","protein tyrosine phosphatase receptor type C")</f>
        <v>protein tyrosine phosphatase receptor type C</v>
      </c>
    </row>
    <row r="96" spans="1:11" ht="60" customHeight="1" x14ac:dyDescent="0.2">
      <c r="A96" s="2">
        <v>93</v>
      </c>
      <c r="B96" s="3" t="str">
        <f t="shared" si="26"/>
        <v>CD45</v>
      </c>
      <c r="C96" s="3" t="str">
        <f t="shared" si="27"/>
        <v>PTPRC</v>
      </c>
      <c r="D96" s="3" t="str">
        <f t="shared" si="28"/>
        <v>PTPRC_HUMAN</v>
      </c>
      <c r="E96" s="2" t="s">
        <v>13</v>
      </c>
      <c r="F96" s="3" t="str">
        <f t="shared" si="29"/>
        <v>Receptor-type tyrosine-protein phosphatase C</v>
      </c>
      <c r="G96" s="4"/>
      <c r="H96" s="3" t="str">
        <f>HYPERLINK("https://www.cortellis.com/drugdiscovery/entity/biomarkers/45605","53-gene expression melanoma panel")</f>
        <v>53-gene expression melanoma panel</v>
      </c>
      <c r="I96" s="2" t="s">
        <v>25</v>
      </c>
      <c r="J96" s="2" t="s">
        <v>19</v>
      </c>
      <c r="K96"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97" spans="1:11" ht="60" customHeight="1" x14ac:dyDescent="0.2">
      <c r="A97" s="2">
        <v>94</v>
      </c>
      <c r="B97" s="3" t="str">
        <f t="shared" si="26"/>
        <v>CD45</v>
      </c>
      <c r="C97" s="3" t="str">
        <f t="shared" si="27"/>
        <v>PTPRC</v>
      </c>
      <c r="D97" s="3" t="str">
        <f t="shared" si="28"/>
        <v>PTPRC_HUMAN</v>
      </c>
      <c r="E97" s="2" t="s">
        <v>13</v>
      </c>
      <c r="F97" s="3" t="str">
        <f t="shared" si="29"/>
        <v>Receptor-type tyrosine-protein phosphatase C</v>
      </c>
      <c r="G97" s="4"/>
      <c r="H97" s="3" t="str">
        <f>HYPERLINK("https://www.cortellis.com/drugdiscovery/entity/biomarkers/45651","117-gene expression breast cancer panel")</f>
        <v>117-gene expression breast cancer panel</v>
      </c>
      <c r="I97" s="2" t="s">
        <v>25</v>
      </c>
      <c r="J97" s="2" t="s">
        <v>19</v>
      </c>
      <c r="K97" s="4" t="str">
        <f>HYPERLINK("https://www.cortellis.com/drugdiscovery/result/proxy/related-content/biomarkers/genestargets/45651","protein tyrosine phosphatase non-receptor type 22; protein tyrosine phosphatase receptor type C")</f>
        <v>protein tyrosine phosphatase non-receptor type 22; protein tyrosine phosphatase receptor type C</v>
      </c>
    </row>
    <row r="98" spans="1:11" ht="60" customHeight="1" x14ac:dyDescent="0.2">
      <c r="A98" s="2">
        <v>95</v>
      </c>
      <c r="B98" s="3" t="str">
        <f t="shared" si="26"/>
        <v>CD45</v>
      </c>
      <c r="C98" s="3" t="str">
        <f t="shared" si="27"/>
        <v>PTPRC</v>
      </c>
      <c r="D98" s="3" t="str">
        <f t="shared" si="28"/>
        <v>PTPRC_HUMAN</v>
      </c>
      <c r="E98" s="2" t="s">
        <v>13</v>
      </c>
      <c r="F98" s="3" t="str">
        <f t="shared" si="29"/>
        <v>Receptor-type tyrosine-protein phosphatase C</v>
      </c>
      <c r="G98" s="4"/>
      <c r="H98" s="3" t="str">
        <f>HYPERLINK("https://www.cortellis.com/drugdiscovery/entity/biomarkers/48282","31-gene expression glioblastoma panel")</f>
        <v>31-gene expression glioblastoma panel</v>
      </c>
      <c r="I98" s="2" t="s">
        <v>18</v>
      </c>
      <c r="J98" s="2" t="s">
        <v>19</v>
      </c>
      <c r="K98" s="4" t="str">
        <f>HYPERLINK("https://www.cortellis.com/drugdiscovery/result/proxy/related-content/biomarkers/genestargets/48282","cyclin D1; dystroglycan 1; protein tyrosine phosphatase receptor type C")</f>
        <v>cyclin D1; dystroglycan 1; protein tyrosine phosphatase receptor type C</v>
      </c>
    </row>
    <row r="99" spans="1:11" ht="60" customHeight="1" x14ac:dyDescent="0.2">
      <c r="A99" s="2">
        <v>96</v>
      </c>
      <c r="B99" s="3" t="str">
        <f t="shared" si="26"/>
        <v>CD45</v>
      </c>
      <c r="C99" s="3" t="str">
        <f t="shared" si="27"/>
        <v>PTPRC</v>
      </c>
      <c r="D99" s="3" t="str">
        <f t="shared" si="28"/>
        <v>PTPRC_HUMAN</v>
      </c>
      <c r="E99" s="2" t="s">
        <v>13</v>
      </c>
      <c r="F99" s="3" t="str">
        <f t="shared" si="29"/>
        <v>Receptor-type tyrosine-protein phosphatase C</v>
      </c>
      <c r="G99" s="4"/>
      <c r="H99" s="3" t="str">
        <f>HYPERLINK("https://www.cortellis.com/drugdiscovery/entity/biomarkers/53169","9-protein Barrett's esophagus panel")</f>
        <v>9-protein Barrett's esophagus panel</v>
      </c>
      <c r="I99" s="2" t="s">
        <v>25</v>
      </c>
      <c r="J99" s="2" t="s">
        <v>17</v>
      </c>
      <c r="K99" s="4" t="str">
        <f>HYPERLINK("https://www.cortellis.com/drugdiscovery/result/proxy/related-content/biomarkers/genestargets/53169","CD68 molecule; protein tyrosine phosphatase receptor type C")</f>
        <v>CD68 molecule; protein tyrosine phosphatase receptor type C</v>
      </c>
    </row>
    <row r="100" spans="1:11" ht="60" customHeight="1" x14ac:dyDescent="0.2">
      <c r="A100" s="2">
        <v>97</v>
      </c>
      <c r="B100" s="3" t="str">
        <f t="shared" si="26"/>
        <v>CD45</v>
      </c>
      <c r="C100" s="3" t="str">
        <f t="shared" si="27"/>
        <v>PTPRC</v>
      </c>
      <c r="D100" s="3" t="str">
        <f t="shared" si="28"/>
        <v>PTPRC_HUMAN</v>
      </c>
      <c r="E100" s="2" t="s">
        <v>13</v>
      </c>
      <c r="F100" s="3" t="str">
        <f t="shared" si="29"/>
        <v>Receptor-type tyrosine-protein phosphatase C</v>
      </c>
      <c r="G100" s="4"/>
      <c r="H100" s="3" t="str">
        <f>HYPERLINK("https://www.cortellis.com/drugdiscovery/entity/biomarkers/54719","44-gene expression cancer panel")</f>
        <v>44-gene expression cancer panel</v>
      </c>
      <c r="I100" s="2" t="s">
        <v>18</v>
      </c>
      <c r="J100" s="2" t="s">
        <v>19</v>
      </c>
      <c r="K100" s="4" t="str">
        <f>HYPERLINK("https://www.cortellis.com/drugdiscovery/result/proxy/related-content/biomarkers/genestargets/54719","CD274 molecule; protein tyrosine phosphatase receptor type C")</f>
        <v>CD274 molecule; protein tyrosine phosphatase receptor type C</v>
      </c>
    </row>
    <row r="101" spans="1:11" ht="60" customHeight="1" x14ac:dyDescent="0.2">
      <c r="A101" s="2">
        <v>98</v>
      </c>
      <c r="B101" s="3" t="str">
        <f t="shared" si="26"/>
        <v>CD45</v>
      </c>
      <c r="C101" s="3" t="str">
        <f t="shared" si="27"/>
        <v>PTPRC</v>
      </c>
      <c r="D101" s="3" t="str">
        <f t="shared" si="28"/>
        <v>PTPRC_HUMAN</v>
      </c>
      <c r="E101" s="2" t="s">
        <v>13</v>
      </c>
      <c r="F101" s="3" t="str">
        <f t="shared" si="29"/>
        <v>Receptor-type tyrosine-protein phosphatase C</v>
      </c>
      <c r="G101" s="4"/>
      <c r="H101" s="3" t="str">
        <f>HYPERLINK("https://www.cortellis.com/drugdiscovery/entity/biomarkers/55078","23-gene expression skin cancer panel")</f>
        <v>23-gene expression skin cancer panel</v>
      </c>
      <c r="I101" s="2" t="s">
        <v>23</v>
      </c>
      <c r="J101" s="2" t="s">
        <v>19</v>
      </c>
      <c r="K101" s="4" t="str">
        <f>HYPERLINK("https://www.cortellis.com/drugdiscovery/result/proxy/related-content/biomarkers/genestargets/55078","protein tyrosine phosphatase receptor type C")</f>
        <v>protein tyrosine phosphatase receptor type C</v>
      </c>
    </row>
    <row r="102" spans="1:11" ht="60" customHeight="1" x14ac:dyDescent="0.2">
      <c r="A102" s="2">
        <v>99</v>
      </c>
      <c r="B102" s="3" t="str">
        <f t="shared" si="26"/>
        <v>CD45</v>
      </c>
      <c r="C102" s="3" t="str">
        <f t="shared" si="27"/>
        <v>PTPRC</v>
      </c>
      <c r="D102" s="3" t="str">
        <f t="shared" si="28"/>
        <v>PTPRC_HUMAN</v>
      </c>
      <c r="E102" s="2" t="s">
        <v>13</v>
      </c>
      <c r="F102" s="3" t="str">
        <f t="shared" si="29"/>
        <v>Receptor-type tyrosine-protein phosphatase C</v>
      </c>
      <c r="G102" s="4"/>
      <c r="H102" s="3" t="str">
        <f>HYPERLINK("https://www.cortellis.com/drugdiscovery/entity/biomarkers/56933","PTPRC-CPN2 fusion protein")</f>
        <v>PTPRC-CPN2 fusion protein</v>
      </c>
      <c r="I102" s="2" t="s">
        <v>23</v>
      </c>
      <c r="J102" s="2" t="s">
        <v>15</v>
      </c>
      <c r="K102" s="4" t="str">
        <f>HYPERLINK("https://www.cortellis.com/drugdiscovery/result/proxy/related-content/biomarkers/genestargets/56933","protein tyrosine phosphatase receptor type C")</f>
        <v>protein tyrosine phosphatase receptor type C</v>
      </c>
    </row>
    <row r="103" spans="1:11" ht="60" customHeight="1" x14ac:dyDescent="0.2">
      <c r="A103" s="2">
        <v>100</v>
      </c>
      <c r="B103" s="3" t="str">
        <f t="shared" si="26"/>
        <v>CD45</v>
      </c>
      <c r="C103" s="3" t="str">
        <f t="shared" si="27"/>
        <v>PTPRC</v>
      </c>
      <c r="D103" s="3" t="str">
        <f t="shared" si="28"/>
        <v>PTPRC_HUMAN</v>
      </c>
      <c r="E103" s="2" t="s">
        <v>13</v>
      </c>
      <c r="F103" s="3" t="str">
        <f t="shared" si="29"/>
        <v>Receptor-type tyrosine-protein phosphatase C</v>
      </c>
      <c r="G103" s="4"/>
      <c r="H103" s="3" t="str">
        <f>HYPERLINK("https://www.cortellis.com/drugdiscovery/entity/biomarkers/56934","MBD4-PTPRC fusion protein")</f>
        <v>MBD4-PTPRC fusion protein</v>
      </c>
      <c r="I103" s="2" t="s">
        <v>23</v>
      </c>
      <c r="J103" s="2" t="s">
        <v>15</v>
      </c>
      <c r="K103" s="4" t="str">
        <f>HYPERLINK("https://www.cortellis.com/drugdiscovery/result/proxy/related-content/biomarkers/genestargets/56934","protein tyrosine phosphatase receptor type C")</f>
        <v>protein tyrosine phosphatase receptor type C</v>
      </c>
    </row>
    <row r="104" spans="1:11" ht="60" customHeight="1" x14ac:dyDescent="0.2">
      <c r="A104" s="2">
        <v>101</v>
      </c>
      <c r="B104" s="3" t="str">
        <f t="shared" si="26"/>
        <v>CD45</v>
      </c>
      <c r="C104" s="3" t="str">
        <f t="shared" si="27"/>
        <v>PTPRC</v>
      </c>
      <c r="D104" s="3" t="str">
        <f t="shared" si="28"/>
        <v>PTPRC_HUMAN</v>
      </c>
      <c r="E104" s="2" t="s">
        <v>13</v>
      </c>
      <c r="F104" s="3" t="str">
        <f t="shared" si="29"/>
        <v>Receptor-type tyrosine-protein phosphatase C</v>
      </c>
      <c r="G104" s="4"/>
      <c r="H104" s="3" t="str">
        <f>HYPERLINK("https://www.cortellis.com/drugdiscovery/entity/biomarkers/57460","23-gene expression melanocytic nevus panel")</f>
        <v>23-gene expression melanocytic nevus panel</v>
      </c>
      <c r="I104" s="2" t="s">
        <v>23</v>
      </c>
      <c r="J104" s="2" t="s">
        <v>19</v>
      </c>
      <c r="K104" s="4" t="str">
        <f>HYPERLINK("https://www.cortellis.com/drugdiscovery/result/proxy/related-content/biomarkers/genestargets/57460","protein tyrosine phosphatase receptor type C")</f>
        <v>protein tyrosine phosphatase receptor type C</v>
      </c>
    </row>
    <row r="105" spans="1:11" ht="60" customHeight="1" x14ac:dyDescent="0.2">
      <c r="A105" s="2">
        <v>102</v>
      </c>
      <c r="B105" s="3" t="str">
        <f t="shared" si="26"/>
        <v>CD45</v>
      </c>
      <c r="C105" s="3" t="str">
        <f t="shared" si="27"/>
        <v>PTPRC</v>
      </c>
      <c r="D105" s="3" t="str">
        <f t="shared" si="28"/>
        <v>PTPRC_HUMAN</v>
      </c>
      <c r="E105" s="2" t="s">
        <v>13</v>
      </c>
      <c r="F105" s="3" t="str">
        <f t="shared" si="29"/>
        <v>Receptor-type tyrosine-protein phosphatase C</v>
      </c>
      <c r="G105" s="4"/>
      <c r="H105" s="3" t="str">
        <f>HYPERLINK("https://www.cortellis.com/drugdiscovery/entity/biomarkers/58056","28-gene expression melanoma panel")</f>
        <v>28-gene expression melanoma panel</v>
      </c>
      <c r="I105" s="2" t="s">
        <v>18</v>
      </c>
      <c r="J105" s="2" t="s">
        <v>19</v>
      </c>
      <c r="K105" s="4" t="str">
        <f>HYPERLINK("https://www.cortellis.com/drugdiscovery/result/proxy/related-content/biomarkers/genestargets/58056","interferon gamma; protein tyrosine phosphatase receptor type C")</f>
        <v>interferon gamma; protein tyrosine phosphatase receptor type C</v>
      </c>
    </row>
    <row r="106" spans="1:11" ht="60" customHeight="1" x14ac:dyDescent="0.2">
      <c r="A106" s="2">
        <v>103</v>
      </c>
      <c r="B106" s="3" t="str">
        <f t="shared" si="26"/>
        <v>CD45</v>
      </c>
      <c r="C106" s="3" t="str">
        <f t="shared" si="27"/>
        <v>PTPRC</v>
      </c>
      <c r="D106" s="3" t="str">
        <f t="shared" si="28"/>
        <v>PTPRC_HUMAN</v>
      </c>
      <c r="E106" s="2" t="s">
        <v>13</v>
      </c>
      <c r="F106" s="3" t="str">
        <f t="shared" si="29"/>
        <v>Receptor-type tyrosine-protein phosphatase C</v>
      </c>
      <c r="G106" s="4"/>
      <c r="H106" s="3" t="str">
        <f>HYPERLINK("https://www.cortellis.com/drugdiscovery/entity/biomarkers/58670","BCL6-PTPRC fusion protein")</f>
        <v>BCL6-PTPRC fusion protein</v>
      </c>
      <c r="I106" s="2" t="s">
        <v>34</v>
      </c>
      <c r="J106" s="2" t="s">
        <v>15</v>
      </c>
      <c r="K106" s="4" t="str">
        <f>HYPERLINK("https://www.cortellis.com/drugdiscovery/result/proxy/related-content/biomarkers/genestargets/58670","protein tyrosine phosphatase receptor type C")</f>
        <v>protein tyrosine phosphatase receptor type C</v>
      </c>
    </row>
    <row r="107" spans="1:11" ht="60" customHeight="1" x14ac:dyDescent="0.2">
      <c r="A107" s="2">
        <v>104</v>
      </c>
      <c r="B107" s="3" t="str">
        <f t="shared" ref="B107:B114" si="30">HYPERLINK("https://portal.genego.com/cgi/entity_page.cgi?term=100&amp;id=-1680138944","CD68")</f>
        <v>CD68</v>
      </c>
      <c r="C107" s="3" t="str">
        <f t="shared" ref="C107:C114" si="31">HYPERLINK("https://portal.genego.com/cgi/entity_page.cgi?term=20&amp;id=-520677977","CD68")</f>
        <v>CD68</v>
      </c>
      <c r="D107" s="3" t="str">
        <f t="shared" ref="D107:D114" si="32">HYPERLINK("https://portal.genego.com/cgi/entity_page.cgi?term=7&amp;id=817856612","CD68_HUMAN")</f>
        <v>CD68_HUMAN</v>
      </c>
      <c r="E107" s="2" t="s">
        <v>30</v>
      </c>
      <c r="F107" s="3" t="str">
        <f t="shared" ref="F107:F114" si="33">HYPERLINK("https://portal.genego.com/cgi/entity_page.cgi?term=100&amp;id=-1680138944","Macrosialin")</f>
        <v>Macrosialin</v>
      </c>
      <c r="G107" s="4"/>
      <c r="H107" s="3" t="str">
        <f>HYPERLINK("https://www.cortellis.com/drugdiscovery/entity/biomarkers/66","Oncotype DX")</f>
        <v>Oncotype DX</v>
      </c>
      <c r="I107" s="2" t="s">
        <v>35</v>
      </c>
      <c r="J107" s="2" t="s">
        <v>19</v>
      </c>
      <c r="K107" s="4" t="str">
        <f>HYPERLINK("https://www.cortellis.com/drugdiscovery/result/proxy/related-content/biomarkers/genestargets/66","CD68 molecule")</f>
        <v>CD68 molecule</v>
      </c>
    </row>
    <row r="108" spans="1:11" ht="60" customHeight="1" x14ac:dyDescent="0.2">
      <c r="A108" s="2">
        <v>105</v>
      </c>
      <c r="B108" s="3" t="str">
        <f t="shared" si="30"/>
        <v>CD68</v>
      </c>
      <c r="C108" s="3" t="str">
        <f t="shared" si="31"/>
        <v>CD68</v>
      </c>
      <c r="D108" s="3" t="str">
        <f t="shared" si="32"/>
        <v>CD68_HUMAN</v>
      </c>
      <c r="E108" s="2" t="s">
        <v>30</v>
      </c>
      <c r="F108" s="3" t="str">
        <f t="shared" si="33"/>
        <v>Macrosialin</v>
      </c>
      <c r="G108" s="4"/>
      <c r="H108" s="3" t="str">
        <f>HYPERLINK("https://www.cortellis.com/drugdiscovery/entity/biomarkers/1645","Macrosialin")</f>
        <v>Macrosialin</v>
      </c>
      <c r="I108" s="2" t="s">
        <v>36</v>
      </c>
      <c r="J108" s="2" t="s">
        <v>15</v>
      </c>
      <c r="K108" s="4" t="str">
        <f>HYPERLINK("https://www.cortellis.com/drugdiscovery/result/proxy/related-content/biomarkers/genestargets/1645","CD68 molecule")</f>
        <v>CD68 molecule</v>
      </c>
    </row>
    <row r="109" spans="1:11" ht="60" customHeight="1" x14ac:dyDescent="0.2">
      <c r="A109" s="2">
        <v>106</v>
      </c>
      <c r="B109" s="3" t="str">
        <f t="shared" si="30"/>
        <v>CD68</v>
      </c>
      <c r="C109" s="3" t="str">
        <f t="shared" si="31"/>
        <v>CD68</v>
      </c>
      <c r="D109" s="3" t="str">
        <f t="shared" si="32"/>
        <v>CD68_HUMAN</v>
      </c>
      <c r="E109" s="2" t="s">
        <v>30</v>
      </c>
      <c r="F109" s="3" t="str">
        <f t="shared" si="33"/>
        <v>Macrosialin</v>
      </c>
      <c r="G109" s="4"/>
      <c r="H109" s="3" t="str">
        <f>HYPERLINK("https://www.cortellis.com/drugdiscovery/entity/biomarkers/12108","3-protein diffuse large B-cell lymphoma panel")</f>
        <v>3-protein diffuse large B-cell lymphoma panel</v>
      </c>
      <c r="I109" s="2" t="s">
        <v>25</v>
      </c>
      <c r="J109" s="2" t="s">
        <v>17</v>
      </c>
      <c r="K109" s="4" t="str">
        <f>HYPERLINK("https://www.cortellis.com/drugdiscovery/result/proxy/related-content/biomarkers/genestargets/12108","CD68 molecule")</f>
        <v>CD68 molecule</v>
      </c>
    </row>
    <row r="110" spans="1:11" ht="60" customHeight="1" x14ac:dyDescent="0.2">
      <c r="A110" s="2">
        <v>107</v>
      </c>
      <c r="B110" s="3" t="str">
        <f t="shared" si="30"/>
        <v>CD68</v>
      </c>
      <c r="C110" s="3" t="str">
        <f t="shared" si="31"/>
        <v>CD68</v>
      </c>
      <c r="D110" s="3" t="str">
        <f t="shared" si="32"/>
        <v>CD68_HUMAN</v>
      </c>
      <c r="E110" s="2" t="s">
        <v>30</v>
      </c>
      <c r="F110" s="3" t="str">
        <f t="shared" si="33"/>
        <v>Macrosialin</v>
      </c>
      <c r="G110" s="4"/>
      <c r="H110" s="3" t="str">
        <f>HYPERLINK("https://www.cortellis.com/drugdiscovery/entity/biomarkers/38521","28-gene expression breast cancer panel")</f>
        <v>28-gene expression breast cancer panel</v>
      </c>
      <c r="I110" s="2" t="s">
        <v>27</v>
      </c>
      <c r="J110" s="2" t="s">
        <v>19</v>
      </c>
      <c r="K110" s="4" t="str">
        <f>HYPERLINK("https://www.cortellis.com/drugdiscovery/result/proxy/related-content/biomarkers/genestargets/38521","CD68 molecule")</f>
        <v>CD68 molecule</v>
      </c>
    </row>
    <row r="111" spans="1:11" ht="60" customHeight="1" x14ac:dyDescent="0.2">
      <c r="A111" s="2">
        <v>108</v>
      </c>
      <c r="B111" s="3" t="str">
        <f t="shared" si="30"/>
        <v>CD68</v>
      </c>
      <c r="C111" s="3" t="str">
        <f t="shared" si="31"/>
        <v>CD68</v>
      </c>
      <c r="D111" s="3" t="str">
        <f t="shared" si="32"/>
        <v>CD68_HUMAN</v>
      </c>
      <c r="E111" s="2" t="s">
        <v>30</v>
      </c>
      <c r="F111" s="3" t="str">
        <f t="shared" si="33"/>
        <v>Macrosialin</v>
      </c>
      <c r="G111" s="4"/>
      <c r="H111" s="3" t="str">
        <f>HYPERLINK("https://www.cortellis.com/drugdiscovery/entity/biomarkers/45605","53-gene expression melanoma panel")</f>
        <v>53-gene expression melanoma panel</v>
      </c>
      <c r="I111" s="2" t="s">
        <v>25</v>
      </c>
      <c r="J111" s="2" t="s">
        <v>19</v>
      </c>
      <c r="K111"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112" spans="1:11" ht="60" customHeight="1" x14ac:dyDescent="0.2">
      <c r="A112" s="2">
        <v>109</v>
      </c>
      <c r="B112" s="3" t="str">
        <f t="shared" si="30"/>
        <v>CD68</v>
      </c>
      <c r="C112" s="3" t="str">
        <f t="shared" si="31"/>
        <v>CD68</v>
      </c>
      <c r="D112" s="3" t="str">
        <f t="shared" si="32"/>
        <v>CD68_HUMAN</v>
      </c>
      <c r="E112" s="2" t="s">
        <v>30</v>
      </c>
      <c r="F112" s="3" t="str">
        <f t="shared" si="33"/>
        <v>Macrosialin</v>
      </c>
      <c r="G112" s="4"/>
      <c r="H112" s="3" t="str">
        <f>HYPERLINK("https://www.cortellis.com/drugdiscovery/entity/biomarkers/53169","9-protein Barrett's esophagus panel")</f>
        <v>9-protein Barrett's esophagus panel</v>
      </c>
      <c r="I112" s="2" t="s">
        <v>25</v>
      </c>
      <c r="J112" s="2" t="s">
        <v>17</v>
      </c>
      <c r="K112" s="4" t="str">
        <f>HYPERLINK("https://www.cortellis.com/drugdiscovery/result/proxy/related-content/biomarkers/genestargets/53169","CD68 molecule; protein tyrosine phosphatase receptor type C")</f>
        <v>CD68 molecule; protein tyrosine phosphatase receptor type C</v>
      </c>
    </row>
    <row r="113" spans="1:11" ht="60" customHeight="1" x14ac:dyDescent="0.2">
      <c r="A113" s="2">
        <v>110</v>
      </c>
      <c r="B113" s="3" t="str">
        <f t="shared" si="30"/>
        <v>CD68</v>
      </c>
      <c r="C113" s="3" t="str">
        <f t="shared" si="31"/>
        <v>CD68</v>
      </c>
      <c r="D113" s="3" t="str">
        <f t="shared" si="32"/>
        <v>CD68_HUMAN</v>
      </c>
      <c r="E113" s="2" t="s">
        <v>30</v>
      </c>
      <c r="F113" s="3" t="str">
        <f t="shared" si="33"/>
        <v>Macrosialin</v>
      </c>
      <c r="G113" s="4"/>
      <c r="H113" s="3" t="str">
        <f>HYPERLINK("https://www.cortellis.com/drugdiscovery/entity/biomarkers/56478","21-gene expression breast cancer panel")</f>
        <v>21-gene expression breast cancer panel</v>
      </c>
      <c r="I113" s="2" t="s">
        <v>25</v>
      </c>
      <c r="J113" s="2" t="s">
        <v>19</v>
      </c>
      <c r="K113" s="4" t="str">
        <f>HYPERLINK("https://www.cortellis.com/drugdiscovery/result/proxy/related-content/biomarkers/genestargets/56478","CD68 molecule")</f>
        <v>CD68 molecule</v>
      </c>
    </row>
    <row r="114" spans="1:11" ht="60" customHeight="1" x14ac:dyDescent="0.2">
      <c r="A114" s="2">
        <v>111</v>
      </c>
      <c r="B114" s="3" t="str">
        <f t="shared" si="30"/>
        <v>CD68</v>
      </c>
      <c r="C114" s="3" t="str">
        <f t="shared" si="31"/>
        <v>CD68</v>
      </c>
      <c r="D114" s="3" t="str">
        <f t="shared" si="32"/>
        <v>CD68_HUMAN</v>
      </c>
      <c r="E114" s="2" t="s">
        <v>30</v>
      </c>
      <c r="F114" s="3" t="str">
        <f t="shared" si="33"/>
        <v>Macrosialin</v>
      </c>
      <c r="G114" s="4"/>
      <c r="H114" s="3" t="str">
        <f>HYPERLINK("https://www.cortellis.com/drugdiscovery/entity/biomarkers/64882","8-protein cancer panel")</f>
        <v>8-protein cancer panel</v>
      </c>
      <c r="I114" s="2" t="s">
        <v>23</v>
      </c>
      <c r="J114" s="2" t="s">
        <v>17</v>
      </c>
      <c r="K114" s="4" t="str">
        <f>HYPERLINK("https://www.cortellis.com/drugdiscovery/result/proxy/related-content/biomarkers/genestargets/64882","CD274 molecule; CD68 molecule")</f>
        <v>CD274 molecule; CD68 molecule</v>
      </c>
    </row>
    <row r="115" spans="1:11" ht="60" customHeight="1" x14ac:dyDescent="0.2">
      <c r="A115" s="2">
        <v>112</v>
      </c>
      <c r="B115" s="3" t="str">
        <f t="shared" ref="B115:B120" si="34">HYPERLINK("https://portal.genego.com/cgi/entity_page.cgi?term=100&amp;id=6043","CD69")</f>
        <v>CD69</v>
      </c>
      <c r="C115" s="3" t="str">
        <f t="shared" ref="C115:C120" si="35">HYPERLINK("https://portal.genego.com/cgi/entity_page.cgi?term=20&amp;id=-793503070","CD69")</f>
        <v>CD69</v>
      </c>
      <c r="D115" s="3" t="str">
        <f t="shared" ref="D115:D120" si="36">HYPERLINK("https://portal.genego.com/cgi/entity_page.cgi?term=7&amp;id=-1922267574","CD69_HUMAN")</f>
        <v>CD69_HUMAN</v>
      </c>
      <c r="E115" s="2" t="s">
        <v>13</v>
      </c>
      <c r="F115" s="3" t="str">
        <f t="shared" ref="F115:F120" si="37">HYPERLINK("https://portal.genego.com/cgi/entity_page.cgi?term=100&amp;id=6043","Early activation antigen CD69")</f>
        <v>Early activation antigen CD69</v>
      </c>
      <c r="G115" s="4"/>
      <c r="H115" s="3" t="str">
        <f>HYPERLINK("https://www.cortellis.com/drugdiscovery/entity/biomarkers/243","Early activation antigen CD69")</f>
        <v>Early activation antigen CD69</v>
      </c>
      <c r="I115" s="2" t="s">
        <v>37</v>
      </c>
      <c r="J115" s="2" t="s">
        <v>15</v>
      </c>
      <c r="K115" s="4" t="str">
        <f>HYPERLINK("https://www.cortellis.com/drugdiscovery/result/proxy/related-content/biomarkers/genestargets/243","CD69 molecule")</f>
        <v>CD69 molecule</v>
      </c>
    </row>
    <row r="116" spans="1:11" ht="60" customHeight="1" x14ac:dyDescent="0.2">
      <c r="A116" s="2">
        <v>113</v>
      </c>
      <c r="B116" s="3" t="str">
        <f t="shared" si="34"/>
        <v>CD69</v>
      </c>
      <c r="C116" s="3" t="str">
        <f t="shared" si="35"/>
        <v>CD69</v>
      </c>
      <c r="D116" s="3" t="str">
        <f t="shared" si="36"/>
        <v>CD69_HUMAN</v>
      </c>
      <c r="E116" s="2" t="s">
        <v>13</v>
      </c>
      <c r="F116" s="3" t="str">
        <f t="shared" si="37"/>
        <v>Early activation antigen CD69</v>
      </c>
      <c r="G116" s="4"/>
      <c r="H116" s="3" t="str">
        <f>HYPERLINK("https://www.cortellis.com/drugdiscovery/entity/biomarkers/35397","69-gene expression preterm birth panel")</f>
        <v>69-gene expression preterm birth panel</v>
      </c>
      <c r="I116" s="2" t="s">
        <v>29</v>
      </c>
      <c r="J116" s="2" t="s">
        <v>19</v>
      </c>
      <c r="K116" s="4" t="str">
        <f>HYPERLINK("https://www.cortellis.com/drugdiscovery/result/proxy/related-content/biomarkers/genestargets/35397","CD69 molecule")</f>
        <v>CD69 molecule</v>
      </c>
    </row>
    <row r="117" spans="1:11" ht="60" customHeight="1" x14ac:dyDescent="0.2">
      <c r="A117" s="2">
        <v>114</v>
      </c>
      <c r="B117" s="3" t="str">
        <f t="shared" si="34"/>
        <v>CD69</v>
      </c>
      <c r="C117" s="3" t="str">
        <f t="shared" si="35"/>
        <v>CD69</v>
      </c>
      <c r="D117" s="3" t="str">
        <f t="shared" si="36"/>
        <v>CD69_HUMAN</v>
      </c>
      <c r="E117" s="2" t="s">
        <v>13</v>
      </c>
      <c r="F117" s="3" t="str">
        <f t="shared" si="37"/>
        <v>Early activation antigen CD69</v>
      </c>
      <c r="G117" s="4"/>
      <c r="H117" s="3" t="str">
        <f>HYPERLINK("https://www.cortellis.com/drugdiscovery/entity/biomarkers/37530","Macrophage-associated marker prognostic score")</f>
        <v>Macrophage-associated marker prognostic score</v>
      </c>
      <c r="I117" s="2" t="s">
        <v>25</v>
      </c>
      <c r="J117" s="2" t="s">
        <v>19</v>
      </c>
      <c r="K117" s="4" t="str">
        <f>HYPERLINK("https://www.cortellis.com/drugdiscovery/result/proxy/related-content/biomarkers/genestargets/37530","CD69 molecule")</f>
        <v>CD69 molecule</v>
      </c>
    </row>
    <row r="118" spans="1:11" ht="60" customHeight="1" x14ac:dyDescent="0.2">
      <c r="A118" s="2">
        <v>115</v>
      </c>
      <c r="B118" s="3" t="str">
        <f t="shared" si="34"/>
        <v>CD69</v>
      </c>
      <c r="C118" s="3" t="str">
        <f t="shared" si="35"/>
        <v>CD69</v>
      </c>
      <c r="D118" s="3" t="str">
        <f t="shared" si="36"/>
        <v>CD69_HUMAN</v>
      </c>
      <c r="E118" s="2" t="s">
        <v>13</v>
      </c>
      <c r="F118" s="3" t="str">
        <f t="shared" si="37"/>
        <v>Early activation antigen CD69</v>
      </c>
      <c r="G118" s="4"/>
      <c r="H118" s="3" t="str">
        <f>HYPERLINK("https://www.cortellis.com/drugdiscovery/entity/biomarkers/38566","158-gene expression breast cancer panel")</f>
        <v>158-gene expression breast cancer panel</v>
      </c>
      <c r="I118" s="2" t="s">
        <v>18</v>
      </c>
      <c r="J118" s="2" t="s">
        <v>19</v>
      </c>
      <c r="K118" s="4" t="str">
        <f>HYPERLINK("https://www.cortellis.com/drugdiscovery/result/proxy/related-content/biomarkers/genestargets/38566","CD69 molecule")</f>
        <v>CD69 molecule</v>
      </c>
    </row>
    <row r="119" spans="1:11" ht="60" customHeight="1" x14ac:dyDescent="0.2">
      <c r="A119" s="2">
        <v>116</v>
      </c>
      <c r="B119" s="3" t="str">
        <f t="shared" si="34"/>
        <v>CD69</v>
      </c>
      <c r="C119" s="3" t="str">
        <f t="shared" si="35"/>
        <v>CD69</v>
      </c>
      <c r="D119" s="3" t="str">
        <f t="shared" si="36"/>
        <v>CD69_HUMAN</v>
      </c>
      <c r="E119" s="2" t="s">
        <v>13</v>
      </c>
      <c r="F119" s="3" t="str">
        <f t="shared" si="37"/>
        <v>Early activation antigen CD69</v>
      </c>
      <c r="G119" s="4"/>
      <c r="H119" s="3" t="str">
        <f>HYPERLINK("https://www.cortellis.com/drugdiscovery/entity/biomarkers/53411","8-gene expression cancer panel")</f>
        <v>8-gene expression cancer panel</v>
      </c>
      <c r="I119" s="2" t="s">
        <v>23</v>
      </c>
      <c r="J119" s="2" t="s">
        <v>15</v>
      </c>
      <c r="K119" s="4" t="str">
        <f>HYPERLINK("https://www.cortellis.com/drugdiscovery/result/proxy/related-content/biomarkers/genestargets/53411","CD69 molecule; interferon gamma")</f>
        <v>CD69 molecule; interferon gamma</v>
      </c>
    </row>
    <row r="120" spans="1:11" ht="60" customHeight="1" x14ac:dyDescent="0.2">
      <c r="A120" s="2">
        <v>117</v>
      </c>
      <c r="B120" s="3" t="str">
        <f t="shared" si="34"/>
        <v>CD69</v>
      </c>
      <c r="C120" s="3" t="str">
        <f t="shared" si="35"/>
        <v>CD69</v>
      </c>
      <c r="D120" s="3" t="str">
        <f t="shared" si="36"/>
        <v>CD69_HUMAN</v>
      </c>
      <c r="E120" s="2" t="s">
        <v>13</v>
      </c>
      <c r="F120" s="3" t="str">
        <f t="shared" si="37"/>
        <v>Early activation antigen CD69</v>
      </c>
      <c r="G120" s="4"/>
      <c r="H120" s="3" t="str">
        <f>HYPERLINK("https://www.cortellis.com/drugdiscovery/entity/biomarkers/64861","35-gene expresssion cancer panel")</f>
        <v>35-gene expresssion cancer panel</v>
      </c>
      <c r="I120" s="2" t="s">
        <v>38</v>
      </c>
      <c r="J120" s="2" t="s">
        <v>15</v>
      </c>
      <c r="K120" s="4" t="str">
        <f>HYPERLINK("https://www.cortellis.com/drugdiscovery/result/proxy/related-content/biomarkers/genestargets/64861","CD274 molecule; CD69 molecule; interferon gamma")</f>
        <v>CD274 molecule; CD69 molecule; interferon gamma</v>
      </c>
    </row>
    <row r="121" spans="1:11" ht="60" customHeight="1" x14ac:dyDescent="0.2">
      <c r="A121" s="2">
        <v>118</v>
      </c>
      <c r="B121" s="3" t="str">
        <f t="shared" ref="B121:B130" si="38">HYPERLINK("https://portal.genego.com/cgi/entity_page.cgi?term=100&amp;id=167","CTLA-4")</f>
        <v>CTLA-4</v>
      </c>
      <c r="C121" s="3" t="str">
        <f t="shared" ref="C121:C130" si="39">HYPERLINK("https://portal.genego.com/cgi/entity_page.cgi?term=20&amp;id=521703105","CTLA4")</f>
        <v>CTLA4</v>
      </c>
      <c r="D121" s="3" t="str">
        <f t="shared" ref="D121:D130" si="40">HYPERLINK("https://portal.genego.com/cgi/entity_page.cgi?term=7&amp;id=1831992317","CTLA4_HUMAN")</f>
        <v>CTLA4_HUMAN</v>
      </c>
      <c r="E121" s="2" t="s">
        <v>13</v>
      </c>
      <c r="F121" s="3" t="str">
        <f t="shared" ref="F121:F130" si="41">HYPERLINK("https://portal.genego.com/cgi/entity_page.cgi?term=100&amp;id=167","Cytotoxic T-lymphocyte protein 4")</f>
        <v>Cytotoxic T-lymphocyte protein 4</v>
      </c>
      <c r="G121" s="4" t="str">
        <f>HYPERLINK("https://portal.genego.com/cgi/entity_page.cgi?term=7&amp;id=1281903856","Ipilimumab")</f>
        <v>Ipilimumab</v>
      </c>
      <c r="H121" s="3" t="str">
        <f>HYPERLINK("https://www.cortellis.com/drugdiscovery/entity/biomarkers/741","Cytotoxic T-lymphocyte protein 4")</f>
        <v>Cytotoxic T-lymphocyte protein 4</v>
      </c>
      <c r="I121" s="2" t="s">
        <v>39</v>
      </c>
      <c r="J121" s="2" t="s">
        <v>15</v>
      </c>
      <c r="K121" s="4" t="str">
        <f>HYPERLINK("https://www.cortellis.com/drugdiscovery/result/proxy/related-content/biomarkers/genestargets/741","cytotoxic T-lymphocyte associated protein 4")</f>
        <v>cytotoxic T-lymphocyte associated protein 4</v>
      </c>
    </row>
    <row r="122" spans="1:11" ht="60" customHeight="1" x14ac:dyDescent="0.2">
      <c r="A122" s="2">
        <v>119</v>
      </c>
      <c r="B122" s="3" t="str">
        <f t="shared" si="38"/>
        <v>CTLA-4</v>
      </c>
      <c r="C122" s="3" t="str">
        <f t="shared" si="39"/>
        <v>CTLA4</v>
      </c>
      <c r="D122" s="3" t="str">
        <f t="shared" si="40"/>
        <v>CTLA4_HUMAN</v>
      </c>
      <c r="E122" s="2" t="s">
        <v>13</v>
      </c>
      <c r="F122" s="3" t="str">
        <f t="shared" si="41"/>
        <v>Cytotoxic T-lymphocyte protein 4</v>
      </c>
      <c r="G122" s="4" t="str">
        <f>HYPERLINK("https://portal.genego.com/cgi/entity_page.cgi?term=7&amp;id=1281903856","Ipilimumab")</f>
        <v>Ipilimumab</v>
      </c>
      <c r="H122" s="3" t="str">
        <f>HYPERLINK("https://www.cortellis.com/drugdiscovery/entity/biomarkers/27550","27-gene polymorphism rheumatoid arthritis panel")</f>
        <v>27-gene polymorphism rheumatoid arthritis panel</v>
      </c>
      <c r="I122" s="2" t="s">
        <v>29</v>
      </c>
      <c r="J122" s="2" t="s">
        <v>19</v>
      </c>
      <c r="K122" s="4" t="str">
        <f>HYPERLINK("https://www.cortellis.com/drugdiscovery/result/proxy/related-content/biomarkers/genestargets/27550","cytotoxic T-lymphocyte associated protein 4; protein tyrosine phosphatase non-receptor type 22; protein tyrosine phosphatase receptor type C")</f>
        <v>cytotoxic T-lymphocyte associated protein 4; protein tyrosine phosphatase non-receptor type 22; protein tyrosine phosphatase receptor type C</v>
      </c>
    </row>
    <row r="123" spans="1:11" ht="60" customHeight="1" x14ac:dyDescent="0.2">
      <c r="A123" s="2">
        <v>120</v>
      </c>
      <c r="B123" s="3" t="str">
        <f t="shared" si="38"/>
        <v>CTLA-4</v>
      </c>
      <c r="C123" s="3" t="str">
        <f t="shared" si="39"/>
        <v>CTLA4</v>
      </c>
      <c r="D123" s="3" t="str">
        <f t="shared" si="40"/>
        <v>CTLA4_HUMAN</v>
      </c>
      <c r="E123" s="2" t="s">
        <v>13</v>
      </c>
      <c r="F123" s="3" t="str">
        <f t="shared" si="41"/>
        <v>Cytotoxic T-lymphocyte protein 4</v>
      </c>
      <c r="G123" s="4" t="str">
        <f>HYPERLINK("https://portal.genego.com/cgi/entity_page.cgi?term=7&amp;id=1281903856","Ipilimumab")</f>
        <v>Ipilimumab</v>
      </c>
      <c r="H123" s="3" t="str">
        <f>HYPERLINK("https://www.cortellis.com/drugdiscovery/entity/biomarkers/40007","8-gene polymorphism diabetes panel")</f>
        <v>8-gene polymorphism diabetes panel</v>
      </c>
      <c r="I123" s="2" t="s">
        <v>29</v>
      </c>
      <c r="J123" s="2" t="s">
        <v>19</v>
      </c>
      <c r="K123" s="4" t="str">
        <f>HYPERLINK("https://www.cortellis.com/drugdiscovery/result/proxy/related-content/biomarkers/genestargets/40007","cytotoxic T-lymphocyte associated protein 4")</f>
        <v>cytotoxic T-lymphocyte associated protein 4</v>
      </c>
    </row>
    <row r="124" spans="1:11" ht="60" customHeight="1" x14ac:dyDescent="0.2">
      <c r="A124" s="2">
        <v>121</v>
      </c>
      <c r="B124" s="3" t="str">
        <f t="shared" si="38"/>
        <v>CTLA-4</v>
      </c>
      <c r="C124" s="3" t="str">
        <f t="shared" si="39"/>
        <v>CTLA4</v>
      </c>
      <c r="D124" s="3" t="str">
        <f t="shared" si="40"/>
        <v>CTLA4_HUMAN</v>
      </c>
      <c r="E124" s="2" t="s">
        <v>13</v>
      </c>
      <c r="F124" s="3" t="str">
        <f t="shared" si="41"/>
        <v>Cytotoxic T-lymphocyte protein 4</v>
      </c>
      <c r="G124" s="4" t="str">
        <f>HYPERLINK("https://portal.genego.com/cgi/entity_page.cgi?term=7&amp;id=1281903856","Ipilimumab")</f>
        <v>Ipilimumab</v>
      </c>
      <c r="H124" s="3" t="str">
        <f>HYPERLINK("https://www.cortellis.com/drugdiscovery/entity/biomarkers/63865","CD276-CTLA4 fusion protein")</f>
        <v>CD276-CTLA4 fusion protein</v>
      </c>
      <c r="I124" s="2" t="s">
        <v>25</v>
      </c>
      <c r="J124" s="2" t="s">
        <v>15</v>
      </c>
      <c r="K124" s="4" t="str">
        <f>HYPERLINK("https://www.cortellis.com/drugdiscovery/result/proxy/related-content/biomarkers/genestargets/63865","cytotoxic T-lymphocyte associated protein 4")</f>
        <v>cytotoxic T-lymphocyte associated protein 4</v>
      </c>
    </row>
    <row r="125" spans="1:11" ht="60" customHeight="1" x14ac:dyDescent="0.2">
      <c r="A125" s="2">
        <v>122</v>
      </c>
      <c r="B125" s="3" t="str">
        <f t="shared" si="38"/>
        <v>CTLA-4</v>
      </c>
      <c r="C125" s="3" t="str">
        <f t="shared" si="39"/>
        <v>CTLA4</v>
      </c>
      <c r="D125" s="3" t="str">
        <f t="shared" si="40"/>
        <v>CTLA4_HUMAN</v>
      </c>
      <c r="E125" s="2" t="s">
        <v>13</v>
      </c>
      <c r="F125" s="3" t="str">
        <f t="shared" si="41"/>
        <v>Cytotoxic T-lymphocyte protein 4</v>
      </c>
      <c r="G125" s="4" t="str">
        <f>HYPERLINK("https://portal.genego.com/cgi/entity_page.cgi?term=7&amp;id=1281903856","Ipilimumab")</f>
        <v>Ipilimumab</v>
      </c>
      <c r="H125" s="3" t="str">
        <f>HYPERLINK("https://www.cortellis.com/drugdiscovery/entity/biomarkers/65815","12-gene expression breast cancer panel")</f>
        <v>12-gene expression breast cancer panel</v>
      </c>
      <c r="I125" s="2" t="s">
        <v>18</v>
      </c>
      <c r="J125" s="2" t="s">
        <v>19</v>
      </c>
      <c r="K125" s="4" t="str">
        <f>HYPERLINK("https://www.cortellis.com/drugdiscovery/result/proxy/related-content/biomarkers/genestargets/65815","CD274 molecule; cytotoxic T-lymphocyte associated protein 4")</f>
        <v>CD274 molecule; cytotoxic T-lymphocyte associated protein 4</v>
      </c>
    </row>
    <row r="126" spans="1:11" ht="60" customHeight="1" x14ac:dyDescent="0.2">
      <c r="A126" s="2">
        <v>123</v>
      </c>
      <c r="B126" s="3" t="str">
        <f t="shared" si="38"/>
        <v>CTLA-4</v>
      </c>
      <c r="C126" s="3" t="str">
        <f t="shared" si="39"/>
        <v>CTLA4</v>
      </c>
      <c r="D126" s="3" t="str">
        <f t="shared" si="40"/>
        <v>CTLA4_HUMAN</v>
      </c>
      <c r="E126" s="2" t="s">
        <v>13</v>
      </c>
      <c r="F126" s="3" t="str">
        <f t="shared" si="41"/>
        <v>Cytotoxic T-lymphocyte protein 4</v>
      </c>
      <c r="G126" s="4" t="str">
        <f>HYPERLINK("https://portal.genego.com/cgi/entity_page.cgi?term=7&amp;id=2068113135","Tremelimumab")</f>
        <v>Tremelimumab</v>
      </c>
      <c r="H126" s="3" t="str">
        <f>HYPERLINK("https://www.cortellis.com/drugdiscovery/entity/biomarkers/741","Cytotoxic T-lymphocyte protein 4")</f>
        <v>Cytotoxic T-lymphocyte protein 4</v>
      </c>
      <c r="I126" s="2" t="s">
        <v>39</v>
      </c>
      <c r="J126" s="2" t="s">
        <v>15</v>
      </c>
      <c r="K126" s="4" t="str">
        <f>HYPERLINK("https://www.cortellis.com/drugdiscovery/result/proxy/related-content/biomarkers/genestargets/741","cytotoxic T-lymphocyte associated protein 4")</f>
        <v>cytotoxic T-lymphocyte associated protein 4</v>
      </c>
    </row>
    <row r="127" spans="1:11" ht="60" customHeight="1" x14ac:dyDescent="0.2">
      <c r="A127" s="2">
        <v>124</v>
      </c>
      <c r="B127" s="3" t="str">
        <f t="shared" si="38"/>
        <v>CTLA-4</v>
      </c>
      <c r="C127" s="3" t="str">
        <f t="shared" si="39"/>
        <v>CTLA4</v>
      </c>
      <c r="D127" s="3" t="str">
        <f t="shared" si="40"/>
        <v>CTLA4_HUMAN</v>
      </c>
      <c r="E127" s="2" t="s">
        <v>13</v>
      </c>
      <c r="F127" s="3" t="str">
        <f t="shared" si="41"/>
        <v>Cytotoxic T-lymphocyte protein 4</v>
      </c>
      <c r="G127" s="4" t="str">
        <f>HYPERLINK("https://portal.genego.com/cgi/entity_page.cgi?term=7&amp;id=2068113135","Tremelimumab")</f>
        <v>Tremelimumab</v>
      </c>
      <c r="H127" s="3" t="str">
        <f>HYPERLINK("https://www.cortellis.com/drugdiscovery/entity/biomarkers/27550","27-gene polymorphism rheumatoid arthritis panel")</f>
        <v>27-gene polymorphism rheumatoid arthritis panel</v>
      </c>
      <c r="I127" s="2" t="s">
        <v>29</v>
      </c>
      <c r="J127" s="2" t="s">
        <v>19</v>
      </c>
      <c r="K127" s="4" t="str">
        <f>HYPERLINK("https://www.cortellis.com/drugdiscovery/result/proxy/related-content/biomarkers/genestargets/27550","cytotoxic T-lymphocyte associated protein 4; protein tyrosine phosphatase non-receptor type 22; protein tyrosine phosphatase receptor type C")</f>
        <v>cytotoxic T-lymphocyte associated protein 4; protein tyrosine phosphatase non-receptor type 22; protein tyrosine phosphatase receptor type C</v>
      </c>
    </row>
    <row r="128" spans="1:11" ht="60" customHeight="1" x14ac:dyDescent="0.2">
      <c r="A128" s="2">
        <v>125</v>
      </c>
      <c r="B128" s="3" t="str">
        <f t="shared" si="38"/>
        <v>CTLA-4</v>
      </c>
      <c r="C128" s="3" t="str">
        <f t="shared" si="39"/>
        <v>CTLA4</v>
      </c>
      <c r="D128" s="3" t="str">
        <f t="shared" si="40"/>
        <v>CTLA4_HUMAN</v>
      </c>
      <c r="E128" s="2" t="s">
        <v>13</v>
      </c>
      <c r="F128" s="3" t="str">
        <f t="shared" si="41"/>
        <v>Cytotoxic T-lymphocyte protein 4</v>
      </c>
      <c r="G128" s="4" t="str">
        <f>HYPERLINK("https://portal.genego.com/cgi/entity_page.cgi?term=7&amp;id=2068113135","Tremelimumab")</f>
        <v>Tremelimumab</v>
      </c>
      <c r="H128" s="3" t="str">
        <f>HYPERLINK("https://www.cortellis.com/drugdiscovery/entity/biomarkers/40007","8-gene polymorphism diabetes panel")</f>
        <v>8-gene polymorphism diabetes panel</v>
      </c>
      <c r="I128" s="2" t="s">
        <v>29</v>
      </c>
      <c r="J128" s="2" t="s">
        <v>19</v>
      </c>
      <c r="K128" s="4" t="str">
        <f>HYPERLINK("https://www.cortellis.com/drugdiscovery/result/proxy/related-content/biomarkers/genestargets/40007","cytotoxic T-lymphocyte associated protein 4")</f>
        <v>cytotoxic T-lymphocyte associated protein 4</v>
      </c>
    </row>
    <row r="129" spans="1:11" ht="60" customHeight="1" x14ac:dyDescent="0.2">
      <c r="A129" s="2">
        <v>126</v>
      </c>
      <c r="B129" s="3" t="str">
        <f t="shared" si="38"/>
        <v>CTLA-4</v>
      </c>
      <c r="C129" s="3" t="str">
        <f t="shared" si="39"/>
        <v>CTLA4</v>
      </c>
      <c r="D129" s="3" t="str">
        <f t="shared" si="40"/>
        <v>CTLA4_HUMAN</v>
      </c>
      <c r="E129" s="2" t="s">
        <v>13</v>
      </c>
      <c r="F129" s="3" t="str">
        <f t="shared" si="41"/>
        <v>Cytotoxic T-lymphocyte protein 4</v>
      </c>
      <c r="G129" s="4" t="str">
        <f>HYPERLINK("https://portal.genego.com/cgi/entity_page.cgi?term=7&amp;id=2068113135","Tremelimumab")</f>
        <v>Tremelimumab</v>
      </c>
      <c r="H129" s="3" t="str">
        <f>HYPERLINK("https://www.cortellis.com/drugdiscovery/entity/biomarkers/63865","CD276-CTLA4 fusion protein")</f>
        <v>CD276-CTLA4 fusion protein</v>
      </c>
      <c r="I129" s="2" t="s">
        <v>25</v>
      </c>
      <c r="J129" s="2" t="s">
        <v>15</v>
      </c>
      <c r="K129" s="4" t="str">
        <f>HYPERLINK("https://www.cortellis.com/drugdiscovery/result/proxy/related-content/biomarkers/genestargets/63865","cytotoxic T-lymphocyte associated protein 4")</f>
        <v>cytotoxic T-lymphocyte associated protein 4</v>
      </c>
    </row>
    <row r="130" spans="1:11" ht="60" customHeight="1" x14ac:dyDescent="0.2">
      <c r="A130" s="2">
        <v>127</v>
      </c>
      <c r="B130" s="3" t="str">
        <f t="shared" si="38"/>
        <v>CTLA-4</v>
      </c>
      <c r="C130" s="3" t="str">
        <f t="shared" si="39"/>
        <v>CTLA4</v>
      </c>
      <c r="D130" s="3" t="str">
        <f t="shared" si="40"/>
        <v>CTLA4_HUMAN</v>
      </c>
      <c r="E130" s="2" t="s">
        <v>13</v>
      </c>
      <c r="F130" s="3" t="str">
        <f t="shared" si="41"/>
        <v>Cytotoxic T-lymphocyte protein 4</v>
      </c>
      <c r="G130" s="4" t="str">
        <f>HYPERLINK("https://portal.genego.com/cgi/entity_page.cgi?term=7&amp;id=2068113135","Tremelimumab")</f>
        <v>Tremelimumab</v>
      </c>
      <c r="H130" s="3" t="str">
        <f>HYPERLINK("https://www.cortellis.com/drugdiscovery/entity/biomarkers/65815","12-gene expression breast cancer panel")</f>
        <v>12-gene expression breast cancer panel</v>
      </c>
      <c r="I130" s="2" t="s">
        <v>18</v>
      </c>
      <c r="J130" s="2" t="s">
        <v>19</v>
      </c>
      <c r="K130" s="4" t="str">
        <f>HYPERLINK("https://www.cortellis.com/drugdiscovery/result/proxy/related-content/biomarkers/genestargets/65815","CD274 molecule; cytotoxic T-lymphocyte associated protein 4")</f>
        <v>CD274 molecule; cytotoxic T-lymphocyte associated protein 4</v>
      </c>
    </row>
    <row r="131" spans="1:11" ht="60" customHeight="1" x14ac:dyDescent="0.2">
      <c r="A131" s="2">
        <v>128</v>
      </c>
      <c r="B131" s="3" t="str">
        <f t="shared" ref="B131:B164" si="42">HYPERLINK("https://portal.genego.com/cgi/entity_page.cgi?term=100&amp;id=929","Cyclin D")</f>
        <v>Cyclin D</v>
      </c>
      <c r="C131" s="3" t="str">
        <f t="shared" ref="C131:C194" si="43">HYPERLINK("https://portal.genego.com/cgi/entity_page.cgi?term=20&amp;id=-841303359","CCND1")</f>
        <v>CCND1</v>
      </c>
      <c r="D131" s="3" t="str">
        <f t="shared" ref="D131:D194" si="44">HYPERLINK("https://portal.genego.com/cgi/entity_page.cgi?term=7&amp;id=2060912780","CCND1_HUMAN")</f>
        <v>CCND1_HUMAN</v>
      </c>
      <c r="E131" s="2" t="s">
        <v>30</v>
      </c>
      <c r="F131" s="3"/>
      <c r="G131" s="4"/>
      <c r="H131" s="3" t="str">
        <f>HYPERLINK("https://www.cortellis.com/drugdiscovery/entity/biomarkers/11","G1/S-specific cyclin-D1")</f>
        <v>G1/S-specific cyclin-D1</v>
      </c>
      <c r="I131" s="2" t="s">
        <v>22</v>
      </c>
      <c r="J131" s="2" t="s">
        <v>15</v>
      </c>
      <c r="K131" s="4" t="str">
        <f>HYPERLINK("https://www.cortellis.com/drugdiscovery/result/proxy/related-content/biomarkers/genestargets/11","cyclin D1")</f>
        <v>cyclin D1</v>
      </c>
    </row>
    <row r="132" spans="1:11" ht="60" customHeight="1" x14ac:dyDescent="0.2">
      <c r="A132" s="2">
        <v>129</v>
      </c>
      <c r="B132" s="3" t="str">
        <f t="shared" si="42"/>
        <v>Cyclin D</v>
      </c>
      <c r="C132" s="3" t="str">
        <f t="shared" si="43"/>
        <v>CCND1</v>
      </c>
      <c r="D132" s="3" t="str">
        <f t="shared" si="44"/>
        <v>CCND1_HUMAN</v>
      </c>
      <c r="E132" s="2" t="s">
        <v>30</v>
      </c>
      <c r="F132" s="3"/>
      <c r="G132" s="4"/>
      <c r="H132" s="3" t="str">
        <f>HYPERLINK("https://www.cortellis.com/drugdiscovery/entity/biomarkers/19284","CCND1-IGH fusion protein")</f>
        <v>CCND1-IGH fusion protein</v>
      </c>
      <c r="I132" s="2" t="s">
        <v>40</v>
      </c>
      <c r="J132" s="2" t="s">
        <v>15</v>
      </c>
      <c r="K132" s="4" t="str">
        <f>HYPERLINK("https://www.cortellis.com/drugdiscovery/result/proxy/related-content/biomarkers/genestargets/19284","cyclin D1")</f>
        <v>cyclin D1</v>
      </c>
    </row>
    <row r="133" spans="1:11" ht="60" customHeight="1" x14ac:dyDescent="0.2">
      <c r="A133" s="2">
        <v>130</v>
      </c>
      <c r="B133" s="3" t="str">
        <f t="shared" si="42"/>
        <v>Cyclin D</v>
      </c>
      <c r="C133" s="3" t="str">
        <f t="shared" si="43"/>
        <v>CCND1</v>
      </c>
      <c r="D133" s="3" t="str">
        <f t="shared" si="44"/>
        <v>CCND1_HUMAN</v>
      </c>
      <c r="E133" s="2" t="s">
        <v>30</v>
      </c>
      <c r="F133" s="3"/>
      <c r="G133" s="4"/>
      <c r="H133" s="3" t="str">
        <f>HYPERLINK("https://www.cortellis.com/drugdiscovery/entity/biomarkers/25323","4-protein prostate cancer panel")</f>
        <v>4-protein prostate cancer panel</v>
      </c>
      <c r="I133" s="2" t="s">
        <v>25</v>
      </c>
      <c r="J133" s="2" t="s">
        <v>17</v>
      </c>
      <c r="K133" s="4" t="str">
        <f>HYPERLINK("https://www.cortellis.com/drugdiscovery/result/proxy/related-content/biomarkers/genestargets/25323","cyclin D1")</f>
        <v>cyclin D1</v>
      </c>
    </row>
    <row r="134" spans="1:11" ht="60" customHeight="1" x14ac:dyDescent="0.2">
      <c r="A134" s="2">
        <v>131</v>
      </c>
      <c r="B134" s="3" t="str">
        <f t="shared" si="42"/>
        <v>Cyclin D</v>
      </c>
      <c r="C134" s="3" t="str">
        <f t="shared" si="43"/>
        <v>CCND1</v>
      </c>
      <c r="D134" s="3" t="str">
        <f t="shared" si="44"/>
        <v>CCND1_HUMAN</v>
      </c>
      <c r="E134" s="2" t="s">
        <v>30</v>
      </c>
      <c r="F134" s="3"/>
      <c r="G134" s="4"/>
      <c r="H134" s="3" t="str">
        <f>HYPERLINK("https://www.cortellis.com/drugdiscovery/entity/biomarkers/25837","374-gene expression breast cancer panel")</f>
        <v>374-gene expression breast cancer panel</v>
      </c>
      <c r="I134" s="2" t="s">
        <v>25</v>
      </c>
      <c r="J134" s="2" t="s">
        <v>19</v>
      </c>
      <c r="K134" s="4" t="str">
        <f>HYPERLINK("https://www.cortellis.com/drugdiscovery/result/proxy/related-content/biomarkers/genestargets/25837","CD44 molecule (Indian blood group); coagulation factor III, tissue factor; cyclin D1")</f>
        <v>CD44 molecule (Indian blood group); coagulation factor III, tissue factor; cyclin D1</v>
      </c>
    </row>
    <row r="135" spans="1:11" ht="60" customHeight="1" x14ac:dyDescent="0.2">
      <c r="A135" s="2">
        <v>132</v>
      </c>
      <c r="B135" s="3" t="str">
        <f t="shared" si="42"/>
        <v>Cyclin D</v>
      </c>
      <c r="C135" s="3" t="str">
        <f t="shared" si="43"/>
        <v>CCND1</v>
      </c>
      <c r="D135" s="3" t="str">
        <f t="shared" si="44"/>
        <v>CCND1_HUMAN</v>
      </c>
      <c r="E135" s="2" t="s">
        <v>30</v>
      </c>
      <c r="F135" s="3"/>
      <c r="G135" s="4"/>
      <c r="H135" s="3" t="str">
        <f>HYPERLINK("https://www.cortellis.com/drugdiscovery/entity/biomarkers/29676","277-gene expression lung cancer panel")</f>
        <v>277-gene expression lung cancer panel</v>
      </c>
      <c r="I135" s="2" t="s">
        <v>25</v>
      </c>
      <c r="J135" s="2" t="s">
        <v>19</v>
      </c>
      <c r="K135" s="4" t="str">
        <f>HYPERLINK("https://www.cortellis.com/drugdiscovery/result/proxy/related-content/biomarkers/genestargets/29676","cyclin D1; tumor necrosis factor")</f>
        <v>cyclin D1; tumor necrosis factor</v>
      </c>
    </row>
    <row r="136" spans="1:11" ht="60" customHeight="1" x14ac:dyDescent="0.2">
      <c r="A136" s="2">
        <v>133</v>
      </c>
      <c r="B136" s="3" t="str">
        <f t="shared" si="42"/>
        <v>Cyclin D</v>
      </c>
      <c r="C136" s="3" t="str">
        <f t="shared" si="43"/>
        <v>CCND1</v>
      </c>
      <c r="D136" s="3" t="str">
        <f t="shared" si="44"/>
        <v>CCND1_HUMAN</v>
      </c>
      <c r="E136" s="2" t="s">
        <v>30</v>
      </c>
      <c r="F136" s="3"/>
      <c r="G136" s="4"/>
      <c r="H136" s="3" t="str">
        <f>HYPERLINK("https://www.cortellis.com/drugdiscovery/entity/biomarkers/29864","6-gene expression thyroid panel")</f>
        <v>6-gene expression thyroid panel</v>
      </c>
      <c r="I136" s="2" t="s">
        <v>23</v>
      </c>
      <c r="J136" s="2" t="s">
        <v>19</v>
      </c>
      <c r="K136" s="4" t="str">
        <f>HYPERLINK("https://www.cortellis.com/drugdiscovery/result/proxy/related-content/biomarkers/genestargets/29864","cyclin D1")</f>
        <v>cyclin D1</v>
      </c>
    </row>
    <row r="137" spans="1:11" ht="60" customHeight="1" x14ac:dyDescent="0.2">
      <c r="A137" s="2">
        <v>134</v>
      </c>
      <c r="B137" s="3" t="str">
        <f t="shared" si="42"/>
        <v>Cyclin D</v>
      </c>
      <c r="C137" s="3" t="str">
        <f t="shared" si="43"/>
        <v>CCND1</v>
      </c>
      <c r="D137" s="3" t="str">
        <f t="shared" si="44"/>
        <v>CCND1_HUMAN</v>
      </c>
      <c r="E137" s="2" t="s">
        <v>30</v>
      </c>
      <c r="F137" s="3"/>
      <c r="G137" s="4"/>
      <c r="H137" s="3" t="str">
        <f>HYPERLINK("https://www.cortellis.com/drugdiscovery/entity/biomarkers/33042","6-gene expression neuroblastoma panel")</f>
        <v>6-gene expression neuroblastoma panel</v>
      </c>
      <c r="I137" s="2" t="s">
        <v>41</v>
      </c>
      <c r="J137" s="2" t="s">
        <v>19</v>
      </c>
      <c r="K137" s="4" t="str">
        <f>HYPERLINK("https://www.cortellis.com/drugdiscovery/result/proxy/related-content/biomarkers/genestargets/33042","cyclin D1")</f>
        <v>cyclin D1</v>
      </c>
    </row>
    <row r="138" spans="1:11" ht="60" customHeight="1" x14ac:dyDescent="0.2">
      <c r="A138" s="2">
        <v>135</v>
      </c>
      <c r="B138" s="3" t="str">
        <f t="shared" si="42"/>
        <v>Cyclin D</v>
      </c>
      <c r="C138" s="3" t="str">
        <f t="shared" si="43"/>
        <v>CCND1</v>
      </c>
      <c r="D138" s="3" t="str">
        <f t="shared" si="44"/>
        <v>CCND1_HUMAN</v>
      </c>
      <c r="E138" s="2" t="s">
        <v>30</v>
      </c>
      <c r="F138" s="3"/>
      <c r="G138" s="4"/>
      <c r="H138" s="3" t="str">
        <f>HYPERLINK("https://www.cortellis.com/drugdiscovery/entity/biomarkers/34289","21-gene expression breast cancer panel")</f>
        <v>21-gene expression breast cancer panel</v>
      </c>
      <c r="I138" s="2" t="s">
        <v>18</v>
      </c>
      <c r="J138" s="2" t="s">
        <v>19</v>
      </c>
      <c r="K138" s="4" t="str">
        <f>HYPERLINK("https://www.cortellis.com/drugdiscovery/result/proxy/related-content/biomarkers/genestargets/34289","cyclin D1")</f>
        <v>cyclin D1</v>
      </c>
    </row>
    <row r="139" spans="1:11" ht="60" customHeight="1" x14ac:dyDescent="0.2">
      <c r="A139" s="2">
        <v>136</v>
      </c>
      <c r="B139" s="3" t="str">
        <f t="shared" si="42"/>
        <v>Cyclin D</v>
      </c>
      <c r="C139" s="3" t="str">
        <f t="shared" si="43"/>
        <v>CCND1</v>
      </c>
      <c r="D139" s="3" t="str">
        <f t="shared" si="44"/>
        <v>CCND1_HUMAN</v>
      </c>
      <c r="E139" s="2" t="s">
        <v>30</v>
      </c>
      <c r="F139" s="3"/>
      <c r="G139" s="4"/>
      <c r="H139" s="3" t="str">
        <f>HYPERLINK("https://www.cortellis.com/drugdiscovery/entity/biomarkers/39504","4-protein lung cancer panel")</f>
        <v>4-protein lung cancer panel</v>
      </c>
      <c r="I139" s="2" t="s">
        <v>25</v>
      </c>
      <c r="J139" s="2" t="s">
        <v>17</v>
      </c>
      <c r="K139" s="4" t="str">
        <f>HYPERLINK("https://www.cortellis.com/drugdiscovery/result/proxy/related-content/biomarkers/genestargets/39504","cyclin D1")</f>
        <v>cyclin D1</v>
      </c>
    </row>
    <row r="140" spans="1:11" ht="60" customHeight="1" x14ac:dyDescent="0.2">
      <c r="A140" s="2">
        <v>137</v>
      </c>
      <c r="B140" s="3" t="str">
        <f t="shared" si="42"/>
        <v>Cyclin D</v>
      </c>
      <c r="C140" s="3" t="str">
        <f t="shared" si="43"/>
        <v>CCND1</v>
      </c>
      <c r="D140" s="3" t="str">
        <f t="shared" si="44"/>
        <v>CCND1_HUMAN</v>
      </c>
      <c r="E140" s="2" t="s">
        <v>30</v>
      </c>
      <c r="F140" s="3"/>
      <c r="G140" s="4"/>
      <c r="H140" s="3" t="str">
        <f>HYPERLINK("https://www.cortellis.com/drugdiscovery/entity/biomarkers/39535","8-protein hepatocellular cancer panel")</f>
        <v>8-protein hepatocellular cancer panel</v>
      </c>
      <c r="I140" s="2" t="s">
        <v>18</v>
      </c>
      <c r="J140" s="2" t="s">
        <v>17</v>
      </c>
      <c r="K140" s="4" t="str">
        <f>HYPERLINK("https://www.cortellis.com/drugdiscovery/result/proxy/related-content/biomarkers/genestargets/39535","cyclin D1")</f>
        <v>cyclin D1</v>
      </c>
    </row>
    <row r="141" spans="1:11" ht="60" customHeight="1" x14ac:dyDescent="0.2">
      <c r="A141" s="2">
        <v>138</v>
      </c>
      <c r="B141" s="3" t="str">
        <f t="shared" si="42"/>
        <v>Cyclin D</v>
      </c>
      <c r="C141" s="3" t="str">
        <f t="shared" si="43"/>
        <v>CCND1</v>
      </c>
      <c r="D141" s="3" t="str">
        <f t="shared" si="44"/>
        <v>CCND1_HUMAN</v>
      </c>
      <c r="E141" s="2" t="s">
        <v>30</v>
      </c>
      <c r="F141" s="3"/>
      <c r="G141" s="4"/>
      <c r="H141" s="3" t="str">
        <f>HYPERLINK("https://www.cortellis.com/drugdiscovery/entity/biomarkers/39872","11-gene expression ovarian cancer panel")</f>
        <v>11-gene expression ovarian cancer panel</v>
      </c>
      <c r="I141" s="2" t="s">
        <v>25</v>
      </c>
      <c r="J141" s="2" t="s">
        <v>19</v>
      </c>
      <c r="K141" s="4" t="str">
        <f>HYPERLINK("https://www.cortellis.com/drugdiscovery/result/proxy/related-content/biomarkers/genestargets/39872","cyclin D1")</f>
        <v>cyclin D1</v>
      </c>
    </row>
    <row r="142" spans="1:11" ht="60" customHeight="1" x14ac:dyDescent="0.2">
      <c r="A142" s="2">
        <v>139</v>
      </c>
      <c r="B142" s="3" t="str">
        <f t="shared" si="42"/>
        <v>Cyclin D</v>
      </c>
      <c r="C142" s="3" t="str">
        <f t="shared" si="43"/>
        <v>CCND1</v>
      </c>
      <c r="D142" s="3" t="str">
        <f t="shared" si="44"/>
        <v>CCND1_HUMAN</v>
      </c>
      <c r="E142" s="2" t="s">
        <v>30</v>
      </c>
      <c r="F142" s="3"/>
      <c r="G142" s="4"/>
      <c r="H142" s="3" t="str">
        <f>HYPERLINK("https://www.cortellis.com/drugdiscovery/entity/biomarkers/40578","4-protein bladder cancer panel")</f>
        <v>4-protein bladder cancer panel</v>
      </c>
      <c r="I142" s="2" t="s">
        <v>25</v>
      </c>
      <c r="J142" s="2" t="s">
        <v>17</v>
      </c>
      <c r="K142" s="4" t="str">
        <f>HYPERLINK("https://www.cortellis.com/drugdiscovery/result/proxy/related-content/biomarkers/genestargets/40578","cyclin D1")</f>
        <v>cyclin D1</v>
      </c>
    </row>
    <row r="143" spans="1:11" ht="60" customHeight="1" x14ac:dyDescent="0.2">
      <c r="A143" s="2">
        <v>140</v>
      </c>
      <c r="B143" s="3" t="str">
        <f t="shared" si="42"/>
        <v>Cyclin D</v>
      </c>
      <c r="C143" s="3" t="str">
        <f t="shared" si="43"/>
        <v>CCND1</v>
      </c>
      <c r="D143" s="3" t="str">
        <f t="shared" si="44"/>
        <v>CCND1_HUMAN</v>
      </c>
      <c r="E143" s="2" t="s">
        <v>30</v>
      </c>
      <c r="F143" s="3"/>
      <c r="G143" s="4"/>
      <c r="H143" s="3" t="str">
        <f>HYPERLINK("https://www.cortellis.com/drugdiscovery/entity/biomarkers/42718","56-gene expression endometrial cancer panel")</f>
        <v>56-gene expression endometrial cancer panel</v>
      </c>
      <c r="I143" s="2" t="s">
        <v>23</v>
      </c>
      <c r="J143" s="2" t="s">
        <v>19</v>
      </c>
      <c r="K143" s="4" t="str">
        <f>HYPERLINK("https://www.cortellis.com/drugdiscovery/result/proxy/related-content/biomarkers/genestargets/42718","cyclin D1")</f>
        <v>cyclin D1</v>
      </c>
    </row>
    <row r="144" spans="1:11" ht="60" customHeight="1" x14ac:dyDescent="0.2">
      <c r="A144" s="2">
        <v>141</v>
      </c>
      <c r="B144" s="3" t="str">
        <f t="shared" si="42"/>
        <v>Cyclin D</v>
      </c>
      <c r="C144" s="3" t="str">
        <f t="shared" si="43"/>
        <v>CCND1</v>
      </c>
      <c r="D144" s="3" t="str">
        <f t="shared" si="44"/>
        <v>CCND1_HUMAN</v>
      </c>
      <c r="E144" s="2" t="s">
        <v>30</v>
      </c>
      <c r="F144" s="3"/>
      <c r="G144" s="4"/>
      <c r="H144" s="3" t="str">
        <f>HYPERLINK("https://www.cortellis.com/drugdiscovery/entity/biomarkers/43018","14-gene expression cancer panel")</f>
        <v>14-gene expression cancer panel</v>
      </c>
      <c r="I144" s="2" t="s">
        <v>24</v>
      </c>
      <c r="J144" s="2" t="s">
        <v>19</v>
      </c>
      <c r="K144" s="4" t="str">
        <f>HYPERLINK("https://www.cortellis.com/drugdiscovery/result/proxy/related-content/biomarkers/genestargets/43018","cyclin D1")</f>
        <v>cyclin D1</v>
      </c>
    </row>
    <row r="145" spans="1:11" ht="60" customHeight="1" x14ac:dyDescent="0.2">
      <c r="A145" s="2">
        <v>142</v>
      </c>
      <c r="B145" s="3" t="str">
        <f t="shared" si="42"/>
        <v>Cyclin D</v>
      </c>
      <c r="C145" s="3" t="str">
        <f t="shared" si="43"/>
        <v>CCND1</v>
      </c>
      <c r="D145" s="3" t="str">
        <f t="shared" si="44"/>
        <v>CCND1_HUMAN</v>
      </c>
      <c r="E145" s="2" t="s">
        <v>30</v>
      </c>
      <c r="F145" s="3"/>
      <c r="G145" s="4"/>
      <c r="H145" s="3" t="str">
        <f>HYPERLINK("https://www.cortellis.com/drugdiscovery/entity/biomarkers/48282","31-gene expression glioblastoma panel")</f>
        <v>31-gene expression glioblastoma panel</v>
      </c>
      <c r="I145" s="2" t="s">
        <v>18</v>
      </c>
      <c r="J145" s="2" t="s">
        <v>19</v>
      </c>
      <c r="K145" s="4" t="str">
        <f>HYPERLINK("https://www.cortellis.com/drugdiscovery/result/proxy/related-content/biomarkers/genestargets/48282","cyclin D1; dystroglycan 1; protein tyrosine phosphatase receptor type C")</f>
        <v>cyclin D1; dystroglycan 1; protein tyrosine phosphatase receptor type C</v>
      </c>
    </row>
    <row r="146" spans="1:11" ht="60" customHeight="1" x14ac:dyDescent="0.2">
      <c r="A146" s="2">
        <v>143</v>
      </c>
      <c r="B146" s="3" t="str">
        <f t="shared" si="42"/>
        <v>Cyclin D</v>
      </c>
      <c r="C146" s="3" t="str">
        <f t="shared" si="43"/>
        <v>CCND1</v>
      </c>
      <c r="D146" s="3" t="str">
        <f t="shared" si="44"/>
        <v>CCND1_HUMAN</v>
      </c>
      <c r="E146" s="2" t="s">
        <v>30</v>
      </c>
      <c r="F146" s="3"/>
      <c r="G146" s="4"/>
      <c r="H146" s="3" t="str">
        <f>HYPERLINK("https://www.cortellis.com/drugdiscovery/entity/biomarkers/52074","20 gene expression breast cancer panel")</f>
        <v>20 gene expression breast cancer panel</v>
      </c>
      <c r="I146" s="2" t="s">
        <v>25</v>
      </c>
      <c r="J146" s="2" t="s">
        <v>19</v>
      </c>
      <c r="K146" s="4" t="str">
        <f>HYPERLINK("https://www.cortellis.com/drugdiscovery/result/proxy/related-content/biomarkers/genestargets/52074","cyclin D1")</f>
        <v>cyclin D1</v>
      </c>
    </row>
    <row r="147" spans="1:11" ht="60" customHeight="1" x14ac:dyDescent="0.2">
      <c r="A147" s="2">
        <v>144</v>
      </c>
      <c r="B147" s="3" t="str">
        <f t="shared" si="42"/>
        <v>Cyclin D</v>
      </c>
      <c r="C147" s="3" t="str">
        <f t="shared" si="43"/>
        <v>CCND1</v>
      </c>
      <c r="D147" s="3" t="str">
        <f t="shared" si="44"/>
        <v>CCND1_HUMAN</v>
      </c>
      <c r="E147" s="2" t="s">
        <v>30</v>
      </c>
      <c r="F147" s="3"/>
      <c r="G147" s="4"/>
      <c r="H147" s="3" t="str">
        <f>HYPERLINK("https://www.cortellis.com/drugdiscovery/entity/biomarkers/53379","26-gene expression ovarian cancer panel")</f>
        <v>26-gene expression ovarian cancer panel</v>
      </c>
      <c r="I147" s="2" t="s">
        <v>25</v>
      </c>
      <c r="J147" s="2" t="s">
        <v>15</v>
      </c>
      <c r="K147" s="4" t="str">
        <f>HYPERLINK("https://www.cortellis.com/drugdiscovery/result/proxy/related-content/biomarkers/genestargets/53379","cyclin D1")</f>
        <v>cyclin D1</v>
      </c>
    </row>
    <row r="148" spans="1:11" ht="60" customHeight="1" x14ac:dyDescent="0.2">
      <c r="A148" s="2">
        <v>145</v>
      </c>
      <c r="B148" s="3" t="str">
        <f t="shared" si="42"/>
        <v>Cyclin D</v>
      </c>
      <c r="C148" s="3" t="str">
        <f t="shared" si="43"/>
        <v>CCND1</v>
      </c>
      <c r="D148" s="3" t="str">
        <f t="shared" si="44"/>
        <v>CCND1_HUMAN</v>
      </c>
      <c r="E148" s="2" t="s">
        <v>30</v>
      </c>
      <c r="F148" s="3"/>
      <c r="G148" s="4"/>
      <c r="H148" s="3" t="str">
        <f>HYPERLINK("https://www.cortellis.com/drugdiscovery/entity/biomarkers/55486","5-gene expression clear cell renal cell carcinoma panel")</f>
        <v>5-gene expression clear cell renal cell carcinoma panel</v>
      </c>
      <c r="I148" s="2" t="s">
        <v>25</v>
      </c>
      <c r="J148" s="2" t="s">
        <v>15</v>
      </c>
      <c r="K148" s="4" t="str">
        <f>HYPERLINK("https://www.cortellis.com/drugdiscovery/result/proxy/related-content/biomarkers/genestargets/55486","cyclin D1")</f>
        <v>cyclin D1</v>
      </c>
    </row>
    <row r="149" spans="1:11" ht="60" customHeight="1" x14ac:dyDescent="0.2">
      <c r="A149" s="2">
        <v>146</v>
      </c>
      <c r="B149" s="3" t="str">
        <f t="shared" si="42"/>
        <v>Cyclin D</v>
      </c>
      <c r="C149" s="3" t="str">
        <f t="shared" si="43"/>
        <v>CCND1</v>
      </c>
      <c r="D149" s="3" t="str">
        <f t="shared" si="44"/>
        <v>CCND1_HUMAN</v>
      </c>
      <c r="E149" s="2" t="s">
        <v>30</v>
      </c>
      <c r="F149" s="3"/>
      <c r="G149" s="4"/>
      <c r="H149" s="3" t="str">
        <f>HYPERLINK("https://www.cortellis.com/drugdiscovery/entity/biomarkers/57018","8-gene expression B-cell chronic lymphocytic leukemia panel")</f>
        <v>8-gene expression B-cell chronic lymphocytic leukemia panel</v>
      </c>
      <c r="I149" s="2" t="s">
        <v>23</v>
      </c>
      <c r="J149" s="2" t="s">
        <v>19</v>
      </c>
      <c r="K149" s="4" t="str">
        <f>HYPERLINK("https://www.cortellis.com/drugdiscovery/result/proxy/related-content/biomarkers/genestargets/57018","cyclin D1")</f>
        <v>cyclin D1</v>
      </c>
    </row>
    <row r="150" spans="1:11" ht="60" customHeight="1" x14ac:dyDescent="0.2">
      <c r="A150" s="2">
        <v>147</v>
      </c>
      <c r="B150" s="3" t="str">
        <f t="shared" si="42"/>
        <v>Cyclin D</v>
      </c>
      <c r="C150" s="3" t="str">
        <f t="shared" si="43"/>
        <v>CCND1</v>
      </c>
      <c r="D150" s="3" t="str">
        <f t="shared" si="44"/>
        <v>CCND1_HUMAN</v>
      </c>
      <c r="E150" s="2" t="s">
        <v>30</v>
      </c>
      <c r="F150" s="3"/>
      <c r="G150" s="4"/>
      <c r="H150" s="3" t="str">
        <f>HYPERLINK("https://www.cortellis.com/drugdiscovery/entity/biomarkers/59125","6-gene expression prostate cancer panel")</f>
        <v>6-gene expression prostate cancer panel</v>
      </c>
      <c r="I150" s="2" t="s">
        <v>23</v>
      </c>
      <c r="J150" s="2" t="s">
        <v>19</v>
      </c>
      <c r="K150" s="4" t="str">
        <f>HYPERLINK("https://www.cortellis.com/drugdiscovery/result/proxy/related-content/biomarkers/genestargets/59125","cyclin D1")</f>
        <v>cyclin D1</v>
      </c>
    </row>
    <row r="151" spans="1:11" ht="60" customHeight="1" x14ac:dyDescent="0.2">
      <c r="A151" s="2">
        <v>148</v>
      </c>
      <c r="B151" s="3" t="str">
        <f t="shared" si="42"/>
        <v>Cyclin D</v>
      </c>
      <c r="C151" s="3" t="str">
        <f t="shared" si="43"/>
        <v>CCND1</v>
      </c>
      <c r="D151" s="3" t="str">
        <f t="shared" si="44"/>
        <v>CCND1_HUMAN</v>
      </c>
      <c r="E151" s="2" t="s">
        <v>30</v>
      </c>
      <c r="F151" s="3"/>
      <c r="G151" s="4"/>
      <c r="H151" s="3" t="str">
        <f>HYPERLINK("https://www.cortellis.com/drugdiscovery/entity/biomarkers/60662","OAZ1-CCND1 fusion protein")</f>
        <v>OAZ1-CCND1 fusion protein</v>
      </c>
      <c r="I151" s="2" t="s">
        <v>34</v>
      </c>
      <c r="J151" s="2" t="s">
        <v>15</v>
      </c>
      <c r="K151" s="4" t="str">
        <f>HYPERLINK("https://www.cortellis.com/drugdiscovery/result/proxy/related-content/biomarkers/genestargets/60662","cyclin D1")</f>
        <v>cyclin D1</v>
      </c>
    </row>
    <row r="152" spans="1:11" ht="60" customHeight="1" x14ac:dyDescent="0.2">
      <c r="A152" s="2">
        <v>149</v>
      </c>
      <c r="B152" s="3" t="str">
        <f t="shared" si="42"/>
        <v>Cyclin D</v>
      </c>
      <c r="C152" s="3" t="str">
        <f t="shared" si="43"/>
        <v>CCND1</v>
      </c>
      <c r="D152" s="3" t="str">
        <f t="shared" si="44"/>
        <v>CCND1_HUMAN</v>
      </c>
      <c r="E152" s="2" t="s">
        <v>30</v>
      </c>
      <c r="F152" s="3"/>
      <c r="G152" s="4"/>
      <c r="H152" s="3" t="str">
        <f>HYPERLINK("https://www.cortellis.com/drugdiscovery/entity/biomarkers/60691","CCND1-IGK fusion gene")</f>
        <v>CCND1-IGK fusion gene</v>
      </c>
      <c r="I152" s="2" t="s">
        <v>34</v>
      </c>
      <c r="J152" s="2" t="s">
        <v>19</v>
      </c>
      <c r="K152" s="4" t="str">
        <f>HYPERLINK("https://www.cortellis.com/drugdiscovery/result/proxy/related-content/biomarkers/genestargets/60691","cyclin D1")</f>
        <v>cyclin D1</v>
      </c>
    </row>
    <row r="153" spans="1:11" ht="60" customHeight="1" x14ac:dyDescent="0.2">
      <c r="A153" s="2">
        <v>150</v>
      </c>
      <c r="B153" s="3" t="str">
        <f t="shared" si="42"/>
        <v>Cyclin D</v>
      </c>
      <c r="C153" s="3" t="str">
        <f t="shared" si="43"/>
        <v>CCND1</v>
      </c>
      <c r="D153" s="3" t="str">
        <f t="shared" si="44"/>
        <v>CCND1_HUMAN</v>
      </c>
      <c r="E153" s="2" t="s">
        <v>30</v>
      </c>
      <c r="F153" s="3"/>
      <c r="G153" s="4"/>
      <c r="H153" s="3" t="str">
        <f>HYPERLINK("https://www.cortellis.com/drugdiscovery/entity/biomarkers/60782","KLF2-CCND1 fusion protein")</f>
        <v>KLF2-CCND1 fusion protein</v>
      </c>
      <c r="I153" s="2" t="s">
        <v>34</v>
      </c>
      <c r="J153" s="2" t="s">
        <v>15</v>
      </c>
      <c r="K153" s="4" t="str">
        <f>HYPERLINK("https://www.cortellis.com/drugdiscovery/result/proxy/related-content/biomarkers/genestargets/60782","cyclin D1")</f>
        <v>cyclin D1</v>
      </c>
    </row>
    <row r="154" spans="1:11" ht="60" customHeight="1" x14ac:dyDescent="0.2">
      <c r="A154" s="2">
        <v>151</v>
      </c>
      <c r="B154" s="3" t="str">
        <f t="shared" si="42"/>
        <v>Cyclin D</v>
      </c>
      <c r="C154" s="3" t="str">
        <f t="shared" si="43"/>
        <v>CCND1</v>
      </c>
      <c r="D154" s="3" t="str">
        <f t="shared" si="44"/>
        <v>CCND1_HUMAN</v>
      </c>
      <c r="E154" s="2" t="s">
        <v>30</v>
      </c>
      <c r="F154" s="3"/>
      <c r="G154" s="4"/>
      <c r="H154" s="3" t="str">
        <f>HYPERLINK("https://www.cortellis.com/drugdiscovery/entity/biomarkers/61288","CCND1-SF1 fusion protein")</f>
        <v>CCND1-SF1 fusion protein</v>
      </c>
      <c r="I154" s="2" t="s">
        <v>34</v>
      </c>
      <c r="J154" s="2" t="s">
        <v>15</v>
      </c>
      <c r="K154" s="4" t="str">
        <f>HYPERLINK("https://www.cortellis.com/drugdiscovery/result/proxy/related-content/biomarkers/genestargets/61288","cyclin D1")</f>
        <v>cyclin D1</v>
      </c>
    </row>
    <row r="155" spans="1:11" ht="60" customHeight="1" x14ac:dyDescent="0.2">
      <c r="A155" s="2">
        <v>152</v>
      </c>
      <c r="B155" s="3" t="str">
        <f t="shared" si="42"/>
        <v>Cyclin D</v>
      </c>
      <c r="C155" s="3" t="str">
        <f t="shared" si="43"/>
        <v>CCND1</v>
      </c>
      <c r="D155" s="3" t="str">
        <f t="shared" si="44"/>
        <v>CCND1_HUMAN</v>
      </c>
      <c r="E155" s="2" t="s">
        <v>30</v>
      </c>
      <c r="F155" s="3"/>
      <c r="G155" s="4"/>
      <c r="H155" s="3" t="str">
        <f>HYPERLINK("https://www.cortellis.com/drugdiscovery/entity/biomarkers/61289","B2M-CCND1 fusion protein")</f>
        <v>B2M-CCND1 fusion protein</v>
      </c>
      <c r="I155" s="2" t="s">
        <v>34</v>
      </c>
      <c r="J155" s="2" t="s">
        <v>15</v>
      </c>
      <c r="K155" s="4" t="str">
        <f>HYPERLINK("https://www.cortellis.com/drugdiscovery/result/proxy/related-content/biomarkers/genestargets/61289","cyclin D1")</f>
        <v>cyclin D1</v>
      </c>
    </row>
    <row r="156" spans="1:11" ht="60" customHeight="1" x14ac:dyDescent="0.2">
      <c r="A156" s="2">
        <v>153</v>
      </c>
      <c r="B156" s="3" t="str">
        <f t="shared" si="42"/>
        <v>Cyclin D</v>
      </c>
      <c r="C156" s="3" t="str">
        <f t="shared" si="43"/>
        <v>CCND1</v>
      </c>
      <c r="D156" s="3" t="str">
        <f t="shared" si="44"/>
        <v>CCND1_HUMAN</v>
      </c>
      <c r="E156" s="2" t="s">
        <v>30</v>
      </c>
      <c r="F156" s="3"/>
      <c r="G156" s="4"/>
      <c r="H156" s="3" t="str">
        <f>HYPERLINK("https://www.cortellis.com/drugdiscovery/entity/biomarkers/61290","RIPOR1-CCND1 fusion protein")</f>
        <v>RIPOR1-CCND1 fusion protein</v>
      </c>
      <c r="I156" s="2" t="s">
        <v>34</v>
      </c>
      <c r="J156" s="2" t="s">
        <v>15</v>
      </c>
      <c r="K156" s="4" t="str">
        <f>HYPERLINK("https://www.cortellis.com/drugdiscovery/result/proxy/related-content/biomarkers/genestargets/61290","cyclin D1")</f>
        <v>cyclin D1</v>
      </c>
    </row>
    <row r="157" spans="1:11" ht="60" customHeight="1" x14ac:dyDescent="0.2">
      <c r="A157" s="2">
        <v>154</v>
      </c>
      <c r="B157" s="3" t="str">
        <f t="shared" si="42"/>
        <v>Cyclin D</v>
      </c>
      <c r="C157" s="3" t="str">
        <f t="shared" si="43"/>
        <v>CCND1</v>
      </c>
      <c r="D157" s="3" t="str">
        <f t="shared" si="44"/>
        <v>CCND1_HUMAN</v>
      </c>
      <c r="E157" s="2" t="s">
        <v>30</v>
      </c>
      <c r="F157" s="3"/>
      <c r="G157" s="4"/>
      <c r="H157" s="3" t="str">
        <f>HYPERLINK("https://www.cortellis.com/drugdiscovery/entity/biomarkers/61291","RARA-CCND1 fusion protein")</f>
        <v>RARA-CCND1 fusion protein</v>
      </c>
      <c r="I157" s="2" t="s">
        <v>34</v>
      </c>
      <c r="J157" s="2" t="s">
        <v>15</v>
      </c>
      <c r="K157" s="4" t="str">
        <f>HYPERLINK("https://www.cortellis.com/drugdiscovery/result/proxy/related-content/biomarkers/genestargets/61291","cyclin D1")</f>
        <v>cyclin D1</v>
      </c>
    </row>
    <row r="158" spans="1:11" ht="60" customHeight="1" x14ac:dyDescent="0.2">
      <c r="A158" s="2">
        <v>155</v>
      </c>
      <c r="B158" s="3" t="str">
        <f t="shared" si="42"/>
        <v>Cyclin D</v>
      </c>
      <c r="C158" s="3" t="str">
        <f t="shared" si="43"/>
        <v>CCND1</v>
      </c>
      <c r="D158" s="3" t="str">
        <f t="shared" si="44"/>
        <v>CCND1_HUMAN</v>
      </c>
      <c r="E158" s="2" t="s">
        <v>30</v>
      </c>
      <c r="F158" s="3"/>
      <c r="G158" s="4"/>
      <c r="H158" s="3" t="str">
        <f>HYPERLINK("https://www.cortellis.com/drugdiscovery/entity/biomarkers/61292","DDX5-CCND1 fusion protein")</f>
        <v>DDX5-CCND1 fusion protein</v>
      </c>
      <c r="I158" s="2" t="s">
        <v>34</v>
      </c>
      <c r="J158" s="2" t="s">
        <v>15</v>
      </c>
      <c r="K158" s="4" t="str">
        <f>HYPERLINK("https://www.cortellis.com/drugdiscovery/result/proxy/related-content/biomarkers/genestargets/61292","cyclin D1")</f>
        <v>cyclin D1</v>
      </c>
    </row>
    <row r="159" spans="1:11" ht="60" customHeight="1" x14ac:dyDescent="0.2">
      <c r="A159" s="2">
        <v>156</v>
      </c>
      <c r="B159" s="3" t="str">
        <f t="shared" si="42"/>
        <v>Cyclin D</v>
      </c>
      <c r="C159" s="3" t="str">
        <f t="shared" si="43"/>
        <v>CCND1</v>
      </c>
      <c r="D159" s="3" t="str">
        <f t="shared" si="44"/>
        <v>CCND1_HUMAN</v>
      </c>
      <c r="E159" s="2" t="s">
        <v>30</v>
      </c>
      <c r="F159" s="3"/>
      <c r="G159" s="4"/>
      <c r="H159" s="3" t="str">
        <f>HYPERLINK("https://www.cortellis.com/drugdiscovery/entity/biomarkers/61293","MED16-CCND1 fusion protein")</f>
        <v>MED16-CCND1 fusion protein</v>
      </c>
      <c r="I159" s="2" t="s">
        <v>34</v>
      </c>
      <c r="J159" s="2" t="s">
        <v>15</v>
      </c>
      <c r="K159" s="4" t="str">
        <f>HYPERLINK("https://www.cortellis.com/drugdiscovery/result/proxy/related-content/biomarkers/genestargets/61293","cyclin D1")</f>
        <v>cyclin D1</v>
      </c>
    </row>
    <row r="160" spans="1:11" ht="60" customHeight="1" x14ac:dyDescent="0.2">
      <c r="A160" s="2">
        <v>157</v>
      </c>
      <c r="B160" s="3" t="str">
        <f t="shared" si="42"/>
        <v>Cyclin D</v>
      </c>
      <c r="C160" s="3" t="str">
        <f t="shared" si="43"/>
        <v>CCND1</v>
      </c>
      <c r="D160" s="3" t="str">
        <f t="shared" si="44"/>
        <v>CCND1_HUMAN</v>
      </c>
      <c r="E160" s="2" t="s">
        <v>30</v>
      </c>
      <c r="F160" s="3"/>
      <c r="G160" s="4"/>
      <c r="H160" s="3" t="str">
        <f>HYPERLINK("https://www.cortellis.com/drugdiscovery/entity/biomarkers/61294","TPM4-CCND1 fusion protein")</f>
        <v>TPM4-CCND1 fusion protein</v>
      </c>
      <c r="I160" s="2" t="s">
        <v>34</v>
      </c>
      <c r="J160" s="2" t="s">
        <v>15</v>
      </c>
      <c r="K160" s="4" t="str">
        <f>HYPERLINK("https://www.cortellis.com/drugdiscovery/result/proxy/related-content/biomarkers/genestargets/61294","cyclin D1")</f>
        <v>cyclin D1</v>
      </c>
    </row>
    <row r="161" spans="1:11" ht="60" customHeight="1" x14ac:dyDescent="0.2">
      <c r="A161" s="2">
        <v>158</v>
      </c>
      <c r="B161" s="3" t="str">
        <f t="shared" si="42"/>
        <v>Cyclin D</v>
      </c>
      <c r="C161" s="3" t="str">
        <f t="shared" si="43"/>
        <v>CCND1</v>
      </c>
      <c r="D161" s="3" t="str">
        <f t="shared" si="44"/>
        <v>CCND1_HUMAN</v>
      </c>
      <c r="E161" s="2" t="s">
        <v>30</v>
      </c>
      <c r="F161" s="3"/>
      <c r="G161" s="4"/>
      <c r="H161" s="3" t="str">
        <f>HYPERLINK("https://www.cortellis.com/drugdiscovery/entity/biomarkers/61295","HMGN2-CCND1 fusion protein")</f>
        <v>HMGN2-CCND1 fusion protein</v>
      </c>
      <c r="I161" s="2" t="s">
        <v>34</v>
      </c>
      <c r="J161" s="2" t="s">
        <v>15</v>
      </c>
      <c r="K161" s="4" t="str">
        <f>HYPERLINK("https://www.cortellis.com/drugdiscovery/result/proxy/related-content/biomarkers/genestargets/61295","cyclin D1")</f>
        <v>cyclin D1</v>
      </c>
    </row>
    <row r="162" spans="1:11" ht="60" customHeight="1" x14ac:dyDescent="0.2">
      <c r="A162" s="2">
        <v>159</v>
      </c>
      <c r="B162" s="3" t="str">
        <f t="shared" si="42"/>
        <v>Cyclin D</v>
      </c>
      <c r="C162" s="3" t="str">
        <f t="shared" si="43"/>
        <v>CCND1</v>
      </c>
      <c r="D162" s="3" t="str">
        <f t="shared" si="44"/>
        <v>CCND1_HUMAN</v>
      </c>
      <c r="E162" s="2" t="s">
        <v>30</v>
      </c>
      <c r="F162" s="3"/>
      <c r="G162" s="4"/>
      <c r="H162" s="3" t="str">
        <f>HYPERLINK("https://www.cortellis.com/drugdiscovery/entity/biomarkers/61296","ACTB-CCND1 fusion protein")</f>
        <v>ACTB-CCND1 fusion protein</v>
      </c>
      <c r="I162" s="2" t="s">
        <v>34</v>
      </c>
      <c r="J162" s="2" t="s">
        <v>15</v>
      </c>
      <c r="K162" s="4" t="str">
        <f>HYPERLINK("https://www.cortellis.com/drugdiscovery/result/proxy/related-content/biomarkers/genestargets/61296","cyclin D1")</f>
        <v>cyclin D1</v>
      </c>
    </row>
    <row r="163" spans="1:11" ht="60" customHeight="1" x14ac:dyDescent="0.2">
      <c r="A163" s="2">
        <v>160</v>
      </c>
      <c r="B163" s="3" t="str">
        <f t="shared" si="42"/>
        <v>Cyclin D</v>
      </c>
      <c r="C163" s="3" t="str">
        <f t="shared" si="43"/>
        <v>CCND1</v>
      </c>
      <c r="D163" s="3" t="str">
        <f t="shared" si="44"/>
        <v>CCND1_HUMAN</v>
      </c>
      <c r="E163" s="2" t="s">
        <v>30</v>
      </c>
      <c r="F163" s="3"/>
      <c r="G163" s="4"/>
      <c r="H163" s="3" t="str">
        <f>HYPERLINK("https://www.cortellis.com/drugdiscovery/entity/biomarkers/64935","CCND1-IGHJ6 fusion gene")</f>
        <v>CCND1-IGHJ6 fusion gene</v>
      </c>
      <c r="I163" s="2" t="s">
        <v>18</v>
      </c>
      <c r="J163" s="2" t="s">
        <v>19</v>
      </c>
      <c r="K163" s="4" t="str">
        <f>HYPERLINK("https://www.cortellis.com/drugdiscovery/result/proxy/related-content/biomarkers/genestargets/64935","cyclin D1")</f>
        <v>cyclin D1</v>
      </c>
    </row>
    <row r="164" spans="1:11" ht="60" customHeight="1" x14ac:dyDescent="0.2">
      <c r="A164" s="2">
        <v>161</v>
      </c>
      <c r="B164" s="3" t="str">
        <f t="shared" si="42"/>
        <v>Cyclin D</v>
      </c>
      <c r="C164" s="3" t="str">
        <f t="shared" si="43"/>
        <v>CCND1</v>
      </c>
      <c r="D164" s="3" t="str">
        <f t="shared" si="44"/>
        <v>CCND1_HUMAN</v>
      </c>
      <c r="E164" s="2" t="s">
        <v>30</v>
      </c>
      <c r="F164" s="3"/>
      <c r="G164" s="4"/>
      <c r="H164" s="3" t="str">
        <f>HYPERLINK("https://www.cortellis.com/drugdiscovery/entity/biomarkers/64936","CCND1-IGHD3-9 fusion gene")</f>
        <v>CCND1-IGHD3-9 fusion gene</v>
      </c>
      <c r="I164" s="2" t="s">
        <v>18</v>
      </c>
      <c r="J164" s="2" t="s">
        <v>19</v>
      </c>
      <c r="K164" s="4" t="str">
        <f>HYPERLINK("https://www.cortellis.com/drugdiscovery/result/proxy/related-content/biomarkers/genestargets/64936","cyclin D1")</f>
        <v>cyclin D1</v>
      </c>
    </row>
    <row r="165" spans="1:11" ht="60" customHeight="1" x14ac:dyDescent="0.2">
      <c r="A165" s="2">
        <v>162</v>
      </c>
      <c r="B165" s="3" t="str">
        <f t="shared" ref="B165:B198" si="45">HYPERLINK("https://portal.genego.com/cgi/entity_page.cgi?term=100&amp;id=6005","Cyclin D1")</f>
        <v>Cyclin D1</v>
      </c>
      <c r="C165" s="3" t="str">
        <f t="shared" si="43"/>
        <v>CCND1</v>
      </c>
      <c r="D165" s="3" t="str">
        <f t="shared" si="44"/>
        <v>CCND1_HUMAN</v>
      </c>
      <c r="E165" s="2" t="s">
        <v>30</v>
      </c>
      <c r="F165" s="3" t="str">
        <f t="shared" ref="F165:F198" si="46">HYPERLINK("https://portal.genego.com/cgi/entity_page.cgi?term=100&amp;id=6005","G1/S-specific cyclin-D1")</f>
        <v>G1/S-specific cyclin-D1</v>
      </c>
      <c r="G165" s="4" t="str">
        <f t="shared" ref="G165:G198" si="47">HYPERLINK("https://portal.genego.com/cgi/entity_page.cgi?term=7&amp;id=-1727513118","Silibinin")</f>
        <v>Silibinin</v>
      </c>
      <c r="H165" s="3" t="str">
        <f>HYPERLINK("https://www.cortellis.com/drugdiscovery/entity/biomarkers/11","G1/S-specific cyclin-D1")</f>
        <v>G1/S-specific cyclin-D1</v>
      </c>
      <c r="I165" s="2" t="s">
        <v>22</v>
      </c>
      <c r="J165" s="2" t="s">
        <v>15</v>
      </c>
      <c r="K165" s="4" t="str">
        <f>HYPERLINK("https://www.cortellis.com/drugdiscovery/result/proxy/related-content/biomarkers/genestargets/11","cyclin D1")</f>
        <v>cyclin D1</v>
      </c>
    </row>
    <row r="166" spans="1:11" ht="60" customHeight="1" x14ac:dyDescent="0.2">
      <c r="A166" s="2">
        <v>163</v>
      </c>
      <c r="B166" s="3" t="str">
        <f t="shared" si="45"/>
        <v>Cyclin D1</v>
      </c>
      <c r="C166" s="3" t="str">
        <f t="shared" si="43"/>
        <v>CCND1</v>
      </c>
      <c r="D166" s="3" t="str">
        <f t="shared" si="44"/>
        <v>CCND1_HUMAN</v>
      </c>
      <c r="E166" s="2" t="s">
        <v>30</v>
      </c>
      <c r="F166" s="3" t="str">
        <f t="shared" si="46"/>
        <v>G1/S-specific cyclin-D1</v>
      </c>
      <c r="G166" s="4" t="str">
        <f t="shared" si="47"/>
        <v>Silibinin</v>
      </c>
      <c r="H166" s="3" t="str">
        <f>HYPERLINK("https://www.cortellis.com/drugdiscovery/entity/biomarkers/19284","CCND1-IGH fusion protein")</f>
        <v>CCND1-IGH fusion protein</v>
      </c>
      <c r="I166" s="2" t="s">
        <v>40</v>
      </c>
      <c r="J166" s="2" t="s">
        <v>15</v>
      </c>
      <c r="K166" s="4" t="str">
        <f>HYPERLINK("https://www.cortellis.com/drugdiscovery/result/proxy/related-content/biomarkers/genestargets/19284","cyclin D1")</f>
        <v>cyclin D1</v>
      </c>
    </row>
    <row r="167" spans="1:11" ht="60" customHeight="1" x14ac:dyDescent="0.2">
      <c r="A167" s="2">
        <v>164</v>
      </c>
      <c r="B167" s="3" t="str">
        <f t="shared" si="45"/>
        <v>Cyclin D1</v>
      </c>
      <c r="C167" s="3" t="str">
        <f t="shared" si="43"/>
        <v>CCND1</v>
      </c>
      <c r="D167" s="3" t="str">
        <f t="shared" si="44"/>
        <v>CCND1_HUMAN</v>
      </c>
      <c r="E167" s="2" t="s">
        <v>30</v>
      </c>
      <c r="F167" s="3" t="str">
        <f t="shared" si="46"/>
        <v>G1/S-specific cyclin-D1</v>
      </c>
      <c r="G167" s="4" t="str">
        <f t="shared" si="47"/>
        <v>Silibinin</v>
      </c>
      <c r="H167" s="3" t="str">
        <f>HYPERLINK("https://www.cortellis.com/drugdiscovery/entity/biomarkers/25323","4-protein prostate cancer panel")</f>
        <v>4-protein prostate cancer panel</v>
      </c>
      <c r="I167" s="2" t="s">
        <v>25</v>
      </c>
      <c r="J167" s="2" t="s">
        <v>17</v>
      </c>
      <c r="K167" s="4" t="str">
        <f>HYPERLINK("https://www.cortellis.com/drugdiscovery/result/proxy/related-content/biomarkers/genestargets/25323","cyclin D1")</f>
        <v>cyclin D1</v>
      </c>
    </row>
    <row r="168" spans="1:11" ht="60" customHeight="1" x14ac:dyDescent="0.2">
      <c r="A168" s="2">
        <v>165</v>
      </c>
      <c r="B168" s="3" t="str">
        <f t="shared" si="45"/>
        <v>Cyclin D1</v>
      </c>
      <c r="C168" s="3" t="str">
        <f t="shared" si="43"/>
        <v>CCND1</v>
      </c>
      <c r="D168" s="3" t="str">
        <f t="shared" si="44"/>
        <v>CCND1_HUMAN</v>
      </c>
      <c r="E168" s="2" t="s">
        <v>30</v>
      </c>
      <c r="F168" s="3" t="str">
        <f t="shared" si="46"/>
        <v>G1/S-specific cyclin-D1</v>
      </c>
      <c r="G168" s="4" t="str">
        <f t="shared" si="47"/>
        <v>Silibinin</v>
      </c>
      <c r="H168" s="3" t="str">
        <f>HYPERLINK("https://www.cortellis.com/drugdiscovery/entity/biomarkers/25837","374-gene expression breast cancer panel")</f>
        <v>374-gene expression breast cancer panel</v>
      </c>
      <c r="I168" s="2" t="s">
        <v>25</v>
      </c>
      <c r="J168" s="2" t="s">
        <v>19</v>
      </c>
      <c r="K168" s="4" t="str">
        <f>HYPERLINK("https://www.cortellis.com/drugdiscovery/result/proxy/related-content/biomarkers/genestargets/25837","CD44 molecule (Indian blood group); coagulation factor III, tissue factor; cyclin D1")</f>
        <v>CD44 molecule (Indian blood group); coagulation factor III, tissue factor; cyclin D1</v>
      </c>
    </row>
    <row r="169" spans="1:11" ht="60" customHeight="1" x14ac:dyDescent="0.2">
      <c r="A169" s="2">
        <v>166</v>
      </c>
      <c r="B169" s="3" t="str">
        <f t="shared" si="45"/>
        <v>Cyclin D1</v>
      </c>
      <c r="C169" s="3" t="str">
        <f t="shared" si="43"/>
        <v>CCND1</v>
      </c>
      <c r="D169" s="3" t="str">
        <f t="shared" si="44"/>
        <v>CCND1_HUMAN</v>
      </c>
      <c r="E169" s="2" t="s">
        <v>30</v>
      </c>
      <c r="F169" s="3" t="str">
        <f t="shared" si="46"/>
        <v>G1/S-specific cyclin-D1</v>
      </c>
      <c r="G169" s="4" t="str">
        <f t="shared" si="47"/>
        <v>Silibinin</v>
      </c>
      <c r="H169" s="3" t="str">
        <f>HYPERLINK("https://www.cortellis.com/drugdiscovery/entity/biomarkers/29676","277-gene expression lung cancer panel")</f>
        <v>277-gene expression lung cancer panel</v>
      </c>
      <c r="I169" s="2" t="s">
        <v>25</v>
      </c>
      <c r="J169" s="2" t="s">
        <v>19</v>
      </c>
      <c r="K169" s="4" t="str">
        <f>HYPERLINK("https://www.cortellis.com/drugdiscovery/result/proxy/related-content/biomarkers/genestargets/29676","cyclin D1; tumor necrosis factor")</f>
        <v>cyclin D1; tumor necrosis factor</v>
      </c>
    </row>
    <row r="170" spans="1:11" ht="60" customHeight="1" x14ac:dyDescent="0.2">
      <c r="A170" s="2">
        <v>167</v>
      </c>
      <c r="B170" s="3" t="str">
        <f t="shared" si="45"/>
        <v>Cyclin D1</v>
      </c>
      <c r="C170" s="3" t="str">
        <f t="shared" si="43"/>
        <v>CCND1</v>
      </c>
      <c r="D170" s="3" t="str">
        <f t="shared" si="44"/>
        <v>CCND1_HUMAN</v>
      </c>
      <c r="E170" s="2" t="s">
        <v>30</v>
      </c>
      <c r="F170" s="3" t="str">
        <f t="shared" si="46"/>
        <v>G1/S-specific cyclin-D1</v>
      </c>
      <c r="G170" s="4" t="str">
        <f t="shared" si="47"/>
        <v>Silibinin</v>
      </c>
      <c r="H170" s="3" t="str">
        <f>HYPERLINK("https://www.cortellis.com/drugdiscovery/entity/biomarkers/29864","6-gene expression thyroid panel")</f>
        <v>6-gene expression thyroid panel</v>
      </c>
      <c r="I170" s="2" t="s">
        <v>23</v>
      </c>
      <c r="J170" s="2" t="s">
        <v>19</v>
      </c>
      <c r="K170" s="4" t="str">
        <f>HYPERLINK("https://www.cortellis.com/drugdiscovery/result/proxy/related-content/biomarkers/genestargets/29864","cyclin D1")</f>
        <v>cyclin D1</v>
      </c>
    </row>
    <row r="171" spans="1:11" ht="60" customHeight="1" x14ac:dyDescent="0.2">
      <c r="A171" s="2">
        <v>168</v>
      </c>
      <c r="B171" s="3" t="str">
        <f t="shared" si="45"/>
        <v>Cyclin D1</v>
      </c>
      <c r="C171" s="3" t="str">
        <f t="shared" si="43"/>
        <v>CCND1</v>
      </c>
      <c r="D171" s="3" t="str">
        <f t="shared" si="44"/>
        <v>CCND1_HUMAN</v>
      </c>
      <c r="E171" s="2" t="s">
        <v>30</v>
      </c>
      <c r="F171" s="3" t="str">
        <f t="shared" si="46"/>
        <v>G1/S-specific cyclin-D1</v>
      </c>
      <c r="G171" s="4" t="str">
        <f t="shared" si="47"/>
        <v>Silibinin</v>
      </c>
      <c r="H171" s="3" t="str">
        <f>HYPERLINK("https://www.cortellis.com/drugdiscovery/entity/biomarkers/33042","6-gene expression neuroblastoma panel")</f>
        <v>6-gene expression neuroblastoma panel</v>
      </c>
      <c r="I171" s="2" t="s">
        <v>41</v>
      </c>
      <c r="J171" s="2" t="s">
        <v>19</v>
      </c>
      <c r="K171" s="4" t="str">
        <f>HYPERLINK("https://www.cortellis.com/drugdiscovery/result/proxy/related-content/biomarkers/genestargets/33042","cyclin D1")</f>
        <v>cyclin D1</v>
      </c>
    </row>
    <row r="172" spans="1:11" ht="60" customHeight="1" x14ac:dyDescent="0.2">
      <c r="A172" s="2">
        <v>169</v>
      </c>
      <c r="B172" s="3" t="str">
        <f t="shared" si="45"/>
        <v>Cyclin D1</v>
      </c>
      <c r="C172" s="3" t="str">
        <f t="shared" si="43"/>
        <v>CCND1</v>
      </c>
      <c r="D172" s="3" t="str">
        <f t="shared" si="44"/>
        <v>CCND1_HUMAN</v>
      </c>
      <c r="E172" s="2" t="s">
        <v>30</v>
      </c>
      <c r="F172" s="3" t="str">
        <f t="shared" si="46"/>
        <v>G1/S-specific cyclin-D1</v>
      </c>
      <c r="G172" s="4" t="str">
        <f t="shared" si="47"/>
        <v>Silibinin</v>
      </c>
      <c r="H172" s="3" t="str">
        <f>HYPERLINK("https://www.cortellis.com/drugdiscovery/entity/biomarkers/34289","21-gene expression breast cancer panel")</f>
        <v>21-gene expression breast cancer panel</v>
      </c>
      <c r="I172" s="2" t="s">
        <v>18</v>
      </c>
      <c r="J172" s="2" t="s">
        <v>19</v>
      </c>
      <c r="K172" s="4" t="str">
        <f>HYPERLINK("https://www.cortellis.com/drugdiscovery/result/proxy/related-content/biomarkers/genestargets/34289","cyclin D1")</f>
        <v>cyclin D1</v>
      </c>
    </row>
    <row r="173" spans="1:11" ht="60" customHeight="1" x14ac:dyDescent="0.2">
      <c r="A173" s="2">
        <v>170</v>
      </c>
      <c r="B173" s="3" t="str">
        <f t="shared" si="45"/>
        <v>Cyclin D1</v>
      </c>
      <c r="C173" s="3" t="str">
        <f t="shared" si="43"/>
        <v>CCND1</v>
      </c>
      <c r="D173" s="3" t="str">
        <f t="shared" si="44"/>
        <v>CCND1_HUMAN</v>
      </c>
      <c r="E173" s="2" t="s">
        <v>30</v>
      </c>
      <c r="F173" s="3" t="str">
        <f t="shared" si="46"/>
        <v>G1/S-specific cyclin-D1</v>
      </c>
      <c r="G173" s="4" t="str">
        <f t="shared" si="47"/>
        <v>Silibinin</v>
      </c>
      <c r="H173" s="3" t="str">
        <f>HYPERLINK("https://www.cortellis.com/drugdiscovery/entity/biomarkers/39504","4-protein lung cancer panel")</f>
        <v>4-protein lung cancer panel</v>
      </c>
      <c r="I173" s="2" t="s">
        <v>25</v>
      </c>
      <c r="J173" s="2" t="s">
        <v>17</v>
      </c>
      <c r="K173" s="4" t="str">
        <f>HYPERLINK("https://www.cortellis.com/drugdiscovery/result/proxy/related-content/biomarkers/genestargets/39504","cyclin D1")</f>
        <v>cyclin D1</v>
      </c>
    </row>
    <row r="174" spans="1:11" ht="60" customHeight="1" x14ac:dyDescent="0.2">
      <c r="A174" s="2">
        <v>171</v>
      </c>
      <c r="B174" s="3" t="str">
        <f t="shared" si="45"/>
        <v>Cyclin D1</v>
      </c>
      <c r="C174" s="3" t="str">
        <f t="shared" si="43"/>
        <v>CCND1</v>
      </c>
      <c r="D174" s="3" t="str">
        <f t="shared" si="44"/>
        <v>CCND1_HUMAN</v>
      </c>
      <c r="E174" s="2" t="s">
        <v>30</v>
      </c>
      <c r="F174" s="3" t="str">
        <f t="shared" si="46"/>
        <v>G1/S-specific cyclin-D1</v>
      </c>
      <c r="G174" s="4" t="str">
        <f t="shared" si="47"/>
        <v>Silibinin</v>
      </c>
      <c r="H174" s="3" t="str">
        <f>HYPERLINK("https://www.cortellis.com/drugdiscovery/entity/biomarkers/39535","8-protein hepatocellular cancer panel")</f>
        <v>8-protein hepatocellular cancer panel</v>
      </c>
      <c r="I174" s="2" t="s">
        <v>18</v>
      </c>
      <c r="J174" s="2" t="s">
        <v>17</v>
      </c>
      <c r="K174" s="4" t="str">
        <f>HYPERLINK("https://www.cortellis.com/drugdiscovery/result/proxy/related-content/biomarkers/genestargets/39535","cyclin D1")</f>
        <v>cyclin D1</v>
      </c>
    </row>
    <row r="175" spans="1:11" ht="60" customHeight="1" x14ac:dyDescent="0.2">
      <c r="A175" s="2">
        <v>172</v>
      </c>
      <c r="B175" s="3" t="str">
        <f t="shared" si="45"/>
        <v>Cyclin D1</v>
      </c>
      <c r="C175" s="3" t="str">
        <f t="shared" si="43"/>
        <v>CCND1</v>
      </c>
      <c r="D175" s="3" t="str">
        <f t="shared" si="44"/>
        <v>CCND1_HUMAN</v>
      </c>
      <c r="E175" s="2" t="s">
        <v>30</v>
      </c>
      <c r="F175" s="3" t="str">
        <f t="shared" si="46"/>
        <v>G1/S-specific cyclin-D1</v>
      </c>
      <c r="G175" s="4" t="str">
        <f t="shared" si="47"/>
        <v>Silibinin</v>
      </c>
      <c r="H175" s="3" t="str">
        <f>HYPERLINK("https://www.cortellis.com/drugdiscovery/entity/biomarkers/39872","11-gene expression ovarian cancer panel")</f>
        <v>11-gene expression ovarian cancer panel</v>
      </c>
      <c r="I175" s="2" t="s">
        <v>25</v>
      </c>
      <c r="J175" s="2" t="s">
        <v>19</v>
      </c>
      <c r="K175" s="4" t="str">
        <f>HYPERLINK("https://www.cortellis.com/drugdiscovery/result/proxy/related-content/biomarkers/genestargets/39872","cyclin D1")</f>
        <v>cyclin D1</v>
      </c>
    </row>
    <row r="176" spans="1:11" ht="60" customHeight="1" x14ac:dyDescent="0.2">
      <c r="A176" s="2">
        <v>173</v>
      </c>
      <c r="B176" s="3" t="str">
        <f t="shared" si="45"/>
        <v>Cyclin D1</v>
      </c>
      <c r="C176" s="3" t="str">
        <f t="shared" si="43"/>
        <v>CCND1</v>
      </c>
      <c r="D176" s="3" t="str">
        <f t="shared" si="44"/>
        <v>CCND1_HUMAN</v>
      </c>
      <c r="E176" s="2" t="s">
        <v>30</v>
      </c>
      <c r="F176" s="3" t="str">
        <f t="shared" si="46"/>
        <v>G1/S-specific cyclin-D1</v>
      </c>
      <c r="G176" s="4" t="str">
        <f t="shared" si="47"/>
        <v>Silibinin</v>
      </c>
      <c r="H176" s="3" t="str">
        <f>HYPERLINK("https://www.cortellis.com/drugdiscovery/entity/biomarkers/40578","4-protein bladder cancer panel")</f>
        <v>4-protein bladder cancer panel</v>
      </c>
      <c r="I176" s="2" t="s">
        <v>25</v>
      </c>
      <c r="J176" s="2" t="s">
        <v>17</v>
      </c>
      <c r="K176" s="4" t="str">
        <f>HYPERLINK("https://www.cortellis.com/drugdiscovery/result/proxy/related-content/biomarkers/genestargets/40578","cyclin D1")</f>
        <v>cyclin D1</v>
      </c>
    </row>
    <row r="177" spans="1:11" ht="60" customHeight="1" x14ac:dyDescent="0.2">
      <c r="A177" s="2">
        <v>174</v>
      </c>
      <c r="B177" s="3" t="str">
        <f t="shared" si="45"/>
        <v>Cyclin D1</v>
      </c>
      <c r="C177" s="3" t="str">
        <f t="shared" si="43"/>
        <v>CCND1</v>
      </c>
      <c r="D177" s="3" t="str">
        <f t="shared" si="44"/>
        <v>CCND1_HUMAN</v>
      </c>
      <c r="E177" s="2" t="s">
        <v>30</v>
      </c>
      <c r="F177" s="3" t="str">
        <f t="shared" si="46"/>
        <v>G1/S-specific cyclin-D1</v>
      </c>
      <c r="G177" s="4" t="str">
        <f t="shared" si="47"/>
        <v>Silibinin</v>
      </c>
      <c r="H177" s="3" t="str">
        <f>HYPERLINK("https://www.cortellis.com/drugdiscovery/entity/biomarkers/42718","56-gene expression endometrial cancer panel")</f>
        <v>56-gene expression endometrial cancer panel</v>
      </c>
      <c r="I177" s="2" t="s">
        <v>23</v>
      </c>
      <c r="J177" s="2" t="s">
        <v>19</v>
      </c>
      <c r="K177" s="4" t="str">
        <f>HYPERLINK("https://www.cortellis.com/drugdiscovery/result/proxy/related-content/biomarkers/genestargets/42718","cyclin D1")</f>
        <v>cyclin D1</v>
      </c>
    </row>
    <row r="178" spans="1:11" ht="60" customHeight="1" x14ac:dyDescent="0.2">
      <c r="A178" s="2">
        <v>175</v>
      </c>
      <c r="B178" s="3" t="str">
        <f t="shared" si="45"/>
        <v>Cyclin D1</v>
      </c>
      <c r="C178" s="3" t="str">
        <f t="shared" si="43"/>
        <v>CCND1</v>
      </c>
      <c r="D178" s="3" t="str">
        <f t="shared" si="44"/>
        <v>CCND1_HUMAN</v>
      </c>
      <c r="E178" s="2" t="s">
        <v>30</v>
      </c>
      <c r="F178" s="3" t="str">
        <f t="shared" si="46"/>
        <v>G1/S-specific cyclin-D1</v>
      </c>
      <c r="G178" s="4" t="str">
        <f t="shared" si="47"/>
        <v>Silibinin</v>
      </c>
      <c r="H178" s="3" t="str">
        <f>HYPERLINK("https://www.cortellis.com/drugdiscovery/entity/biomarkers/43018","14-gene expression cancer panel")</f>
        <v>14-gene expression cancer panel</v>
      </c>
      <c r="I178" s="2" t="s">
        <v>24</v>
      </c>
      <c r="J178" s="2" t="s">
        <v>19</v>
      </c>
      <c r="K178" s="4" t="str">
        <f>HYPERLINK("https://www.cortellis.com/drugdiscovery/result/proxy/related-content/biomarkers/genestargets/43018","cyclin D1")</f>
        <v>cyclin D1</v>
      </c>
    </row>
    <row r="179" spans="1:11" ht="60" customHeight="1" x14ac:dyDescent="0.2">
      <c r="A179" s="2">
        <v>176</v>
      </c>
      <c r="B179" s="3" t="str">
        <f t="shared" si="45"/>
        <v>Cyclin D1</v>
      </c>
      <c r="C179" s="3" t="str">
        <f t="shared" si="43"/>
        <v>CCND1</v>
      </c>
      <c r="D179" s="3" t="str">
        <f t="shared" si="44"/>
        <v>CCND1_HUMAN</v>
      </c>
      <c r="E179" s="2" t="s">
        <v>30</v>
      </c>
      <c r="F179" s="3" t="str">
        <f t="shared" si="46"/>
        <v>G1/S-specific cyclin-D1</v>
      </c>
      <c r="G179" s="4" t="str">
        <f t="shared" si="47"/>
        <v>Silibinin</v>
      </c>
      <c r="H179" s="3" t="str">
        <f>HYPERLINK("https://www.cortellis.com/drugdiscovery/entity/biomarkers/48282","31-gene expression glioblastoma panel")</f>
        <v>31-gene expression glioblastoma panel</v>
      </c>
      <c r="I179" s="2" t="s">
        <v>18</v>
      </c>
      <c r="J179" s="2" t="s">
        <v>19</v>
      </c>
      <c r="K179" s="4" t="str">
        <f>HYPERLINK("https://www.cortellis.com/drugdiscovery/result/proxy/related-content/biomarkers/genestargets/48282","cyclin D1; dystroglycan 1; protein tyrosine phosphatase receptor type C")</f>
        <v>cyclin D1; dystroglycan 1; protein tyrosine phosphatase receptor type C</v>
      </c>
    </row>
    <row r="180" spans="1:11" ht="60" customHeight="1" x14ac:dyDescent="0.2">
      <c r="A180" s="2">
        <v>177</v>
      </c>
      <c r="B180" s="3" t="str">
        <f t="shared" si="45"/>
        <v>Cyclin D1</v>
      </c>
      <c r="C180" s="3" t="str">
        <f t="shared" si="43"/>
        <v>CCND1</v>
      </c>
      <c r="D180" s="3" t="str">
        <f t="shared" si="44"/>
        <v>CCND1_HUMAN</v>
      </c>
      <c r="E180" s="2" t="s">
        <v>30</v>
      </c>
      <c r="F180" s="3" t="str">
        <f t="shared" si="46"/>
        <v>G1/S-specific cyclin-D1</v>
      </c>
      <c r="G180" s="4" t="str">
        <f t="shared" si="47"/>
        <v>Silibinin</v>
      </c>
      <c r="H180" s="3" t="str">
        <f>HYPERLINK("https://www.cortellis.com/drugdiscovery/entity/biomarkers/52074","20 gene expression breast cancer panel")</f>
        <v>20 gene expression breast cancer panel</v>
      </c>
      <c r="I180" s="2" t="s">
        <v>25</v>
      </c>
      <c r="J180" s="2" t="s">
        <v>19</v>
      </c>
      <c r="K180" s="4" t="str">
        <f>HYPERLINK("https://www.cortellis.com/drugdiscovery/result/proxy/related-content/biomarkers/genestargets/52074","cyclin D1")</f>
        <v>cyclin D1</v>
      </c>
    </row>
    <row r="181" spans="1:11" ht="60" customHeight="1" x14ac:dyDescent="0.2">
      <c r="A181" s="2">
        <v>178</v>
      </c>
      <c r="B181" s="3" t="str">
        <f t="shared" si="45"/>
        <v>Cyclin D1</v>
      </c>
      <c r="C181" s="3" t="str">
        <f t="shared" si="43"/>
        <v>CCND1</v>
      </c>
      <c r="D181" s="3" t="str">
        <f t="shared" si="44"/>
        <v>CCND1_HUMAN</v>
      </c>
      <c r="E181" s="2" t="s">
        <v>30</v>
      </c>
      <c r="F181" s="3" t="str">
        <f t="shared" si="46"/>
        <v>G1/S-specific cyclin-D1</v>
      </c>
      <c r="G181" s="4" t="str">
        <f t="shared" si="47"/>
        <v>Silibinin</v>
      </c>
      <c r="H181" s="3" t="str">
        <f>HYPERLINK("https://www.cortellis.com/drugdiscovery/entity/biomarkers/53379","26-gene expression ovarian cancer panel")</f>
        <v>26-gene expression ovarian cancer panel</v>
      </c>
      <c r="I181" s="2" t="s">
        <v>25</v>
      </c>
      <c r="J181" s="2" t="s">
        <v>15</v>
      </c>
      <c r="K181" s="4" t="str">
        <f>HYPERLINK("https://www.cortellis.com/drugdiscovery/result/proxy/related-content/biomarkers/genestargets/53379","cyclin D1")</f>
        <v>cyclin D1</v>
      </c>
    </row>
    <row r="182" spans="1:11" ht="60" customHeight="1" x14ac:dyDescent="0.2">
      <c r="A182" s="2">
        <v>179</v>
      </c>
      <c r="B182" s="3" t="str">
        <f t="shared" si="45"/>
        <v>Cyclin D1</v>
      </c>
      <c r="C182" s="3" t="str">
        <f t="shared" si="43"/>
        <v>CCND1</v>
      </c>
      <c r="D182" s="3" t="str">
        <f t="shared" si="44"/>
        <v>CCND1_HUMAN</v>
      </c>
      <c r="E182" s="2" t="s">
        <v>30</v>
      </c>
      <c r="F182" s="3" t="str">
        <f t="shared" si="46"/>
        <v>G1/S-specific cyclin-D1</v>
      </c>
      <c r="G182" s="4" t="str">
        <f t="shared" si="47"/>
        <v>Silibinin</v>
      </c>
      <c r="H182" s="3" t="str">
        <f>HYPERLINK("https://www.cortellis.com/drugdiscovery/entity/biomarkers/55486","5-gene expression clear cell renal cell carcinoma panel")</f>
        <v>5-gene expression clear cell renal cell carcinoma panel</v>
      </c>
      <c r="I182" s="2" t="s">
        <v>25</v>
      </c>
      <c r="J182" s="2" t="s">
        <v>15</v>
      </c>
      <c r="K182" s="4" t="str">
        <f>HYPERLINK("https://www.cortellis.com/drugdiscovery/result/proxy/related-content/biomarkers/genestargets/55486","cyclin D1")</f>
        <v>cyclin D1</v>
      </c>
    </row>
    <row r="183" spans="1:11" ht="60" customHeight="1" x14ac:dyDescent="0.2">
      <c r="A183" s="2">
        <v>180</v>
      </c>
      <c r="B183" s="3" t="str">
        <f t="shared" si="45"/>
        <v>Cyclin D1</v>
      </c>
      <c r="C183" s="3" t="str">
        <f t="shared" si="43"/>
        <v>CCND1</v>
      </c>
      <c r="D183" s="3" t="str">
        <f t="shared" si="44"/>
        <v>CCND1_HUMAN</v>
      </c>
      <c r="E183" s="2" t="s">
        <v>30</v>
      </c>
      <c r="F183" s="3" t="str">
        <f t="shared" si="46"/>
        <v>G1/S-specific cyclin-D1</v>
      </c>
      <c r="G183" s="4" t="str">
        <f t="shared" si="47"/>
        <v>Silibinin</v>
      </c>
      <c r="H183" s="3" t="str">
        <f>HYPERLINK("https://www.cortellis.com/drugdiscovery/entity/biomarkers/57018","8-gene expression B-cell chronic lymphocytic leukemia panel")</f>
        <v>8-gene expression B-cell chronic lymphocytic leukemia panel</v>
      </c>
      <c r="I183" s="2" t="s">
        <v>23</v>
      </c>
      <c r="J183" s="2" t="s">
        <v>19</v>
      </c>
      <c r="K183" s="4" t="str">
        <f>HYPERLINK("https://www.cortellis.com/drugdiscovery/result/proxy/related-content/biomarkers/genestargets/57018","cyclin D1")</f>
        <v>cyclin D1</v>
      </c>
    </row>
    <row r="184" spans="1:11" ht="60" customHeight="1" x14ac:dyDescent="0.2">
      <c r="A184" s="2">
        <v>181</v>
      </c>
      <c r="B184" s="3" t="str">
        <f t="shared" si="45"/>
        <v>Cyclin D1</v>
      </c>
      <c r="C184" s="3" t="str">
        <f t="shared" si="43"/>
        <v>CCND1</v>
      </c>
      <c r="D184" s="3" t="str">
        <f t="shared" si="44"/>
        <v>CCND1_HUMAN</v>
      </c>
      <c r="E184" s="2" t="s">
        <v>30</v>
      </c>
      <c r="F184" s="3" t="str">
        <f t="shared" si="46"/>
        <v>G1/S-specific cyclin-D1</v>
      </c>
      <c r="G184" s="4" t="str">
        <f t="shared" si="47"/>
        <v>Silibinin</v>
      </c>
      <c r="H184" s="3" t="str">
        <f>HYPERLINK("https://www.cortellis.com/drugdiscovery/entity/biomarkers/59125","6-gene expression prostate cancer panel")</f>
        <v>6-gene expression prostate cancer panel</v>
      </c>
      <c r="I184" s="2" t="s">
        <v>23</v>
      </c>
      <c r="J184" s="2" t="s">
        <v>19</v>
      </c>
      <c r="K184" s="4" t="str">
        <f>HYPERLINK("https://www.cortellis.com/drugdiscovery/result/proxy/related-content/biomarkers/genestargets/59125","cyclin D1")</f>
        <v>cyclin D1</v>
      </c>
    </row>
    <row r="185" spans="1:11" ht="60" customHeight="1" x14ac:dyDescent="0.2">
      <c r="A185" s="2">
        <v>182</v>
      </c>
      <c r="B185" s="3" t="str">
        <f t="shared" si="45"/>
        <v>Cyclin D1</v>
      </c>
      <c r="C185" s="3" t="str">
        <f t="shared" si="43"/>
        <v>CCND1</v>
      </c>
      <c r="D185" s="3" t="str">
        <f t="shared" si="44"/>
        <v>CCND1_HUMAN</v>
      </c>
      <c r="E185" s="2" t="s">
        <v>30</v>
      </c>
      <c r="F185" s="3" t="str">
        <f t="shared" si="46"/>
        <v>G1/S-specific cyclin-D1</v>
      </c>
      <c r="G185" s="4" t="str">
        <f t="shared" si="47"/>
        <v>Silibinin</v>
      </c>
      <c r="H185" s="3" t="str">
        <f>HYPERLINK("https://www.cortellis.com/drugdiscovery/entity/biomarkers/60662","OAZ1-CCND1 fusion protein")</f>
        <v>OAZ1-CCND1 fusion protein</v>
      </c>
      <c r="I185" s="2" t="s">
        <v>34</v>
      </c>
      <c r="J185" s="2" t="s">
        <v>15</v>
      </c>
      <c r="K185" s="4" t="str">
        <f>HYPERLINK("https://www.cortellis.com/drugdiscovery/result/proxy/related-content/biomarkers/genestargets/60662","cyclin D1")</f>
        <v>cyclin D1</v>
      </c>
    </row>
    <row r="186" spans="1:11" ht="60" customHeight="1" x14ac:dyDescent="0.2">
      <c r="A186" s="2">
        <v>183</v>
      </c>
      <c r="B186" s="3" t="str">
        <f t="shared" si="45"/>
        <v>Cyclin D1</v>
      </c>
      <c r="C186" s="3" t="str">
        <f t="shared" si="43"/>
        <v>CCND1</v>
      </c>
      <c r="D186" s="3" t="str">
        <f t="shared" si="44"/>
        <v>CCND1_HUMAN</v>
      </c>
      <c r="E186" s="2" t="s">
        <v>30</v>
      </c>
      <c r="F186" s="3" t="str">
        <f t="shared" si="46"/>
        <v>G1/S-specific cyclin-D1</v>
      </c>
      <c r="G186" s="4" t="str">
        <f t="shared" si="47"/>
        <v>Silibinin</v>
      </c>
      <c r="H186" s="3" t="str">
        <f>HYPERLINK("https://www.cortellis.com/drugdiscovery/entity/biomarkers/60691","CCND1-IGK fusion gene")</f>
        <v>CCND1-IGK fusion gene</v>
      </c>
      <c r="I186" s="2" t="s">
        <v>34</v>
      </c>
      <c r="J186" s="2" t="s">
        <v>19</v>
      </c>
      <c r="K186" s="4" t="str">
        <f>HYPERLINK("https://www.cortellis.com/drugdiscovery/result/proxy/related-content/biomarkers/genestargets/60691","cyclin D1")</f>
        <v>cyclin D1</v>
      </c>
    </row>
    <row r="187" spans="1:11" ht="60" customHeight="1" x14ac:dyDescent="0.2">
      <c r="A187" s="2">
        <v>184</v>
      </c>
      <c r="B187" s="3" t="str">
        <f t="shared" si="45"/>
        <v>Cyclin D1</v>
      </c>
      <c r="C187" s="3" t="str">
        <f t="shared" si="43"/>
        <v>CCND1</v>
      </c>
      <c r="D187" s="3" t="str">
        <f t="shared" si="44"/>
        <v>CCND1_HUMAN</v>
      </c>
      <c r="E187" s="2" t="s">
        <v>30</v>
      </c>
      <c r="F187" s="3" t="str">
        <f t="shared" si="46"/>
        <v>G1/S-specific cyclin-D1</v>
      </c>
      <c r="G187" s="4" t="str">
        <f t="shared" si="47"/>
        <v>Silibinin</v>
      </c>
      <c r="H187" s="3" t="str">
        <f>HYPERLINK("https://www.cortellis.com/drugdiscovery/entity/biomarkers/60782","KLF2-CCND1 fusion protein")</f>
        <v>KLF2-CCND1 fusion protein</v>
      </c>
      <c r="I187" s="2" t="s">
        <v>34</v>
      </c>
      <c r="J187" s="2" t="s">
        <v>15</v>
      </c>
      <c r="K187" s="4" t="str">
        <f>HYPERLINK("https://www.cortellis.com/drugdiscovery/result/proxy/related-content/biomarkers/genestargets/60782","cyclin D1")</f>
        <v>cyclin D1</v>
      </c>
    </row>
    <row r="188" spans="1:11" ht="60" customHeight="1" x14ac:dyDescent="0.2">
      <c r="A188" s="2">
        <v>185</v>
      </c>
      <c r="B188" s="3" t="str">
        <f t="shared" si="45"/>
        <v>Cyclin D1</v>
      </c>
      <c r="C188" s="3" t="str">
        <f t="shared" si="43"/>
        <v>CCND1</v>
      </c>
      <c r="D188" s="3" t="str">
        <f t="shared" si="44"/>
        <v>CCND1_HUMAN</v>
      </c>
      <c r="E188" s="2" t="s">
        <v>30</v>
      </c>
      <c r="F188" s="3" t="str">
        <f t="shared" si="46"/>
        <v>G1/S-specific cyclin-D1</v>
      </c>
      <c r="G188" s="4" t="str">
        <f t="shared" si="47"/>
        <v>Silibinin</v>
      </c>
      <c r="H188" s="3" t="str">
        <f>HYPERLINK("https://www.cortellis.com/drugdiscovery/entity/biomarkers/61288","CCND1-SF1 fusion protein")</f>
        <v>CCND1-SF1 fusion protein</v>
      </c>
      <c r="I188" s="2" t="s">
        <v>34</v>
      </c>
      <c r="J188" s="2" t="s">
        <v>15</v>
      </c>
      <c r="K188" s="4" t="str">
        <f>HYPERLINK("https://www.cortellis.com/drugdiscovery/result/proxy/related-content/biomarkers/genestargets/61288","cyclin D1")</f>
        <v>cyclin D1</v>
      </c>
    </row>
    <row r="189" spans="1:11" ht="60" customHeight="1" x14ac:dyDescent="0.2">
      <c r="A189" s="2">
        <v>186</v>
      </c>
      <c r="B189" s="3" t="str">
        <f t="shared" si="45"/>
        <v>Cyclin D1</v>
      </c>
      <c r="C189" s="3" t="str">
        <f t="shared" si="43"/>
        <v>CCND1</v>
      </c>
      <c r="D189" s="3" t="str">
        <f t="shared" si="44"/>
        <v>CCND1_HUMAN</v>
      </c>
      <c r="E189" s="2" t="s">
        <v>30</v>
      </c>
      <c r="F189" s="3" t="str">
        <f t="shared" si="46"/>
        <v>G1/S-specific cyclin-D1</v>
      </c>
      <c r="G189" s="4" t="str">
        <f t="shared" si="47"/>
        <v>Silibinin</v>
      </c>
      <c r="H189" s="3" t="str">
        <f>HYPERLINK("https://www.cortellis.com/drugdiscovery/entity/biomarkers/61289","B2M-CCND1 fusion protein")</f>
        <v>B2M-CCND1 fusion protein</v>
      </c>
      <c r="I189" s="2" t="s">
        <v>34</v>
      </c>
      <c r="J189" s="2" t="s">
        <v>15</v>
      </c>
      <c r="K189" s="4" t="str">
        <f>HYPERLINK("https://www.cortellis.com/drugdiscovery/result/proxy/related-content/biomarkers/genestargets/61289","cyclin D1")</f>
        <v>cyclin D1</v>
      </c>
    </row>
    <row r="190" spans="1:11" ht="60" customHeight="1" x14ac:dyDescent="0.2">
      <c r="A190" s="2">
        <v>187</v>
      </c>
      <c r="B190" s="3" t="str">
        <f t="shared" si="45"/>
        <v>Cyclin D1</v>
      </c>
      <c r="C190" s="3" t="str">
        <f t="shared" si="43"/>
        <v>CCND1</v>
      </c>
      <c r="D190" s="3" t="str">
        <f t="shared" si="44"/>
        <v>CCND1_HUMAN</v>
      </c>
      <c r="E190" s="2" t="s">
        <v>30</v>
      </c>
      <c r="F190" s="3" t="str">
        <f t="shared" si="46"/>
        <v>G1/S-specific cyclin-D1</v>
      </c>
      <c r="G190" s="4" t="str">
        <f t="shared" si="47"/>
        <v>Silibinin</v>
      </c>
      <c r="H190" s="3" t="str">
        <f>HYPERLINK("https://www.cortellis.com/drugdiscovery/entity/biomarkers/61290","RIPOR1-CCND1 fusion protein")</f>
        <v>RIPOR1-CCND1 fusion protein</v>
      </c>
      <c r="I190" s="2" t="s">
        <v>34</v>
      </c>
      <c r="J190" s="2" t="s">
        <v>15</v>
      </c>
      <c r="K190" s="4" t="str">
        <f>HYPERLINK("https://www.cortellis.com/drugdiscovery/result/proxy/related-content/biomarkers/genestargets/61290","cyclin D1")</f>
        <v>cyclin D1</v>
      </c>
    </row>
    <row r="191" spans="1:11" ht="60" customHeight="1" x14ac:dyDescent="0.2">
      <c r="A191" s="2">
        <v>188</v>
      </c>
      <c r="B191" s="3" t="str">
        <f t="shared" si="45"/>
        <v>Cyclin D1</v>
      </c>
      <c r="C191" s="3" t="str">
        <f t="shared" si="43"/>
        <v>CCND1</v>
      </c>
      <c r="D191" s="3" t="str">
        <f t="shared" si="44"/>
        <v>CCND1_HUMAN</v>
      </c>
      <c r="E191" s="2" t="s">
        <v>30</v>
      </c>
      <c r="F191" s="3" t="str">
        <f t="shared" si="46"/>
        <v>G1/S-specific cyclin-D1</v>
      </c>
      <c r="G191" s="4" t="str">
        <f t="shared" si="47"/>
        <v>Silibinin</v>
      </c>
      <c r="H191" s="3" t="str">
        <f>HYPERLINK("https://www.cortellis.com/drugdiscovery/entity/biomarkers/61291","RARA-CCND1 fusion protein")</f>
        <v>RARA-CCND1 fusion protein</v>
      </c>
      <c r="I191" s="2" t="s">
        <v>34</v>
      </c>
      <c r="J191" s="2" t="s">
        <v>15</v>
      </c>
      <c r="K191" s="4" t="str">
        <f>HYPERLINK("https://www.cortellis.com/drugdiscovery/result/proxy/related-content/biomarkers/genestargets/61291","cyclin D1")</f>
        <v>cyclin D1</v>
      </c>
    </row>
    <row r="192" spans="1:11" ht="60" customHeight="1" x14ac:dyDescent="0.2">
      <c r="A192" s="2">
        <v>189</v>
      </c>
      <c r="B192" s="3" t="str">
        <f t="shared" si="45"/>
        <v>Cyclin D1</v>
      </c>
      <c r="C192" s="3" t="str">
        <f t="shared" si="43"/>
        <v>CCND1</v>
      </c>
      <c r="D192" s="3" t="str">
        <f t="shared" si="44"/>
        <v>CCND1_HUMAN</v>
      </c>
      <c r="E192" s="2" t="s">
        <v>30</v>
      </c>
      <c r="F192" s="3" t="str">
        <f t="shared" si="46"/>
        <v>G1/S-specific cyclin-D1</v>
      </c>
      <c r="G192" s="4" t="str">
        <f t="shared" si="47"/>
        <v>Silibinin</v>
      </c>
      <c r="H192" s="3" t="str">
        <f>HYPERLINK("https://www.cortellis.com/drugdiscovery/entity/biomarkers/61292","DDX5-CCND1 fusion protein")</f>
        <v>DDX5-CCND1 fusion protein</v>
      </c>
      <c r="I192" s="2" t="s">
        <v>34</v>
      </c>
      <c r="J192" s="2" t="s">
        <v>15</v>
      </c>
      <c r="K192" s="4" t="str">
        <f>HYPERLINK("https://www.cortellis.com/drugdiscovery/result/proxy/related-content/biomarkers/genestargets/61292","cyclin D1")</f>
        <v>cyclin D1</v>
      </c>
    </row>
    <row r="193" spans="1:11" ht="60" customHeight="1" x14ac:dyDescent="0.2">
      <c r="A193" s="2">
        <v>190</v>
      </c>
      <c r="B193" s="3" t="str">
        <f t="shared" si="45"/>
        <v>Cyclin D1</v>
      </c>
      <c r="C193" s="3" t="str">
        <f t="shared" si="43"/>
        <v>CCND1</v>
      </c>
      <c r="D193" s="3" t="str">
        <f t="shared" si="44"/>
        <v>CCND1_HUMAN</v>
      </c>
      <c r="E193" s="2" t="s">
        <v>30</v>
      </c>
      <c r="F193" s="3" t="str">
        <f t="shared" si="46"/>
        <v>G1/S-specific cyclin-D1</v>
      </c>
      <c r="G193" s="4" t="str">
        <f t="shared" si="47"/>
        <v>Silibinin</v>
      </c>
      <c r="H193" s="3" t="str">
        <f>HYPERLINK("https://www.cortellis.com/drugdiscovery/entity/biomarkers/61293","MED16-CCND1 fusion protein")</f>
        <v>MED16-CCND1 fusion protein</v>
      </c>
      <c r="I193" s="2" t="s">
        <v>34</v>
      </c>
      <c r="J193" s="2" t="s">
        <v>15</v>
      </c>
      <c r="K193" s="4" t="str">
        <f>HYPERLINK("https://www.cortellis.com/drugdiscovery/result/proxy/related-content/biomarkers/genestargets/61293","cyclin D1")</f>
        <v>cyclin D1</v>
      </c>
    </row>
    <row r="194" spans="1:11" ht="60" customHeight="1" x14ac:dyDescent="0.2">
      <c r="A194" s="2">
        <v>191</v>
      </c>
      <c r="B194" s="3" t="str">
        <f t="shared" si="45"/>
        <v>Cyclin D1</v>
      </c>
      <c r="C194" s="3" t="str">
        <f t="shared" si="43"/>
        <v>CCND1</v>
      </c>
      <c r="D194" s="3" t="str">
        <f t="shared" si="44"/>
        <v>CCND1_HUMAN</v>
      </c>
      <c r="E194" s="2" t="s">
        <v>30</v>
      </c>
      <c r="F194" s="3" t="str">
        <f t="shared" si="46"/>
        <v>G1/S-specific cyclin-D1</v>
      </c>
      <c r="G194" s="4" t="str">
        <f t="shared" si="47"/>
        <v>Silibinin</v>
      </c>
      <c r="H194" s="3" t="str">
        <f>HYPERLINK("https://www.cortellis.com/drugdiscovery/entity/biomarkers/61294","TPM4-CCND1 fusion protein")</f>
        <v>TPM4-CCND1 fusion protein</v>
      </c>
      <c r="I194" s="2" t="s">
        <v>34</v>
      </c>
      <c r="J194" s="2" t="s">
        <v>15</v>
      </c>
      <c r="K194" s="4" t="str">
        <f>HYPERLINK("https://www.cortellis.com/drugdiscovery/result/proxy/related-content/biomarkers/genestargets/61294","cyclin D1")</f>
        <v>cyclin D1</v>
      </c>
    </row>
    <row r="195" spans="1:11" ht="60" customHeight="1" x14ac:dyDescent="0.2">
      <c r="A195" s="2">
        <v>192</v>
      </c>
      <c r="B195" s="3" t="str">
        <f t="shared" si="45"/>
        <v>Cyclin D1</v>
      </c>
      <c r="C195" s="3" t="str">
        <f t="shared" ref="C195:C198" si="48">HYPERLINK("https://portal.genego.com/cgi/entity_page.cgi?term=20&amp;id=-841303359","CCND1")</f>
        <v>CCND1</v>
      </c>
      <c r="D195" s="3" t="str">
        <f t="shared" ref="D195:D198" si="49">HYPERLINK("https://portal.genego.com/cgi/entity_page.cgi?term=7&amp;id=2060912780","CCND1_HUMAN")</f>
        <v>CCND1_HUMAN</v>
      </c>
      <c r="E195" s="2" t="s">
        <v>30</v>
      </c>
      <c r="F195" s="3" t="str">
        <f t="shared" si="46"/>
        <v>G1/S-specific cyclin-D1</v>
      </c>
      <c r="G195" s="4" t="str">
        <f t="shared" si="47"/>
        <v>Silibinin</v>
      </c>
      <c r="H195" s="3" t="str">
        <f>HYPERLINK("https://www.cortellis.com/drugdiscovery/entity/biomarkers/61295","HMGN2-CCND1 fusion protein")</f>
        <v>HMGN2-CCND1 fusion protein</v>
      </c>
      <c r="I195" s="2" t="s">
        <v>34</v>
      </c>
      <c r="J195" s="2" t="s">
        <v>15</v>
      </c>
      <c r="K195" s="4" t="str">
        <f>HYPERLINK("https://www.cortellis.com/drugdiscovery/result/proxy/related-content/biomarkers/genestargets/61295","cyclin D1")</f>
        <v>cyclin D1</v>
      </c>
    </row>
    <row r="196" spans="1:11" ht="60" customHeight="1" x14ac:dyDescent="0.2">
      <c r="A196" s="2">
        <v>193</v>
      </c>
      <c r="B196" s="3" t="str">
        <f t="shared" si="45"/>
        <v>Cyclin D1</v>
      </c>
      <c r="C196" s="3" t="str">
        <f t="shared" si="48"/>
        <v>CCND1</v>
      </c>
      <c r="D196" s="3" t="str">
        <f t="shared" si="49"/>
        <v>CCND1_HUMAN</v>
      </c>
      <c r="E196" s="2" t="s">
        <v>30</v>
      </c>
      <c r="F196" s="3" t="str">
        <f t="shared" si="46"/>
        <v>G1/S-specific cyclin-D1</v>
      </c>
      <c r="G196" s="4" t="str">
        <f t="shared" si="47"/>
        <v>Silibinin</v>
      </c>
      <c r="H196" s="3" t="str">
        <f>HYPERLINK("https://www.cortellis.com/drugdiscovery/entity/biomarkers/61296","ACTB-CCND1 fusion protein")</f>
        <v>ACTB-CCND1 fusion protein</v>
      </c>
      <c r="I196" s="2" t="s">
        <v>34</v>
      </c>
      <c r="J196" s="2" t="s">
        <v>15</v>
      </c>
      <c r="K196" s="4" t="str">
        <f>HYPERLINK("https://www.cortellis.com/drugdiscovery/result/proxy/related-content/biomarkers/genestargets/61296","cyclin D1")</f>
        <v>cyclin D1</v>
      </c>
    </row>
    <row r="197" spans="1:11" ht="60" customHeight="1" x14ac:dyDescent="0.2">
      <c r="A197" s="2">
        <v>194</v>
      </c>
      <c r="B197" s="3" t="str">
        <f t="shared" si="45"/>
        <v>Cyclin D1</v>
      </c>
      <c r="C197" s="3" t="str">
        <f t="shared" si="48"/>
        <v>CCND1</v>
      </c>
      <c r="D197" s="3" t="str">
        <f t="shared" si="49"/>
        <v>CCND1_HUMAN</v>
      </c>
      <c r="E197" s="2" t="s">
        <v>30</v>
      </c>
      <c r="F197" s="3" t="str">
        <f t="shared" si="46"/>
        <v>G1/S-specific cyclin-D1</v>
      </c>
      <c r="G197" s="4" t="str">
        <f t="shared" si="47"/>
        <v>Silibinin</v>
      </c>
      <c r="H197" s="3" t="str">
        <f>HYPERLINK("https://www.cortellis.com/drugdiscovery/entity/biomarkers/64935","CCND1-IGHJ6 fusion gene")</f>
        <v>CCND1-IGHJ6 fusion gene</v>
      </c>
      <c r="I197" s="2" t="s">
        <v>18</v>
      </c>
      <c r="J197" s="2" t="s">
        <v>19</v>
      </c>
      <c r="K197" s="4" t="str">
        <f>HYPERLINK("https://www.cortellis.com/drugdiscovery/result/proxy/related-content/biomarkers/genestargets/64935","cyclin D1")</f>
        <v>cyclin D1</v>
      </c>
    </row>
    <row r="198" spans="1:11" ht="60" customHeight="1" x14ac:dyDescent="0.2">
      <c r="A198" s="2">
        <v>195</v>
      </c>
      <c r="B198" s="3" t="str">
        <f t="shared" si="45"/>
        <v>Cyclin D1</v>
      </c>
      <c r="C198" s="3" t="str">
        <f t="shared" si="48"/>
        <v>CCND1</v>
      </c>
      <c r="D198" s="3" t="str">
        <f t="shared" si="49"/>
        <v>CCND1_HUMAN</v>
      </c>
      <c r="E198" s="2" t="s">
        <v>30</v>
      </c>
      <c r="F198" s="3" t="str">
        <f t="shared" si="46"/>
        <v>G1/S-specific cyclin-D1</v>
      </c>
      <c r="G198" s="4" t="str">
        <f t="shared" si="47"/>
        <v>Silibinin</v>
      </c>
      <c r="H198" s="3" t="str">
        <f>HYPERLINK("https://www.cortellis.com/drugdiscovery/entity/biomarkers/64936","CCND1-IGHD3-9 fusion gene")</f>
        <v>CCND1-IGHD3-9 fusion gene</v>
      </c>
      <c r="I198" s="2" t="s">
        <v>18</v>
      </c>
      <c r="J198" s="2" t="s">
        <v>19</v>
      </c>
      <c r="K198" s="4" t="str">
        <f>HYPERLINK("https://www.cortellis.com/drugdiscovery/result/proxy/related-content/biomarkers/genestargets/64936","cyclin D1")</f>
        <v>cyclin D1</v>
      </c>
    </row>
    <row r="199" spans="1:11" ht="60" customHeight="1" x14ac:dyDescent="0.2">
      <c r="A199" s="2">
        <v>196</v>
      </c>
      <c r="B199" s="3" t="str">
        <f t="shared" ref="B199:B205" si="50">HYPERLINK("https://portal.genego.com/cgi/entity_page.cgi?term=100&amp;id=-2011830276","Dystroglycan")</f>
        <v>Dystroglycan</v>
      </c>
      <c r="C199" s="3" t="str">
        <f t="shared" ref="C199:C205" si="51">HYPERLINK("https://portal.genego.com/cgi/entity_page.cgi?term=20&amp;id=1031602642","DAG1")</f>
        <v>DAG1</v>
      </c>
      <c r="D199" s="3" t="str">
        <f t="shared" ref="D199:D205" si="52">HYPERLINK("https://portal.genego.com/cgi/entity_page.cgi?term=7&amp;id=-1805223371","DAG1_HUMAN")</f>
        <v>DAG1_HUMAN</v>
      </c>
      <c r="E199" s="2" t="s">
        <v>13</v>
      </c>
      <c r="F199" s="3" t="str">
        <f t="shared" ref="F199:F205" si="53">HYPERLINK("https://portal.genego.com/cgi/entity_page.cgi?term=100&amp;id=-2011830276","Dystroglycan")</f>
        <v>Dystroglycan</v>
      </c>
      <c r="G199" s="4"/>
      <c r="H199" s="3" t="str">
        <f>HYPERLINK("https://www.cortellis.com/drugdiscovery/entity/biomarkers/5300","Dystroglycan")</f>
        <v>Dystroglycan</v>
      </c>
      <c r="I199" s="2" t="s">
        <v>14</v>
      </c>
      <c r="J199" s="2" t="s">
        <v>15</v>
      </c>
      <c r="K199" s="4" t="str">
        <f>HYPERLINK("https://www.cortellis.com/drugdiscovery/result/proxy/related-content/biomarkers/genestargets/5300","dystroglycan 1")</f>
        <v>dystroglycan 1</v>
      </c>
    </row>
    <row r="200" spans="1:11" ht="60" customHeight="1" x14ac:dyDescent="0.2">
      <c r="A200" s="2">
        <v>197</v>
      </c>
      <c r="B200" s="3" t="str">
        <f t="shared" si="50"/>
        <v>Dystroglycan</v>
      </c>
      <c r="C200" s="3" t="str">
        <f t="shared" si="51"/>
        <v>DAG1</v>
      </c>
      <c r="D200" s="3" t="str">
        <f t="shared" si="52"/>
        <v>DAG1_HUMAN</v>
      </c>
      <c r="E200" s="2" t="s">
        <v>13</v>
      </c>
      <c r="F200" s="3" t="str">
        <f t="shared" si="53"/>
        <v>Dystroglycan</v>
      </c>
      <c r="G200" s="4"/>
      <c r="H200" s="3" t="str">
        <f>HYPERLINK("https://www.cortellis.com/drugdiscovery/entity/biomarkers/33598","Cyclin-dependent kinase 5 activator 1, p35")</f>
        <v>Cyclin-dependent kinase 5 activator 1, p35</v>
      </c>
      <c r="I200" s="2" t="s">
        <v>16</v>
      </c>
      <c r="J200" s="2" t="s">
        <v>15</v>
      </c>
      <c r="K200" s="4" t="str">
        <f>HYPERLINK("https://www.cortellis.com/drugdiscovery/result/proxy/related-content/biomarkers/genestargets/33598","dystroglycan 1")</f>
        <v>dystroglycan 1</v>
      </c>
    </row>
    <row r="201" spans="1:11" ht="60" customHeight="1" x14ac:dyDescent="0.2">
      <c r="A201" s="2">
        <v>198</v>
      </c>
      <c r="B201" s="3" t="str">
        <f t="shared" si="50"/>
        <v>Dystroglycan</v>
      </c>
      <c r="C201" s="3" t="str">
        <f t="shared" si="51"/>
        <v>DAG1</v>
      </c>
      <c r="D201" s="3" t="str">
        <f t="shared" si="52"/>
        <v>DAG1_HUMAN</v>
      </c>
      <c r="E201" s="2" t="s">
        <v>13</v>
      </c>
      <c r="F201" s="3" t="str">
        <f t="shared" si="53"/>
        <v>Dystroglycan</v>
      </c>
      <c r="G201" s="4"/>
      <c r="H201" s="3" t="str">
        <f>HYPERLINK("https://www.cortellis.com/drugdiscovery/entity/biomarkers/33599","Cyclin-dependent kinase 5 activator 1, p25")</f>
        <v>Cyclin-dependent kinase 5 activator 1, p25</v>
      </c>
      <c r="I201" s="2" t="s">
        <v>16</v>
      </c>
      <c r="J201" s="2" t="s">
        <v>17</v>
      </c>
      <c r="K201" s="4" t="str">
        <f>HYPERLINK("https://www.cortellis.com/drugdiscovery/result/proxy/related-content/biomarkers/genestargets/33599","dystroglycan 1")</f>
        <v>dystroglycan 1</v>
      </c>
    </row>
    <row r="202" spans="1:11" ht="60" customHeight="1" x14ac:dyDescent="0.2">
      <c r="A202" s="2">
        <v>199</v>
      </c>
      <c r="B202" s="3" t="str">
        <f t="shared" si="50"/>
        <v>Dystroglycan</v>
      </c>
      <c r="C202" s="3" t="str">
        <f t="shared" si="51"/>
        <v>DAG1</v>
      </c>
      <c r="D202" s="3" t="str">
        <f t="shared" si="52"/>
        <v>DAG1_HUMAN</v>
      </c>
      <c r="E202" s="2" t="s">
        <v>13</v>
      </c>
      <c r="F202" s="3" t="str">
        <f t="shared" si="53"/>
        <v>Dystroglycan</v>
      </c>
      <c r="G202" s="4"/>
      <c r="H202" s="3" t="str">
        <f>HYPERLINK("https://www.cortellis.com/drugdiscovery/entity/biomarkers/48282","31-gene expression glioblastoma panel")</f>
        <v>31-gene expression glioblastoma panel</v>
      </c>
      <c r="I202" s="2" t="s">
        <v>18</v>
      </c>
      <c r="J202" s="2" t="s">
        <v>19</v>
      </c>
      <c r="K202" s="4" t="str">
        <f>HYPERLINK("https://www.cortellis.com/drugdiscovery/result/proxy/related-content/biomarkers/genestargets/48282","cyclin D1; dystroglycan 1; protein tyrosine phosphatase receptor type C")</f>
        <v>cyclin D1; dystroglycan 1; protein tyrosine phosphatase receptor type C</v>
      </c>
    </row>
    <row r="203" spans="1:11" ht="60" customHeight="1" x14ac:dyDescent="0.2">
      <c r="A203" s="2">
        <v>200</v>
      </c>
      <c r="B203" s="3" t="str">
        <f t="shared" si="50"/>
        <v>Dystroglycan</v>
      </c>
      <c r="C203" s="3" t="str">
        <f t="shared" si="51"/>
        <v>DAG1</v>
      </c>
      <c r="D203" s="3" t="str">
        <f t="shared" si="52"/>
        <v>DAG1_HUMAN</v>
      </c>
      <c r="E203" s="2" t="s">
        <v>13</v>
      </c>
      <c r="F203" s="3" t="str">
        <f t="shared" si="53"/>
        <v>Dystroglycan</v>
      </c>
      <c r="G203" s="4"/>
      <c r="H203" s="3" t="str">
        <f>HYPERLINK("https://www.cortellis.com/drugdiscovery/entity/biomarkers/57337","16-gene expression Alzheimer's disease panel")</f>
        <v>16-gene expression Alzheimer's disease panel</v>
      </c>
      <c r="I203" s="2" t="s">
        <v>20</v>
      </c>
      <c r="J203" s="2" t="s">
        <v>17</v>
      </c>
      <c r="K203" s="4" t="str">
        <f>HYPERLINK("https://www.cortellis.com/drugdiscovery/result/proxy/related-content/biomarkers/genestargets/57337","dystroglycan 1")</f>
        <v>dystroglycan 1</v>
      </c>
    </row>
    <row r="204" spans="1:11" ht="60" customHeight="1" x14ac:dyDescent="0.2">
      <c r="A204" s="2">
        <v>201</v>
      </c>
      <c r="B204" s="3" t="str">
        <f t="shared" si="50"/>
        <v>Dystroglycan</v>
      </c>
      <c r="C204" s="3" t="str">
        <f t="shared" si="51"/>
        <v>DAG1</v>
      </c>
      <c r="D204" s="3" t="str">
        <f t="shared" si="52"/>
        <v>DAG1_HUMAN</v>
      </c>
      <c r="E204" s="2" t="s">
        <v>13</v>
      </c>
      <c r="F204" s="3" t="str">
        <f t="shared" si="53"/>
        <v>Dystroglycan</v>
      </c>
      <c r="G204" s="4"/>
      <c r="H204" s="3" t="str">
        <f>HYPERLINK("https://www.cortellis.com/drugdiscovery/entity/biomarkers/58961","18-gene expression rectal cancer panel")</f>
        <v>18-gene expression rectal cancer panel</v>
      </c>
      <c r="I204" s="2" t="s">
        <v>18</v>
      </c>
      <c r="J204" s="2" t="s">
        <v>19</v>
      </c>
      <c r="K204" s="4" t="str">
        <f>HYPERLINK("https://www.cortellis.com/drugdiscovery/result/proxy/related-content/biomarkers/genestargets/58961","dystroglycan 1")</f>
        <v>dystroglycan 1</v>
      </c>
    </row>
    <row r="205" spans="1:11" ht="60" customHeight="1" x14ac:dyDescent="0.2">
      <c r="A205" s="2">
        <v>202</v>
      </c>
      <c r="B205" s="3" t="str">
        <f t="shared" si="50"/>
        <v>Dystroglycan</v>
      </c>
      <c r="C205" s="3" t="str">
        <f t="shared" si="51"/>
        <v>DAG1</v>
      </c>
      <c r="D205" s="3" t="str">
        <f t="shared" si="52"/>
        <v>DAG1_HUMAN</v>
      </c>
      <c r="E205" s="2" t="s">
        <v>13</v>
      </c>
      <c r="F205" s="3" t="str">
        <f t="shared" si="53"/>
        <v>Dystroglycan</v>
      </c>
      <c r="G205" s="4"/>
      <c r="H205" s="3" t="str">
        <f>HYPERLINK("https://www.cortellis.com/drugdiscovery/entity/biomarkers/65232","7-gene expression lung cancer panel")</f>
        <v>7-gene expression lung cancer panel</v>
      </c>
      <c r="I205" s="2" t="s">
        <v>18</v>
      </c>
      <c r="J205" s="2" t="s">
        <v>19</v>
      </c>
      <c r="K205" s="4" t="str">
        <f>HYPERLINK("https://www.cortellis.com/drugdiscovery/result/proxy/related-content/biomarkers/genestargets/65232","dystroglycan 1")</f>
        <v>dystroglycan 1</v>
      </c>
    </row>
    <row r="206" spans="1:11" ht="60" customHeight="1" x14ac:dyDescent="0.2">
      <c r="A206" s="2">
        <v>203</v>
      </c>
      <c r="B206" s="3" t="str">
        <f>HYPERLINK("https://portal.genego.com/cgi/entity_page.cgi?term=100&amp;id=-76479808","ECP (RNase 3)")</f>
        <v>ECP (RNase 3)</v>
      </c>
      <c r="C206" s="3" t="str">
        <f>HYPERLINK("https://portal.genego.com/cgi/entity_page.cgi?term=20&amp;id=551204485","RNASE3")</f>
        <v>RNASE3</v>
      </c>
      <c r="D206" s="3" t="str">
        <f>HYPERLINK("https://portal.genego.com/cgi/entity_page.cgi?term=7&amp;id=154791334","ECP_HUMAN")</f>
        <v>ECP_HUMAN</v>
      </c>
      <c r="E206" s="2" t="s">
        <v>42</v>
      </c>
      <c r="F206" s="3" t="str">
        <f>HYPERLINK("https://portal.genego.com/cgi/entity_page.cgi?term=100&amp;id=-76479808","Eosinophil cationic protein")</f>
        <v>Eosinophil cationic protein</v>
      </c>
      <c r="G206" s="4"/>
      <c r="H206" s="3" t="str">
        <f>HYPERLINK("https://www.cortellis.com/drugdiscovery/entity/biomarkers/1979","Eosinophil cationic protein")</f>
        <v>Eosinophil cationic protein</v>
      </c>
      <c r="I206" s="2" t="s">
        <v>43</v>
      </c>
      <c r="J206" s="2" t="s">
        <v>15</v>
      </c>
      <c r="K206" s="4" t="str">
        <f>HYPERLINK("https://www.cortellis.com/drugdiscovery/result/proxy/related-content/biomarkers/genestargets/1979","ribonuclease A family member 3")</f>
        <v>ribonuclease A family member 3</v>
      </c>
    </row>
    <row r="207" spans="1:11" ht="60" customHeight="1" x14ac:dyDescent="0.2">
      <c r="A207" s="2">
        <v>204</v>
      </c>
      <c r="B207" s="3" t="str">
        <f>HYPERLINK("https://portal.genego.com/cgi/entity_page.cgi?term=100&amp;id=-76479808","ECP (RNase 3)")</f>
        <v>ECP (RNase 3)</v>
      </c>
      <c r="C207" s="3" t="str">
        <f>HYPERLINK("https://portal.genego.com/cgi/entity_page.cgi?term=20&amp;id=551204485","RNASE3")</f>
        <v>RNASE3</v>
      </c>
      <c r="D207" s="3" t="str">
        <f>HYPERLINK("https://portal.genego.com/cgi/entity_page.cgi?term=7&amp;id=154791334","ECP_HUMAN")</f>
        <v>ECP_HUMAN</v>
      </c>
      <c r="E207" s="2" t="s">
        <v>42</v>
      </c>
      <c r="F207" s="3" t="str">
        <f>HYPERLINK("https://portal.genego.com/cgi/entity_page.cgi?term=100&amp;id=-76479808","Eosinophil cationic protein")</f>
        <v>Eosinophil cationic protein</v>
      </c>
      <c r="G207" s="4"/>
      <c r="H207" s="3" t="str">
        <f>HYPERLINK("https://www.cortellis.com/drugdiscovery/entity/biomarkers/25666","52-gene expression acute myeloid leukemia panel")</f>
        <v>52-gene expression acute myeloid leukemia panel</v>
      </c>
      <c r="I207" s="2" t="s">
        <v>25</v>
      </c>
      <c r="J207" s="2" t="s">
        <v>19</v>
      </c>
      <c r="K207" s="4" t="str">
        <f>HYPERLINK("https://www.cortellis.com/drugdiscovery/result/proxy/related-content/biomarkers/genestargets/25666","ribonuclease A family member 3")</f>
        <v>ribonuclease A family member 3</v>
      </c>
    </row>
    <row r="208" spans="1:11" ht="60" customHeight="1" x14ac:dyDescent="0.2">
      <c r="A208" s="2">
        <v>205</v>
      </c>
      <c r="B208" s="3" t="str">
        <f>HYPERLINK("https://portal.genego.com/cgi/entity_page.cgi?term=100&amp;id=-76479808","ECP (RNase 3)")</f>
        <v>ECP (RNase 3)</v>
      </c>
      <c r="C208" s="3" t="str">
        <f>HYPERLINK("https://portal.genego.com/cgi/entity_page.cgi?term=20&amp;id=551204485","RNASE3")</f>
        <v>RNASE3</v>
      </c>
      <c r="D208" s="3" t="str">
        <f>HYPERLINK("https://portal.genego.com/cgi/entity_page.cgi?term=7&amp;id=154791334","ECP_HUMAN")</f>
        <v>ECP_HUMAN</v>
      </c>
      <c r="E208" s="2" t="s">
        <v>42</v>
      </c>
      <c r="F208" s="3" t="str">
        <f>HYPERLINK("https://portal.genego.com/cgi/entity_page.cgi?term=100&amp;id=-76479808","Eosinophil cationic protein")</f>
        <v>Eosinophil cationic protein</v>
      </c>
      <c r="G208" s="4"/>
      <c r="H208" s="3" t="str">
        <f>HYPERLINK("https://www.cortellis.com/drugdiscovery/entity/biomarkers/43882","530-gene methylation leukemia panel")</f>
        <v>530-gene methylation leukemia panel</v>
      </c>
      <c r="I208" s="2" t="s">
        <v>25</v>
      </c>
      <c r="J208" s="2" t="s">
        <v>19</v>
      </c>
      <c r="K208" s="4" t="str">
        <f>HYPERLINK("https://www.cortellis.com/drugdiscovery/result/proxy/related-content/biomarkers/genestargets/43882","matrix metallopeptidase 2; ribonuclease A family member 3")</f>
        <v>matrix metallopeptidase 2; ribonuclease A family member 3</v>
      </c>
    </row>
    <row r="209" spans="1:11" ht="60" customHeight="1" x14ac:dyDescent="0.2">
      <c r="A209" s="2">
        <v>206</v>
      </c>
      <c r="B209" s="3" t="str">
        <f>HYPERLINK("https://portal.genego.com/cgi/entity_page.cgi?term=100&amp;id=-76479808","ECP (RNase 3)")</f>
        <v>ECP (RNase 3)</v>
      </c>
      <c r="C209" s="3" t="str">
        <f>HYPERLINK("https://portal.genego.com/cgi/entity_page.cgi?term=20&amp;id=551204485","RNASE3")</f>
        <v>RNASE3</v>
      </c>
      <c r="D209" s="3" t="str">
        <f>HYPERLINK("https://portal.genego.com/cgi/entity_page.cgi?term=7&amp;id=154791334","ECP_HUMAN")</f>
        <v>ECP_HUMAN</v>
      </c>
      <c r="E209" s="2" t="s">
        <v>42</v>
      </c>
      <c r="F209" s="3" t="str">
        <f>HYPERLINK("https://portal.genego.com/cgi/entity_page.cgi?term=100&amp;id=-76479808","Eosinophil cationic protein")</f>
        <v>Eosinophil cationic protein</v>
      </c>
      <c r="G209" s="4"/>
      <c r="H209" s="3" t="str">
        <f>HYPERLINK("https://www.cortellis.com/drugdiscovery/entity/biomarkers/49082","177-gene expression leukemia panel")</f>
        <v>177-gene expression leukemia panel</v>
      </c>
      <c r="I209" s="2" t="s">
        <v>25</v>
      </c>
      <c r="J209" s="2" t="s">
        <v>19</v>
      </c>
      <c r="K209" s="4" t="str">
        <f>HYPERLINK("https://www.cortellis.com/drugdiscovery/result/proxy/related-content/biomarkers/genestargets/49082","ribonuclease A family member 3; tissue factor pathway inhibitor")</f>
        <v>ribonuclease A family member 3; tissue factor pathway inhibitor</v>
      </c>
    </row>
    <row r="210" spans="1:11" ht="60" customHeight="1" x14ac:dyDescent="0.2">
      <c r="A210" s="2">
        <v>207</v>
      </c>
      <c r="B210" s="3" t="str">
        <f>HYPERLINK("https://portal.genego.com/cgi/entity_page.cgi?term=100&amp;id=-76479808","ECP (RNase 3)")</f>
        <v>ECP (RNase 3)</v>
      </c>
      <c r="C210" s="3" t="str">
        <f>HYPERLINK("https://portal.genego.com/cgi/entity_page.cgi?term=20&amp;id=551204485","RNASE3")</f>
        <v>RNASE3</v>
      </c>
      <c r="D210" s="3" t="str">
        <f>HYPERLINK("https://portal.genego.com/cgi/entity_page.cgi?term=7&amp;id=154791334","ECP_HUMAN")</f>
        <v>ECP_HUMAN</v>
      </c>
      <c r="E210" s="2" t="s">
        <v>42</v>
      </c>
      <c r="F210" s="3" t="str">
        <f>HYPERLINK("https://portal.genego.com/cgi/entity_page.cgi?term=100&amp;id=-76479808","Eosinophil cationic protein")</f>
        <v>Eosinophil cationic protein</v>
      </c>
      <c r="G210" s="4"/>
      <c r="H210" s="3" t="str">
        <f>HYPERLINK("https://www.cortellis.com/drugdiscovery/entity/biomarkers/59957","10-protein obstructive pulmonary disease panel")</f>
        <v>10-protein obstructive pulmonary disease panel</v>
      </c>
      <c r="I210" s="2" t="s">
        <v>20</v>
      </c>
      <c r="J210" s="2" t="s">
        <v>17</v>
      </c>
      <c r="K210" s="4" t="str">
        <f>HYPERLINK("https://www.cortellis.com/drugdiscovery/result/proxy/related-content/biomarkers/genestargets/59957","matrix metallopeptidase 9; ribonuclease A family member 3")</f>
        <v>matrix metallopeptidase 9; ribonuclease A family member 3</v>
      </c>
    </row>
    <row r="211" spans="1:11" ht="60" customHeight="1" x14ac:dyDescent="0.2">
      <c r="A211" s="2">
        <v>208</v>
      </c>
      <c r="B211" s="3" t="str">
        <f t="shared" ref="B211:B217" si="54">HYPERLINK("https://portal.genego.com/cgi/entity_page.cgi?term=100&amp;id=-1270600939","HLA-DQB")</f>
        <v>HLA-DQB</v>
      </c>
      <c r="C211" s="3" t="str">
        <f t="shared" ref="C211:C224" si="55">HYPERLINK("https://portal.genego.com/cgi/entity_page.cgi?term=20&amp;id=971308478","HLA-DQB1")</f>
        <v>HLA-DQB1</v>
      </c>
      <c r="D211" s="3" t="str">
        <f t="shared" ref="D211:D224" si="56">HYPERLINK("https://portal.genego.com/cgi/entity_page.cgi?term=7&amp;id=-1608791251","DQB1_HUMAN")</f>
        <v>DQB1_HUMAN</v>
      </c>
      <c r="E211" s="2" t="s">
        <v>13</v>
      </c>
      <c r="F211" s="3"/>
      <c r="G211" s="4"/>
      <c r="H211" s="3" t="str">
        <f>HYPERLINK("https://www.cortellis.com/drugdiscovery/entity/biomarkers/456","Major histocompatibility complex, class II, DQ beta 1")</f>
        <v>Major histocompatibility complex, class II, DQ beta 1</v>
      </c>
      <c r="I211" s="2" t="s">
        <v>44</v>
      </c>
      <c r="J211" s="2" t="s">
        <v>15</v>
      </c>
      <c r="K211" s="4" t="str">
        <f>HYPERLINK("https://www.cortellis.com/drugdiscovery/result/proxy/related-content/biomarkers/genestargets/456","major histocompatibility complex, class II, DQ beta 1")</f>
        <v>major histocompatibility complex, class II, DQ beta 1</v>
      </c>
    </row>
    <row r="212" spans="1:11" ht="60" customHeight="1" x14ac:dyDescent="0.2">
      <c r="A212" s="2">
        <v>209</v>
      </c>
      <c r="B212" s="3" t="str">
        <f t="shared" si="54"/>
        <v>HLA-DQB</v>
      </c>
      <c r="C212" s="3" t="str">
        <f t="shared" si="55"/>
        <v>HLA-DQB1</v>
      </c>
      <c r="D212" s="3" t="str">
        <f t="shared" si="56"/>
        <v>DQB1_HUMAN</v>
      </c>
      <c r="E212" s="2" t="s">
        <v>13</v>
      </c>
      <c r="F212" s="3"/>
      <c r="G212" s="4"/>
      <c r="H212" s="3" t="str">
        <f>HYPERLINK("https://www.cortellis.com/drugdiscovery/entity/biomarkers/42247","37-gene expression multiple myeloma panel")</f>
        <v>37-gene expression multiple myeloma panel</v>
      </c>
      <c r="I212" s="2" t="s">
        <v>27</v>
      </c>
      <c r="J212" s="2" t="s">
        <v>19</v>
      </c>
      <c r="K212" s="4" t="str">
        <f>HYPERLINK("https://www.cortellis.com/drugdiscovery/result/proxy/related-content/biomarkers/genestargets/42247","major histocompatibility complex, class II, DQ beta 1")</f>
        <v>major histocompatibility complex, class II, DQ beta 1</v>
      </c>
    </row>
    <row r="213" spans="1:11" ht="60" customHeight="1" x14ac:dyDescent="0.2">
      <c r="A213" s="2">
        <v>210</v>
      </c>
      <c r="B213" s="3" t="str">
        <f t="shared" si="54"/>
        <v>HLA-DQB</v>
      </c>
      <c r="C213" s="3" t="str">
        <f t="shared" si="55"/>
        <v>HLA-DQB1</v>
      </c>
      <c r="D213" s="3" t="str">
        <f t="shared" si="56"/>
        <v>DQB1_HUMAN</v>
      </c>
      <c r="E213" s="2" t="s">
        <v>13</v>
      </c>
      <c r="F213" s="3"/>
      <c r="G213" s="4"/>
      <c r="H213" s="3" t="str">
        <f>HYPERLINK("https://www.cortellis.com/drugdiscovery/entity/biomarkers/44614","34-gene expression multiple myeloma panel")</f>
        <v>34-gene expression multiple myeloma panel</v>
      </c>
      <c r="I213" s="2" t="s">
        <v>18</v>
      </c>
      <c r="J213" s="2" t="s">
        <v>19</v>
      </c>
      <c r="K213" s="4" t="str">
        <f>HYPERLINK("https://www.cortellis.com/drugdiscovery/result/proxy/related-content/biomarkers/genestargets/44614","major histocompatibility complex, class II, DQ beta 1")</f>
        <v>major histocompatibility complex, class II, DQ beta 1</v>
      </c>
    </row>
    <row r="214" spans="1:11" ht="60" customHeight="1" x14ac:dyDescent="0.2">
      <c r="A214" s="2">
        <v>211</v>
      </c>
      <c r="B214" s="3" t="str">
        <f t="shared" si="54"/>
        <v>HLA-DQB</v>
      </c>
      <c r="C214" s="3" t="str">
        <f t="shared" si="55"/>
        <v>HLA-DQB1</v>
      </c>
      <c r="D214" s="3" t="str">
        <f t="shared" si="56"/>
        <v>DQB1_HUMAN</v>
      </c>
      <c r="E214" s="2" t="s">
        <v>13</v>
      </c>
      <c r="F214" s="3"/>
      <c r="G214" s="4"/>
      <c r="H214" s="3" t="str">
        <f>HYPERLINK("https://www.cortellis.com/drugdiscovery/entity/biomarkers/45605","53-gene expression melanoma panel")</f>
        <v>53-gene expression melanoma panel</v>
      </c>
      <c r="I214" s="2" t="s">
        <v>25</v>
      </c>
      <c r="J214" s="2" t="s">
        <v>19</v>
      </c>
      <c r="K214"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215" spans="1:11" ht="60" customHeight="1" x14ac:dyDescent="0.2">
      <c r="A215" s="2">
        <v>212</v>
      </c>
      <c r="B215" s="3" t="str">
        <f t="shared" si="54"/>
        <v>HLA-DQB</v>
      </c>
      <c r="C215" s="3" t="str">
        <f t="shared" si="55"/>
        <v>HLA-DQB1</v>
      </c>
      <c r="D215" s="3" t="str">
        <f t="shared" si="56"/>
        <v>DQB1_HUMAN</v>
      </c>
      <c r="E215" s="2" t="s">
        <v>13</v>
      </c>
      <c r="F215" s="3"/>
      <c r="G215" s="4"/>
      <c r="H215" s="3" t="str">
        <f>HYPERLINK("https://www.cortellis.com/drugdiscovery/entity/biomarkers/50251","96-gene methylation food allergy panel")</f>
        <v>96-gene methylation food allergy panel</v>
      </c>
      <c r="I215" s="2" t="s">
        <v>23</v>
      </c>
      <c r="J215" s="2" t="s">
        <v>19</v>
      </c>
      <c r="K215" s="4" t="str">
        <f>HYPERLINK("https://www.cortellis.com/drugdiscovery/result/proxy/related-content/biomarkers/genestargets/50251","major histocompatibility complex, class II, DQ beta 1")</f>
        <v>major histocompatibility complex, class II, DQ beta 1</v>
      </c>
    </row>
    <row r="216" spans="1:11" ht="60" customHeight="1" x14ac:dyDescent="0.2">
      <c r="A216" s="2">
        <v>213</v>
      </c>
      <c r="B216" s="3" t="str">
        <f t="shared" si="54"/>
        <v>HLA-DQB</v>
      </c>
      <c r="C216" s="3" t="str">
        <f t="shared" si="55"/>
        <v>HLA-DQB1</v>
      </c>
      <c r="D216" s="3" t="str">
        <f t="shared" si="56"/>
        <v>DQB1_HUMAN</v>
      </c>
      <c r="E216" s="2" t="s">
        <v>13</v>
      </c>
      <c r="F216" s="3"/>
      <c r="G216" s="4"/>
      <c r="H216" s="3" t="str">
        <f>HYPERLINK("https://www.cortellis.com/drugdiscovery/entity/biomarkers/51354","223-gene expression diffuse B-cell lymphoma panel")</f>
        <v>223-gene expression diffuse B-cell lymphoma panel</v>
      </c>
      <c r="I216" s="2" t="s">
        <v>25</v>
      </c>
      <c r="J216" s="2" t="s">
        <v>15</v>
      </c>
      <c r="K216" s="4" t="str">
        <f>HYPERLINK("https://www.cortellis.com/drugdiscovery/result/proxy/related-content/biomarkers/genestargets/51354","major histocompatibility complex, class II, DQ beta 1")</f>
        <v>major histocompatibility complex, class II, DQ beta 1</v>
      </c>
    </row>
    <row r="217" spans="1:11" ht="60" customHeight="1" x14ac:dyDescent="0.2">
      <c r="A217" s="2">
        <v>214</v>
      </c>
      <c r="B217" s="3" t="str">
        <f t="shared" si="54"/>
        <v>HLA-DQB</v>
      </c>
      <c r="C217" s="3" t="str">
        <f t="shared" si="55"/>
        <v>HLA-DQB1</v>
      </c>
      <c r="D217" s="3" t="str">
        <f t="shared" si="56"/>
        <v>DQB1_HUMAN</v>
      </c>
      <c r="E217" s="2" t="s">
        <v>13</v>
      </c>
      <c r="F217" s="3"/>
      <c r="G217" s="4"/>
      <c r="H217" s="3" t="str">
        <f>HYPERLINK("https://www.cortellis.com/drugdiscovery/entity/biomarkers/62595","19-gene expression lung adenocarcinoma panel")</f>
        <v>19-gene expression lung adenocarcinoma panel</v>
      </c>
      <c r="I217" s="2" t="s">
        <v>25</v>
      </c>
      <c r="J217" s="2" t="s">
        <v>19</v>
      </c>
      <c r="K217" s="4" t="str">
        <f>HYPERLINK("https://www.cortellis.com/drugdiscovery/result/proxy/related-content/biomarkers/genestargets/62595","major histocompatibility complex, class II, DQ beta 1")</f>
        <v>major histocompatibility complex, class II, DQ beta 1</v>
      </c>
    </row>
    <row r="218" spans="1:11" ht="60" customHeight="1" x14ac:dyDescent="0.2">
      <c r="A218" s="2">
        <v>215</v>
      </c>
      <c r="B218" s="3" t="str">
        <f t="shared" ref="B218:B224" si="57">HYPERLINK("https://portal.genego.com/cgi/entity_page.cgi?term=100&amp;id=4589","HLA-DQB1")</f>
        <v>HLA-DQB1</v>
      </c>
      <c r="C218" s="3" t="str">
        <f t="shared" si="55"/>
        <v>HLA-DQB1</v>
      </c>
      <c r="D218" s="3" t="str">
        <f t="shared" si="56"/>
        <v>DQB1_HUMAN</v>
      </c>
      <c r="E218" s="2" t="s">
        <v>13</v>
      </c>
      <c r="F218" s="3" t="str">
        <f t="shared" ref="F218:F224" si="58">HYPERLINK("https://portal.genego.com/cgi/entity_page.cgi?term=100&amp;id=4589","HLA class II histocompatibility antigen, DQ beta 1 chain")</f>
        <v>HLA class II histocompatibility antigen, DQ beta 1 chain</v>
      </c>
      <c r="G218" s="4"/>
      <c r="H218" s="3" t="str">
        <f>HYPERLINK("https://www.cortellis.com/drugdiscovery/entity/biomarkers/456","Major histocompatibility complex, class II, DQ beta 1")</f>
        <v>Major histocompatibility complex, class II, DQ beta 1</v>
      </c>
      <c r="I218" s="2" t="s">
        <v>44</v>
      </c>
      <c r="J218" s="2" t="s">
        <v>15</v>
      </c>
      <c r="K218" s="4" t="str">
        <f>HYPERLINK("https://www.cortellis.com/drugdiscovery/result/proxy/related-content/biomarkers/genestargets/456","major histocompatibility complex, class II, DQ beta 1")</f>
        <v>major histocompatibility complex, class II, DQ beta 1</v>
      </c>
    </row>
    <row r="219" spans="1:11" ht="60" customHeight="1" x14ac:dyDescent="0.2">
      <c r="A219" s="2">
        <v>216</v>
      </c>
      <c r="B219" s="3" t="str">
        <f t="shared" si="57"/>
        <v>HLA-DQB1</v>
      </c>
      <c r="C219" s="3" t="str">
        <f t="shared" si="55"/>
        <v>HLA-DQB1</v>
      </c>
      <c r="D219" s="3" t="str">
        <f t="shared" si="56"/>
        <v>DQB1_HUMAN</v>
      </c>
      <c r="E219" s="2" t="s">
        <v>13</v>
      </c>
      <c r="F219" s="3" t="str">
        <f t="shared" si="58"/>
        <v>HLA class II histocompatibility antigen, DQ beta 1 chain</v>
      </c>
      <c r="G219" s="4"/>
      <c r="H219" s="3" t="str">
        <f>HYPERLINK("https://www.cortellis.com/drugdiscovery/entity/biomarkers/42247","37-gene expression multiple myeloma panel")</f>
        <v>37-gene expression multiple myeloma panel</v>
      </c>
      <c r="I219" s="2" t="s">
        <v>27</v>
      </c>
      <c r="J219" s="2" t="s">
        <v>19</v>
      </c>
      <c r="K219" s="4" t="str">
        <f>HYPERLINK("https://www.cortellis.com/drugdiscovery/result/proxy/related-content/biomarkers/genestargets/42247","major histocompatibility complex, class II, DQ beta 1")</f>
        <v>major histocompatibility complex, class II, DQ beta 1</v>
      </c>
    </row>
    <row r="220" spans="1:11" ht="60" customHeight="1" x14ac:dyDescent="0.2">
      <c r="A220" s="2">
        <v>217</v>
      </c>
      <c r="B220" s="3" t="str">
        <f t="shared" si="57"/>
        <v>HLA-DQB1</v>
      </c>
      <c r="C220" s="3" t="str">
        <f t="shared" si="55"/>
        <v>HLA-DQB1</v>
      </c>
      <c r="D220" s="3" t="str">
        <f t="shared" si="56"/>
        <v>DQB1_HUMAN</v>
      </c>
      <c r="E220" s="2" t="s">
        <v>13</v>
      </c>
      <c r="F220" s="3" t="str">
        <f t="shared" si="58"/>
        <v>HLA class II histocompatibility antigen, DQ beta 1 chain</v>
      </c>
      <c r="G220" s="4"/>
      <c r="H220" s="3" t="str">
        <f>HYPERLINK("https://www.cortellis.com/drugdiscovery/entity/biomarkers/44614","34-gene expression multiple myeloma panel")</f>
        <v>34-gene expression multiple myeloma panel</v>
      </c>
      <c r="I220" s="2" t="s">
        <v>18</v>
      </c>
      <c r="J220" s="2" t="s">
        <v>19</v>
      </c>
      <c r="K220" s="4" t="str">
        <f>HYPERLINK("https://www.cortellis.com/drugdiscovery/result/proxy/related-content/biomarkers/genestargets/44614","major histocompatibility complex, class II, DQ beta 1")</f>
        <v>major histocompatibility complex, class II, DQ beta 1</v>
      </c>
    </row>
    <row r="221" spans="1:11" ht="60" customHeight="1" x14ac:dyDescent="0.2">
      <c r="A221" s="2">
        <v>218</v>
      </c>
      <c r="B221" s="3" t="str">
        <f t="shared" si="57"/>
        <v>HLA-DQB1</v>
      </c>
      <c r="C221" s="3" t="str">
        <f t="shared" si="55"/>
        <v>HLA-DQB1</v>
      </c>
      <c r="D221" s="3" t="str">
        <f t="shared" si="56"/>
        <v>DQB1_HUMAN</v>
      </c>
      <c r="E221" s="2" t="s">
        <v>13</v>
      </c>
      <c r="F221" s="3" t="str">
        <f t="shared" si="58"/>
        <v>HLA class II histocompatibility antigen, DQ beta 1 chain</v>
      </c>
      <c r="G221" s="4"/>
      <c r="H221" s="3" t="str">
        <f>HYPERLINK("https://www.cortellis.com/drugdiscovery/entity/biomarkers/45605","53-gene expression melanoma panel")</f>
        <v>53-gene expression melanoma panel</v>
      </c>
      <c r="I221" s="2" t="s">
        <v>25</v>
      </c>
      <c r="J221" s="2" t="s">
        <v>19</v>
      </c>
      <c r="K221"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222" spans="1:11" ht="60" customHeight="1" x14ac:dyDescent="0.2">
      <c r="A222" s="2">
        <v>219</v>
      </c>
      <c r="B222" s="3" t="str">
        <f t="shared" si="57"/>
        <v>HLA-DQB1</v>
      </c>
      <c r="C222" s="3" t="str">
        <f t="shared" si="55"/>
        <v>HLA-DQB1</v>
      </c>
      <c r="D222" s="3" t="str">
        <f t="shared" si="56"/>
        <v>DQB1_HUMAN</v>
      </c>
      <c r="E222" s="2" t="s">
        <v>13</v>
      </c>
      <c r="F222" s="3" t="str">
        <f t="shared" si="58"/>
        <v>HLA class II histocompatibility antigen, DQ beta 1 chain</v>
      </c>
      <c r="G222" s="4"/>
      <c r="H222" s="3" t="str">
        <f>HYPERLINK("https://www.cortellis.com/drugdiscovery/entity/biomarkers/50251","96-gene methylation food allergy panel")</f>
        <v>96-gene methylation food allergy panel</v>
      </c>
      <c r="I222" s="2" t="s">
        <v>23</v>
      </c>
      <c r="J222" s="2" t="s">
        <v>19</v>
      </c>
      <c r="K222" s="4" t="str">
        <f>HYPERLINK("https://www.cortellis.com/drugdiscovery/result/proxy/related-content/biomarkers/genestargets/50251","major histocompatibility complex, class II, DQ beta 1")</f>
        <v>major histocompatibility complex, class II, DQ beta 1</v>
      </c>
    </row>
    <row r="223" spans="1:11" ht="60" customHeight="1" x14ac:dyDescent="0.2">
      <c r="A223" s="2">
        <v>220</v>
      </c>
      <c r="B223" s="3" t="str">
        <f t="shared" si="57"/>
        <v>HLA-DQB1</v>
      </c>
      <c r="C223" s="3" t="str">
        <f t="shared" si="55"/>
        <v>HLA-DQB1</v>
      </c>
      <c r="D223" s="3" t="str">
        <f t="shared" si="56"/>
        <v>DQB1_HUMAN</v>
      </c>
      <c r="E223" s="2" t="s">
        <v>13</v>
      </c>
      <c r="F223" s="3" t="str">
        <f t="shared" si="58"/>
        <v>HLA class II histocompatibility antigen, DQ beta 1 chain</v>
      </c>
      <c r="G223" s="4"/>
      <c r="H223" s="3" t="str">
        <f>HYPERLINK("https://www.cortellis.com/drugdiscovery/entity/biomarkers/51354","223-gene expression diffuse B-cell lymphoma panel")</f>
        <v>223-gene expression diffuse B-cell lymphoma panel</v>
      </c>
      <c r="I223" s="2" t="s">
        <v>25</v>
      </c>
      <c r="J223" s="2" t="s">
        <v>15</v>
      </c>
      <c r="K223" s="4" t="str">
        <f>HYPERLINK("https://www.cortellis.com/drugdiscovery/result/proxy/related-content/biomarkers/genestargets/51354","major histocompatibility complex, class II, DQ beta 1")</f>
        <v>major histocompatibility complex, class II, DQ beta 1</v>
      </c>
    </row>
    <row r="224" spans="1:11" ht="60" customHeight="1" x14ac:dyDescent="0.2">
      <c r="A224" s="2">
        <v>221</v>
      </c>
      <c r="B224" s="3" t="str">
        <f t="shared" si="57"/>
        <v>HLA-DQB1</v>
      </c>
      <c r="C224" s="3" t="str">
        <f t="shared" si="55"/>
        <v>HLA-DQB1</v>
      </c>
      <c r="D224" s="3" t="str">
        <f t="shared" si="56"/>
        <v>DQB1_HUMAN</v>
      </c>
      <c r="E224" s="2" t="s">
        <v>13</v>
      </c>
      <c r="F224" s="3" t="str">
        <f t="shared" si="58"/>
        <v>HLA class II histocompatibility antigen, DQ beta 1 chain</v>
      </c>
      <c r="G224" s="4"/>
      <c r="H224" s="3" t="str">
        <f>HYPERLINK("https://www.cortellis.com/drugdiscovery/entity/biomarkers/62595","19-gene expression lung adenocarcinoma panel")</f>
        <v>19-gene expression lung adenocarcinoma panel</v>
      </c>
      <c r="I224" s="2" t="s">
        <v>25</v>
      </c>
      <c r="J224" s="2" t="s">
        <v>19</v>
      </c>
      <c r="K224" s="4" t="str">
        <f>HYPERLINK("https://www.cortellis.com/drugdiscovery/result/proxy/related-content/biomarkers/genestargets/62595","major histocompatibility complex, class II, DQ beta 1")</f>
        <v>major histocompatibility complex, class II, DQ beta 1</v>
      </c>
    </row>
    <row r="225" spans="1:11" ht="60" customHeight="1" x14ac:dyDescent="0.2">
      <c r="A225" s="2">
        <v>222</v>
      </c>
      <c r="B225" s="3" t="str">
        <f t="shared" ref="B225:B288" si="59">HYPERLINK("https://portal.genego.com/cgi/entity_page.cgi?term=100&amp;id=376","IFN-gamma")</f>
        <v>IFN-gamma</v>
      </c>
      <c r="C225" s="3" t="str">
        <f t="shared" ref="C225:C288" si="60">HYPERLINK("https://portal.genego.com/cgi/entity_page.cgi?term=20&amp;id=-1212492138","IFNG")</f>
        <v>IFNG</v>
      </c>
      <c r="D225" s="3" t="str">
        <f t="shared" ref="D225:D288" si="61">HYPERLINK("https://portal.genego.com/cgi/entity_page.cgi?term=7&amp;id=-750112537","IFNG_HUMAN")</f>
        <v>IFNG_HUMAN</v>
      </c>
      <c r="E225" s="2" t="s">
        <v>21</v>
      </c>
      <c r="F225" s="3" t="str">
        <f t="shared" ref="F225:F288" si="62">HYPERLINK("https://portal.genego.com/cgi/entity_page.cgi?term=100&amp;id=376","Interferon gamma")</f>
        <v>Interferon gamma</v>
      </c>
      <c r="G225" s="4" t="str">
        <f t="shared" ref="G225:G254" si="63">HYPERLINK("https://portal.genego.com/cgi/entity_page.cgi?term=7&amp;id=939695918","AMG811")</f>
        <v>AMG811</v>
      </c>
      <c r="H225" s="3" t="str">
        <f>HYPERLINK("https://www.cortellis.com/drugdiscovery/entity/biomarkers/252","Interferon gamma")</f>
        <v>Interferon gamma</v>
      </c>
      <c r="I225" s="2" t="s">
        <v>45</v>
      </c>
      <c r="J225" s="2" t="s">
        <v>15</v>
      </c>
      <c r="K225" s="4" t="str">
        <f>HYPERLINK("https://www.cortellis.com/drugdiscovery/result/proxy/related-content/biomarkers/genestargets/252","interferon gamma")</f>
        <v>interferon gamma</v>
      </c>
    </row>
    <row r="226" spans="1:11" ht="60" customHeight="1" x14ac:dyDescent="0.2">
      <c r="A226" s="2">
        <v>223</v>
      </c>
      <c r="B226" s="3" t="str">
        <f t="shared" si="59"/>
        <v>IFN-gamma</v>
      </c>
      <c r="C226" s="3" t="str">
        <f t="shared" si="60"/>
        <v>IFNG</v>
      </c>
      <c r="D226" s="3" t="str">
        <f t="shared" si="61"/>
        <v>IFNG_HUMAN</v>
      </c>
      <c r="E226" s="2" t="s">
        <v>21</v>
      </c>
      <c r="F226" s="3" t="str">
        <f t="shared" si="62"/>
        <v>Interferon gamma</v>
      </c>
      <c r="G226" s="4" t="str">
        <f t="shared" si="63"/>
        <v>AMG811</v>
      </c>
      <c r="H226" s="3" t="str">
        <f>HYPERLINK("https://www.cortellis.com/drugdiscovery/entity/biomarkers/27598","89-protein neurological alzheimer's panel")</f>
        <v>89-protein neurological alzheimer's panel</v>
      </c>
      <c r="I226" s="2" t="s">
        <v>23</v>
      </c>
      <c r="J226" s="2" t="s">
        <v>17</v>
      </c>
      <c r="K226"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27" spans="1:11" ht="60" customHeight="1" x14ac:dyDescent="0.2">
      <c r="A227" s="2">
        <v>224</v>
      </c>
      <c r="B227" s="3" t="str">
        <f t="shared" si="59"/>
        <v>IFN-gamma</v>
      </c>
      <c r="C227" s="3" t="str">
        <f t="shared" si="60"/>
        <v>IFNG</v>
      </c>
      <c r="D227" s="3" t="str">
        <f t="shared" si="61"/>
        <v>IFNG_HUMAN</v>
      </c>
      <c r="E227" s="2" t="s">
        <v>21</v>
      </c>
      <c r="F227" s="3" t="str">
        <f t="shared" si="62"/>
        <v>Interferon gamma</v>
      </c>
      <c r="G227" s="4" t="str">
        <f t="shared" si="63"/>
        <v>AMG811</v>
      </c>
      <c r="H227" s="3" t="str">
        <f>HYPERLINK("https://www.cortellis.com/drugdiscovery/entity/biomarkers/27734","6-protein lung cancer panel")</f>
        <v>6-protein lung cancer panel</v>
      </c>
      <c r="I227" s="2" t="s">
        <v>23</v>
      </c>
      <c r="J227" s="2" t="s">
        <v>17</v>
      </c>
      <c r="K227" s="4" t="str">
        <f>HYPERLINK("https://www.cortellis.com/drugdiscovery/result/proxy/related-content/biomarkers/genestargets/27734","interferon gamma; tumor necrosis factor")</f>
        <v>interferon gamma; tumor necrosis factor</v>
      </c>
    </row>
    <row r="228" spans="1:11" ht="60" customHeight="1" x14ac:dyDescent="0.2">
      <c r="A228" s="2">
        <v>225</v>
      </c>
      <c r="B228" s="3" t="str">
        <f t="shared" si="59"/>
        <v>IFN-gamma</v>
      </c>
      <c r="C228" s="3" t="str">
        <f t="shared" si="60"/>
        <v>IFNG</v>
      </c>
      <c r="D228" s="3" t="str">
        <f t="shared" si="61"/>
        <v>IFNG_HUMAN</v>
      </c>
      <c r="E228" s="2" t="s">
        <v>21</v>
      </c>
      <c r="F228" s="3" t="str">
        <f t="shared" si="62"/>
        <v>Interferon gamma</v>
      </c>
      <c r="G228" s="4" t="str">
        <f t="shared" si="63"/>
        <v>AMG811</v>
      </c>
      <c r="H228" s="3" t="str">
        <f>HYPERLINK("https://www.cortellis.com/drugdiscovery/entity/biomarkers/28132","6-gene expression esophageal cancer panel")</f>
        <v>6-gene expression esophageal cancer panel</v>
      </c>
      <c r="I228" s="2" t="s">
        <v>25</v>
      </c>
      <c r="J228" s="2" t="s">
        <v>19</v>
      </c>
      <c r="K228" s="4" t="str">
        <f>HYPERLINK("https://www.cortellis.com/drugdiscovery/result/proxy/related-content/biomarkers/genestargets/28132","interferon gamma")</f>
        <v>interferon gamma</v>
      </c>
    </row>
    <row r="229" spans="1:11" ht="60" customHeight="1" x14ac:dyDescent="0.2">
      <c r="A229" s="2">
        <v>226</v>
      </c>
      <c r="B229" s="3" t="str">
        <f t="shared" si="59"/>
        <v>IFN-gamma</v>
      </c>
      <c r="C229" s="3" t="str">
        <f t="shared" si="60"/>
        <v>IFNG</v>
      </c>
      <c r="D229" s="3" t="str">
        <f t="shared" si="61"/>
        <v>IFNG_HUMAN</v>
      </c>
      <c r="E229" s="2" t="s">
        <v>21</v>
      </c>
      <c r="F229" s="3" t="str">
        <f t="shared" si="62"/>
        <v>Interferon gamma</v>
      </c>
      <c r="G229" s="4" t="str">
        <f t="shared" si="63"/>
        <v>AMG811</v>
      </c>
      <c r="H229" s="3" t="str">
        <f>HYPERLINK("https://www.cortellis.com/drugdiscovery/entity/biomarkers/28148","11-gene expression lung cancer panel")</f>
        <v>11-gene expression lung cancer panel</v>
      </c>
      <c r="I229" s="2" t="s">
        <v>25</v>
      </c>
      <c r="J229" s="2" t="s">
        <v>19</v>
      </c>
      <c r="K229" s="4" t="str">
        <f>HYPERLINK("https://www.cortellis.com/drugdiscovery/result/proxy/related-content/biomarkers/genestargets/28148","interferon gamma; interleukin 15; tumor necrosis factor")</f>
        <v>interferon gamma; interleukin 15; tumor necrosis factor</v>
      </c>
    </row>
    <row r="230" spans="1:11" ht="60" customHeight="1" x14ac:dyDescent="0.2">
      <c r="A230" s="2">
        <v>227</v>
      </c>
      <c r="B230" s="3" t="str">
        <f t="shared" si="59"/>
        <v>IFN-gamma</v>
      </c>
      <c r="C230" s="3" t="str">
        <f t="shared" si="60"/>
        <v>IFNG</v>
      </c>
      <c r="D230" s="3" t="str">
        <f t="shared" si="61"/>
        <v>IFNG_HUMAN</v>
      </c>
      <c r="E230" s="2" t="s">
        <v>21</v>
      </c>
      <c r="F230" s="3" t="str">
        <f t="shared" si="62"/>
        <v>Interferon gamma</v>
      </c>
      <c r="G230" s="4" t="str">
        <f t="shared" si="63"/>
        <v>AMG811</v>
      </c>
      <c r="H230" s="3" t="str">
        <f>HYPERLINK("https://www.cortellis.com/drugdiscovery/entity/biomarkers/28647","15-gene expression lung cancer panel")</f>
        <v>15-gene expression lung cancer panel</v>
      </c>
      <c r="I230" s="2" t="s">
        <v>20</v>
      </c>
      <c r="J230" s="2" t="s">
        <v>19</v>
      </c>
      <c r="K230" s="4" t="str">
        <f>HYPERLINK("https://www.cortellis.com/drugdiscovery/result/proxy/related-content/biomarkers/genestargets/28647","interferon gamma; interleukin 15; tumor necrosis factor")</f>
        <v>interferon gamma; interleukin 15; tumor necrosis factor</v>
      </c>
    </row>
    <row r="231" spans="1:11" ht="60" customHeight="1" x14ac:dyDescent="0.2">
      <c r="A231" s="2">
        <v>228</v>
      </c>
      <c r="B231" s="3" t="str">
        <f t="shared" si="59"/>
        <v>IFN-gamma</v>
      </c>
      <c r="C231" s="3" t="str">
        <f t="shared" si="60"/>
        <v>IFNG</v>
      </c>
      <c r="D231" s="3" t="str">
        <f t="shared" si="61"/>
        <v>IFNG_HUMAN</v>
      </c>
      <c r="E231" s="2" t="s">
        <v>21</v>
      </c>
      <c r="F231" s="3" t="str">
        <f t="shared" si="62"/>
        <v>Interferon gamma</v>
      </c>
      <c r="G231" s="4" t="str">
        <f t="shared" si="63"/>
        <v>AMG811</v>
      </c>
      <c r="H231" s="3" t="str">
        <f>HYPERLINK("https://www.cortellis.com/drugdiscovery/entity/biomarkers/30768","11-protein cardiovascular panel")</f>
        <v>11-protein cardiovascular panel</v>
      </c>
      <c r="I231" s="2" t="s">
        <v>23</v>
      </c>
      <c r="J231" s="2" t="s">
        <v>17</v>
      </c>
      <c r="K231" s="4" t="str">
        <f>HYPERLINK("https://www.cortellis.com/drugdiscovery/result/proxy/related-content/biomarkers/genestargets/30768","interferon gamma; interleukin 12B; tumor necrosis factor")</f>
        <v>interferon gamma; interleukin 12B; tumor necrosis factor</v>
      </c>
    </row>
    <row r="232" spans="1:11" ht="60" customHeight="1" x14ac:dyDescent="0.2">
      <c r="A232" s="2">
        <v>229</v>
      </c>
      <c r="B232" s="3" t="str">
        <f t="shared" si="59"/>
        <v>IFN-gamma</v>
      </c>
      <c r="C232" s="3" t="str">
        <f t="shared" si="60"/>
        <v>IFNG</v>
      </c>
      <c r="D232" s="3" t="str">
        <f t="shared" si="61"/>
        <v>IFNG_HUMAN</v>
      </c>
      <c r="E232" s="2" t="s">
        <v>21</v>
      </c>
      <c r="F232" s="3" t="str">
        <f t="shared" si="62"/>
        <v>Interferon gamma</v>
      </c>
      <c r="G232" s="4" t="str">
        <f t="shared" si="63"/>
        <v>AMG811</v>
      </c>
      <c r="H232" s="3" t="str">
        <f>HYPERLINK("https://www.cortellis.com/drugdiscovery/entity/biomarkers/36125","10-protein respiratory panel")</f>
        <v>10-protein respiratory panel</v>
      </c>
      <c r="I232" s="2" t="s">
        <v>25</v>
      </c>
      <c r="J232" s="2" t="s">
        <v>17</v>
      </c>
      <c r="K232" s="4" t="str">
        <f>HYPERLINK("https://www.cortellis.com/drugdiscovery/result/proxy/related-content/biomarkers/genestargets/36125","interferon gamma; tumor necrosis factor")</f>
        <v>interferon gamma; tumor necrosis factor</v>
      </c>
    </row>
    <row r="233" spans="1:11" ht="60" customHeight="1" x14ac:dyDescent="0.2">
      <c r="A233" s="2">
        <v>230</v>
      </c>
      <c r="B233" s="3" t="str">
        <f t="shared" si="59"/>
        <v>IFN-gamma</v>
      </c>
      <c r="C233" s="3" t="str">
        <f t="shared" si="60"/>
        <v>IFNG</v>
      </c>
      <c r="D233" s="3" t="str">
        <f t="shared" si="61"/>
        <v>IFNG_HUMAN</v>
      </c>
      <c r="E233" s="2" t="s">
        <v>21</v>
      </c>
      <c r="F233" s="3" t="str">
        <f t="shared" si="62"/>
        <v>Interferon gamma</v>
      </c>
      <c r="G233" s="4" t="str">
        <f t="shared" si="63"/>
        <v>AMG811</v>
      </c>
      <c r="H233" s="3" t="str">
        <f>HYPERLINK("https://www.cortellis.com/drugdiscovery/entity/biomarkers/36127","3-protein respiratory panel")</f>
        <v>3-protein respiratory panel</v>
      </c>
      <c r="I233" s="2" t="s">
        <v>25</v>
      </c>
      <c r="J233" s="2" t="s">
        <v>17</v>
      </c>
      <c r="K233" s="4" t="str">
        <f>HYPERLINK("https://www.cortellis.com/drugdiscovery/result/proxy/related-content/biomarkers/genestargets/36127","interferon gamma; tumor necrosis factor")</f>
        <v>interferon gamma; tumor necrosis factor</v>
      </c>
    </row>
    <row r="234" spans="1:11" ht="60" customHeight="1" x14ac:dyDescent="0.2">
      <c r="A234" s="2">
        <v>231</v>
      </c>
      <c r="B234" s="3" t="str">
        <f t="shared" si="59"/>
        <v>IFN-gamma</v>
      </c>
      <c r="C234" s="3" t="str">
        <f t="shared" si="60"/>
        <v>IFNG</v>
      </c>
      <c r="D234" s="3" t="str">
        <f t="shared" si="61"/>
        <v>IFNG_HUMAN</v>
      </c>
      <c r="E234" s="2" t="s">
        <v>21</v>
      </c>
      <c r="F234" s="3" t="str">
        <f t="shared" si="62"/>
        <v>Interferon gamma</v>
      </c>
      <c r="G234" s="4" t="str">
        <f t="shared" si="63"/>
        <v>AMG811</v>
      </c>
      <c r="H234" s="3" t="str">
        <f>HYPERLINK("https://www.cortellis.com/drugdiscovery/entity/biomarkers/41847","12-protein cardiovascular disorder panel")</f>
        <v>12-protein cardiovascular disorder panel</v>
      </c>
      <c r="I234" s="2" t="s">
        <v>18</v>
      </c>
      <c r="J234" s="2" t="s">
        <v>17</v>
      </c>
      <c r="K234" s="4" t="str">
        <f>HYPERLINK("https://www.cortellis.com/drugdiscovery/result/proxy/related-content/biomarkers/genestargets/41847","interferon gamma")</f>
        <v>interferon gamma</v>
      </c>
    </row>
    <row r="235" spans="1:11" ht="60" customHeight="1" x14ac:dyDescent="0.2">
      <c r="A235" s="2">
        <v>232</v>
      </c>
      <c r="B235" s="3" t="str">
        <f t="shared" si="59"/>
        <v>IFN-gamma</v>
      </c>
      <c r="C235" s="3" t="str">
        <f t="shared" si="60"/>
        <v>IFNG</v>
      </c>
      <c r="D235" s="3" t="str">
        <f t="shared" si="61"/>
        <v>IFNG_HUMAN</v>
      </c>
      <c r="E235" s="2" t="s">
        <v>21</v>
      </c>
      <c r="F235" s="3" t="str">
        <f t="shared" si="62"/>
        <v>Interferon gamma</v>
      </c>
      <c r="G235" s="4" t="str">
        <f t="shared" si="63"/>
        <v>AMG811</v>
      </c>
      <c r="H235" s="3" t="str">
        <f>HYPERLINK("https://www.cortellis.com/drugdiscovery/entity/biomarkers/41989","6-protein rheumatoid arthritis panel")</f>
        <v>6-protein rheumatoid arthritis panel</v>
      </c>
      <c r="I235" s="2" t="s">
        <v>23</v>
      </c>
      <c r="J235" s="2" t="s">
        <v>17</v>
      </c>
      <c r="K235" s="4" t="str">
        <f>HYPERLINK("https://www.cortellis.com/drugdiscovery/result/proxy/related-content/biomarkers/genestargets/41989","interferon gamma")</f>
        <v>interferon gamma</v>
      </c>
    </row>
    <row r="236" spans="1:11" ht="60" customHeight="1" x14ac:dyDescent="0.2">
      <c r="A236" s="2">
        <v>233</v>
      </c>
      <c r="B236" s="3" t="str">
        <f t="shared" si="59"/>
        <v>IFN-gamma</v>
      </c>
      <c r="C236" s="3" t="str">
        <f t="shared" si="60"/>
        <v>IFNG</v>
      </c>
      <c r="D236" s="3" t="str">
        <f t="shared" si="61"/>
        <v>IFNG_HUMAN</v>
      </c>
      <c r="E236" s="2" t="s">
        <v>21</v>
      </c>
      <c r="F236" s="3" t="str">
        <f t="shared" si="62"/>
        <v>Interferon gamma</v>
      </c>
      <c r="G236" s="4" t="str">
        <f t="shared" si="63"/>
        <v>AMG811</v>
      </c>
      <c r="H236" s="3" t="str">
        <f>HYPERLINK("https://www.cortellis.com/drugdiscovery/entity/biomarkers/49177","10-gene expression melanoma panel")</f>
        <v>10-gene expression melanoma panel</v>
      </c>
      <c r="I236" s="2" t="s">
        <v>18</v>
      </c>
      <c r="J236" s="2" t="s">
        <v>19</v>
      </c>
      <c r="K236" s="4" t="str">
        <f>HYPERLINK("https://www.cortellis.com/drugdiscovery/result/proxy/related-content/biomarkers/genestargets/49177","interferon gamma")</f>
        <v>interferon gamma</v>
      </c>
    </row>
    <row r="237" spans="1:11" ht="60" customHeight="1" x14ac:dyDescent="0.2">
      <c r="A237" s="2">
        <v>234</v>
      </c>
      <c r="B237" s="3" t="str">
        <f t="shared" si="59"/>
        <v>IFN-gamma</v>
      </c>
      <c r="C237" s="3" t="str">
        <f t="shared" si="60"/>
        <v>IFNG</v>
      </c>
      <c r="D237" s="3" t="str">
        <f t="shared" si="61"/>
        <v>IFNG_HUMAN</v>
      </c>
      <c r="E237" s="2" t="s">
        <v>21</v>
      </c>
      <c r="F237" s="3" t="str">
        <f t="shared" si="62"/>
        <v>Interferon gamma</v>
      </c>
      <c r="G237" s="4" t="str">
        <f t="shared" si="63"/>
        <v>AMG811</v>
      </c>
      <c r="H237" s="3" t="str">
        <f>HYPERLINK("https://www.cortellis.com/drugdiscovery/entity/biomarkers/50658","6-protein expression pulmonary tuberculosis panel")</f>
        <v>6-protein expression pulmonary tuberculosis panel</v>
      </c>
      <c r="I237" s="2" t="s">
        <v>23</v>
      </c>
      <c r="J237" s="2" t="s">
        <v>17</v>
      </c>
      <c r="K237" s="4" t="str">
        <f>HYPERLINK("https://www.cortellis.com/drugdiscovery/result/proxy/related-content/biomarkers/genestargets/50658","interferon gamma")</f>
        <v>interferon gamma</v>
      </c>
    </row>
    <row r="238" spans="1:11" ht="60" customHeight="1" x14ac:dyDescent="0.2">
      <c r="A238" s="2">
        <v>235</v>
      </c>
      <c r="B238" s="3" t="str">
        <f t="shared" si="59"/>
        <v>IFN-gamma</v>
      </c>
      <c r="C238" s="3" t="str">
        <f t="shared" si="60"/>
        <v>IFNG</v>
      </c>
      <c r="D238" s="3" t="str">
        <f t="shared" si="61"/>
        <v>IFNG_HUMAN</v>
      </c>
      <c r="E238" s="2" t="s">
        <v>21</v>
      </c>
      <c r="F238" s="3" t="str">
        <f t="shared" si="62"/>
        <v>Interferon gamma</v>
      </c>
      <c r="G238" s="4" t="str">
        <f t="shared" si="63"/>
        <v>AMG811</v>
      </c>
      <c r="H238" s="3" t="str">
        <f>HYPERLINK("https://www.cortellis.com/drugdiscovery/entity/biomarkers/50816","10-gene lyme disease panel")</f>
        <v>10-gene lyme disease panel</v>
      </c>
      <c r="I238" s="2" t="s">
        <v>23</v>
      </c>
      <c r="J238" s="2" t="s">
        <v>15</v>
      </c>
      <c r="K238" s="4" t="str">
        <f>HYPERLINK("https://www.cortellis.com/drugdiscovery/result/proxy/related-content/biomarkers/genestargets/50816","C-C motif chemokine ligand 2; interferon gamma; tumor necrosis factor")</f>
        <v>C-C motif chemokine ligand 2; interferon gamma; tumor necrosis factor</v>
      </c>
    </row>
    <row r="239" spans="1:11" ht="60" customHeight="1" x14ac:dyDescent="0.2">
      <c r="A239" s="2">
        <v>236</v>
      </c>
      <c r="B239" s="3" t="str">
        <f t="shared" si="59"/>
        <v>IFN-gamma</v>
      </c>
      <c r="C239" s="3" t="str">
        <f t="shared" si="60"/>
        <v>IFNG</v>
      </c>
      <c r="D239" s="3" t="str">
        <f t="shared" si="61"/>
        <v>IFNG_HUMAN</v>
      </c>
      <c r="E239" s="2" t="s">
        <v>21</v>
      </c>
      <c r="F239" s="3" t="str">
        <f t="shared" si="62"/>
        <v>Interferon gamma</v>
      </c>
      <c r="G239" s="4" t="str">
        <f t="shared" si="63"/>
        <v>AMG811</v>
      </c>
      <c r="H239" s="3" t="str">
        <f>HYPERLINK("https://www.cortellis.com/drugdiscovery/entity/biomarkers/50817","11-gene lyme disease panel")</f>
        <v>11-gene lyme disease panel</v>
      </c>
      <c r="I239" s="2" t="s">
        <v>23</v>
      </c>
      <c r="J239" s="2" t="s">
        <v>15</v>
      </c>
      <c r="K239" s="4" t="str">
        <f>HYPERLINK("https://www.cortellis.com/drugdiscovery/result/proxy/related-content/biomarkers/genestargets/50817","C-C motif chemokine ligand 2; interferon gamma; tumor necrosis factor")</f>
        <v>C-C motif chemokine ligand 2; interferon gamma; tumor necrosis factor</v>
      </c>
    </row>
    <row r="240" spans="1:11" ht="60" customHeight="1" x14ac:dyDescent="0.2">
      <c r="A240" s="2">
        <v>237</v>
      </c>
      <c r="B240" s="3" t="str">
        <f t="shared" si="59"/>
        <v>IFN-gamma</v>
      </c>
      <c r="C240" s="3" t="str">
        <f t="shared" si="60"/>
        <v>IFNG</v>
      </c>
      <c r="D240" s="3" t="str">
        <f t="shared" si="61"/>
        <v>IFNG_HUMAN</v>
      </c>
      <c r="E240" s="2" t="s">
        <v>21</v>
      </c>
      <c r="F240" s="3" t="str">
        <f t="shared" si="62"/>
        <v>Interferon gamma</v>
      </c>
      <c r="G240" s="4" t="str">
        <f t="shared" si="63"/>
        <v>AMG811</v>
      </c>
      <c r="H240" s="3" t="str">
        <f>HYPERLINK("https://www.cortellis.com/drugdiscovery/entity/biomarkers/50818","12 protein Lyme disease panel")</f>
        <v>12 protein Lyme disease panel</v>
      </c>
      <c r="I240" s="2" t="s">
        <v>23</v>
      </c>
      <c r="J240" s="2" t="s">
        <v>17</v>
      </c>
      <c r="K240" s="4" t="str">
        <f>HYPERLINK("https://www.cortellis.com/drugdiscovery/result/proxy/related-content/biomarkers/genestargets/50818","C-C motif chemokine ligand 2; interferon gamma; tumor necrosis factor")</f>
        <v>C-C motif chemokine ligand 2; interferon gamma; tumor necrosis factor</v>
      </c>
    </row>
    <row r="241" spans="1:11" ht="60" customHeight="1" x14ac:dyDescent="0.2">
      <c r="A241" s="2">
        <v>238</v>
      </c>
      <c r="B241" s="3" t="str">
        <f t="shared" si="59"/>
        <v>IFN-gamma</v>
      </c>
      <c r="C241" s="3" t="str">
        <f t="shared" si="60"/>
        <v>IFNG</v>
      </c>
      <c r="D241" s="3" t="str">
        <f t="shared" si="61"/>
        <v>IFNG_HUMAN</v>
      </c>
      <c r="E241" s="2" t="s">
        <v>21</v>
      </c>
      <c r="F241" s="3" t="str">
        <f t="shared" si="62"/>
        <v>Interferon gamma</v>
      </c>
      <c r="G241" s="4" t="str">
        <f t="shared" si="63"/>
        <v>AMG811</v>
      </c>
      <c r="H241" s="3" t="str">
        <f>HYPERLINK("https://www.cortellis.com/drugdiscovery/entity/biomarkers/50819","6-protein Lyme disease panel")</f>
        <v>6-protein Lyme disease panel</v>
      </c>
      <c r="I241" s="2" t="s">
        <v>23</v>
      </c>
      <c r="J241" s="2" t="s">
        <v>17</v>
      </c>
      <c r="K241" s="4" t="str">
        <f>HYPERLINK("https://www.cortellis.com/drugdiscovery/result/proxy/related-content/biomarkers/genestargets/50819","interferon gamma")</f>
        <v>interferon gamma</v>
      </c>
    </row>
    <row r="242" spans="1:11" ht="60" customHeight="1" x14ac:dyDescent="0.2">
      <c r="A242" s="2">
        <v>239</v>
      </c>
      <c r="B242" s="3" t="str">
        <f t="shared" si="59"/>
        <v>IFN-gamma</v>
      </c>
      <c r="C242" s="3" t="str">
        <f t="shared" si="60"/>
        <v>IFNG</v>
      </c>
      <c r="D242" s="3" t="str">
        <f t="shared" si="61"/>
        <v>IFNG_HUMAN</v>
      </c>
      <c r="E242" s="2" t="s">
        <v>21</v>
      </c>
      <c r="F242" s="3" t="str">
        <f t="shared" si="62"/>
        <v>Interferon gamma</v>
      </c>
      <c r="G242" s="4" t="str">
        <f t="shared" si="63"/>
        <v>AMG811</v>
      </c>
      <c r="H242" s="3" t="str">
        <f>HYPERLINK("https://www.cortellis.com/drugdiscovery/entity/biomarkers/52877","6-gene expression head and neck squamous cell carcinoma")</f>
        <v>6-gene expression head and neck squamous cell carcinoma</v>
      </c>
      <c r="I242" s="2" t="s">
        <v>18</v>
      </c>
      <c r="J242" s="2" t="s">
        <v>15</v>
      </c>
      <c r="K242" s="4" t="str">
        <f>HYPERLINK("https://www.cortellis.com/drugdiscovery/result/proxy/related-content/biomarkers/genestargets/52877","interferon gamma")</f>
        <v>interferon gamma</v>
      </c>
    </row>
    <row r="243" spans="1:11" ht="60" customHeight="1" x14ac:dyDescent="0.2">
      <c r="A243" s="2">
        <v>240</v>
      </c>
      <c r="B243" s="3" t="str">
        <f t="shared" si="59"/>
        <v>IFN-gamma</v>
      </c>
      <c r="C243" s="3" t="str">
        <f t="shared" si="60"/>
        <v>IFNG</v>
      </c>
      <c r="D243" s="3" t="str">
        <f t="shared" si="61"/>
        <v>IFNG_HUMAN</v>
      </c>
      <c r="E243" s="2" t="s">
        <v>21</v>
      </c>
      <c r="F243" s="3" t="str">
        <f t="shared" si="62"/>
        <v>Interferon gamma</v>
      </c>
      <c r="G243" s="4" t="str">
        <f t="shared" si="63"/>
        <v>AMG811</v>
      </c>
      <c r="H243" s="3" t="str">
        <f>HYPERLINK("https://www.cortellis.com/drugdiscovery/entity/biomarkers/53411","8-gene expression cancer panel")</f>
        <v>8-gene expression cancer panel</v>
      </c>
      <c r="I243" s="2" t="s">
        <v>23</v>
      </c>
      <c r="J243" s="2" t="s">
        <v>15</v>
      </c>
      <c r="K243" s="4" t="str">
        <f>HYPERLINK("https://www.cortellis.com/drugdiscovery/result/proxy/related-content/biomarkers/genestargets/53411","CD69 molecule; interferon gamma")</f>
        <v>CD69 molecule; interferon gamma</v>
      </c>
    </row>
    <row r="244" spans="1:11" ht="60" customHeight="1" x14ac:dyDescent="0.2">
      <c r="A244" s="2">
        <v>241</v>
      </c>
      <c r="B244" s="3" t="str">
        <f t="shared" si="59"/>
        <v>IFN-gamma</v>
      </c>
      <c r="C244" s="3" t="str">
        <f t="shared" si="60"/>
        <v>IFNG</v>
      </c>
      <c r="D244" s="3" t="str">
        <f t="shared" si="61"/>
        <v>IFNG_HUMAN</v>
      </c>
      <c r="E244" s="2" t="s">
        <v>21</v>
      </c>
      <c r="F244" s="3" t="str">
        <f t="shared" si="62"/>
        <v>Interferon gamma</v>
      </c>
      <c r="G244" s="4" t="str">
        <f t="shared" si="63"/>
        <v>AMG811</v>
      </c>
      <c r="H244" s="3" t="str">
        <f>HYPERLINK("https://www.cortellis.com/drugdiscovery/entity/biomarkers/53694","6-gene expression melanoma panel")</f>
        <v>6-gene expression melanoma panel</v>
      </c>
      <c r="I244" s="2" t="s">
        <v>18</v>
      </c>
      <c r="J244" s="2" t="s">
        <v>19</v>
      </c>
      <c r="K244" s="4" t="str">
        <f>HYPERLINK("https://www.cortellis.com/drugdiscovery/result/proxy/related-content/biomarkers/genestargets/53694","interferon gamma")</f>
        <v>interferon gamma</v>
      </c>
    </row>
    <row r="245" spans="1:11" ht="60" customHeight="1" x14ac:dyDescent="0.2">
      <c r="A245" s="2">
        <v>242</v>
      </c>
      <c r="B245" s="3" t="str">
        <f t="shared" si="59"/>
        <v>IFN-gamma</v>
      </c>
      <c r="C245" s="3" t="str">
        <f t="shared" si="60"/>
        <v>IFNG</v>
      </c>
      <c r="D245" s="3" t="str">
        <f t="shared" si="61"/>
        <v>IFNG_HUMAN</v>
      </c>
      <c r="E245" s="2" t="s">
        <v>21</v>
      </c>
      <c r="F245" s="3" t="str">
        <f t="shared" si="62"/>
        <v>Interferon gamma</v>
      </c>
      <c r="G245" s="4" t="str">
        <f t="shared" si="63"/>
        <v>AMG811</v>
      </c>
      <c r="H245" s="3" t="str">
        <f>HYPERLINK("https://www.cortellis.com/drugdiscovery/entity/biomarkers/54921","7-protein expression pulmonary tuberculosis panel ")</f>
        <v xml:space="preserve">7-protein expression pulmonary tuberculosis panel </v>
      </c>
      <c r="I245" s="2" t="s">
        <v>23</v>
      </c>
      <c r="J245" s="2" t="s">
        <v>17</v>
      </c>
      <c r="K245" s="4" t="str">
        <f>HYPERLINK("https://www.cortellis.com/drugdiscovery/result/proxy/related-content/biomarkers/genestargets/54921","interferon gamma")</f>
        <v>interferon gamma</v>
      </c>
    </row>
    <row r="246" spans="1:11" ht="60" customHeight="1" x14ac:dyDescent="0.2">
      <c r="A246" s="2">
        <v>243</v>
      </c>
      <c r="B246" s="3" t="str">
        <f t="shared" si="59"/>
        <v>IFN-gamma</v>
      </c>
      <c r="C246" s="3" t="str">
        <f t="shared" si="60"/>
        <v>IFNG</v>
      </c>
      <c r="D246" s="3" t="str">
        <f t="shared" si="61"/>
        <v>IFNG_HUMAN</v>
      </c>
      <c r="E246" s="2" t="s">
        <v>21</v>
      </c>
      <c r="F246" s="3" t="str">
        <f t="shared" si="62"/>
        <v>Interferon gamma</v>
      </c>
      <c r="G246" s="4" t="str">
        <f t="shared" si="63"/>
        <v>AMG811</v>
      </c>
      <c r="H246" s="3" t="str">
        <f>HYPERLINK("https://www.cortellis.com/drugdiscovery/entity/biomarkers/55724","4-gene expression non small cell lung cancer panel")</f>
        <v>4-gene expression non small cell lung cancer panel</v>
      </c>
      <c r="I246" s="2" t="s">
        <v>18</v>
      </c>
      <c r="J246" s="2" t="s">
        <v>19</v>
      </c>
      <c r="K246" s="4" t="str">
        <f>HYPERLINK("https://www.cortellis.com/drugdiscovery/result/proxy/related-content/biomarkers/genestargets/55724","CD274 molecule; interferon gamma")</f>
        <v>CD274 molecule; interferon gamma</v>
      </c>
    </row>
    <row r="247" spans="1:11" ht="60" customHeight="1" x14ac:dyDescent="0.2">
      <c r="A247" s="2">
        <v>244</v>
      </c>
      <c r="B247" s="3" t="str">
        <f t="shared" si="59"/>
        <v>IFN-gamma</v>
      </c>
      <c r="C247" s="3" t="str">
        <f t="shared" si="60"/>
        <v>IFNG</v>
      </c>
      <c r="D247" s="3" t="str">
        <f t="shared" si="61"/>
        <v>IFNG_HUMAN</v>
      </c>
      <c r="E247" s="2" t="s">
        <v>21</v>
      </c>
      <c r="F247" s="3" t="str">
        <f t="shared" si="62"/>
        <v>Interferon gamma</v>
      </c>
      <c r="G247" s="4" t="str">
        <f t="shared" si="63"/>
        <v>AMG811</v>
      </c>
      <c r="H247" s="3" t="str">
        <f>HYPERLINK("https://www.cortellis.com/drugdiscovery/entity/biomarkers/57250","9-protein non-muscle invasive bladder cancer panel")</f>
        <v>9-protein non-muscle invasive bladder cancer panel</v>
      </c>
      <c r="I247" s="2" t="s">
        <v>18</v>
      </c>
      <c r="J247" s="2" t="s">
        <v>17</v>
      </c>
      <c r="K247" s="4" t="str">
        <f>HYPERLINK("https://www.cortellis.com/drugdiscovery/result/proxy/related-content/biomarkers/genestargets/57250","interferon gamma; interleukin 12B; tumor necrosis factor")</f>
        <v>interferon gamma; interleukin 12B; tumor necrosis factor</v>
      </c>
    </row>
    <row r="248" spans="1:11" ht="60" customHeight="1" x14ac:dyDescent="0.2">
      <c r="A248" s="2">
        <v>245</v>
      </c>
      <c r="B248" s="3" t="str">
        <f t="shared" si="59"/>
        <v>IFN-gamma</v>
      </c>
      <c r="C248" s="3" t="str">
        <f t="shared" si="60"/>
        <v>IFNG</v>
      </c>
      <c r="D248" s="3" t="str">
        <f t="shared" si="61"/>
        <v>IFNG_HUMAN</v>
      </c>
      <c r="E248" s="2" t="s">
        <v>21</v>
      </c>
      <c r="F248" s="3" t="str">
        <f t="shared" si="62"/>
        <v>Interferon gamma</v>
      </c>
      <c r="G248" s="4" t="str">
        <f t="shared" si="63"/>
        <v>AMG811</v>
      </c>
      <c r="H248" s="3" t="str">
        <f>HYPERLINK("https://www.cortellis.com/drugdiscovery/entity/biomarkers/58056","28-gene expression melanoma panel")</f>
        <v>28-gene expression melanoma panel</v>
      </c>
      <c r="I248" s="2" t="s">
        <v>18</v>
      </c>
      <c r="J248" s="2" t="s">
        <v>19</v>
      </c>
      <c r="K248" s="4" t="str">
        <f>HYPERLINK("https://www.cortellis.com/drugdiscovery/result/proxy/related-content/biomarkers/genestargets/58056","interferon gamma; protein tyrosine phosphatase receptor type C")</f>
        <v>interferon gamma; protein tyrosine phosphatase receptor type C</v>
      </c>
    </row>
    <row r="249" spans="1:11" ht="60" customHeight="1" x14ac:dyDescent="0.2">
      <c r="A249" s="2">
        <v>246</v>
      </c>
      <c r="B249" s="3" t="str">
        <f t="shared" si="59"/>
        <v>IFN-gamma</v>
      </c>
      <c r="C249" s="3" t="str">
        <f t="shared" si="60"/>
        <v>IFNG</v>
      </c>
      <c r="D249" s="3" t="str">
        <f t="shared" si="61"/>
        <v>IFNG_HUMAN</v>
      </c>
      <c r="E249" s="2" t="s">
        <v>21</v>
      </c>
      <c r="F249" s="3" t="str">
        <f t="shared" si="62"/>
        <v>Interferon gamma</v>
      </c>
      <c r="G249" s="4" t="str">
        <f t="shared" si="63"/>
        <v>AMG811</v>
      </c>
      <c r="H249" s="3" t="str">
        <f>HYPERLINK("https://www.cortellis.com/drugdiscovery/entity/biomarkers/60578","4-gene expression lung cancer panel")</f>
        <v>4-gene expression lung cancer panel</v>
      </c>
      <c r="I249" s="2" t="s">
        <v>46</v>
      </c>
      <c r="J249" s="2" t="s">
        <v>15</v>
      </c>
      <c r="K249" s="4" t="str">
        <f>HYPERLINK("https://www.cortellis.com/drugdiscovery/result/proxy/related-content/biomarkers/genestargets/60578","CD274 molecule; interferon gamma")</f>
        <v>CD274 molecule; interferon gamma</v>
      </c>
    </row>
    <row r="250" spans="1:11" ht="60" customHeight="1" x14ac:dyDescent="0.2">
      <c r="A250" s="2">
        <v>247</v>
      </c>
      <c r="B250" s="3" t="str">
        <f t="shared" si="59"/>
        <v>IFN-gamma</v>
      </c>
      <c r="C250" s="3" t="str">
        <f t="shared" si="60"/>
        <v>IFNG</v>
      </c>
      <c r="D250" s="3" t="str">
        <f t="shared" si="61"/>
        <v>IFNG_HUMAN</v>
      </c>
      <c r="E250" s="2" t="s">
        <v>21</v>
      </c>
      <c r="F250" s="3" t="str">
        <f t="shared" si="62"/>
        <v>Interferon gamma</v>
      </c>
      <c r="G250" s="4" t="str">
        <f t="shared" si="63"/>
        <v>AMG811</v>
      </c>
      <c r="H250" s="3" t="str">
        <f>HYPERLINK("https://www.cortellis.com/drugdiscovery/entity/biomarkers/61602","DYRK2-IFNG fusion protein")</f>
        <v>DYRK2-IFNG fusion protein</v>
      </c>
      <c r="I250" s="2" t="s">
        <v>34</v>
      </c>
      <c r="J250" s="2" t="s">
        <v>15</v>
      </c>
      <c r="K250" s="4" t="str">
        <f>HYPERLINK("https://www.cortellis.com/drugdiscovery/result/proxy/related-content/biomarkers/genestargets/61602","interferon gamma")</f>
        <v>interferon gamma</v>
      </c>
    </row>
    <row r="251" spans="1:11" ht="60" customHeight="1" x14ac:dyDescent="0.2">
      <c r="A251" s="2">
        <v>248</v>
      </c>
      <c r="B251" s="3" t="str">
        <f t="shared" si="59"/>
        <v>IFN-gamma</v>
      </c>
      <c r="C251" s="3" t="str">
        <f t="shared" si="60"/>
        <v>IFNG</v>
      </c>
      <c r="D251" s="3" t="str">
        <f t="shared" si="61"/>
        <v>IFNG_HUMAN</v>
      </c>
      <c r="E251" s="2" t="s">
        <v>21</v>
      </c>
      <c r="F251" s="3" t="str">
        <f t="shared" si="62"/>
        <v>Interferon gamma</v>
      </c>
      <c r="G251" s="4" t="str">
        <f t="shared" si="63"/>
        <v>AMG811</v>
      </c>
      <c r="H251" s="3" t="str">
        <f>HYPERLINK("https://www.cortellis.com/drugdiscovery/entity/biomarkers/62663","9-protein immunological disorders panel")</f>
        <v>9-protein immunological disorders panel</v>
      </c>
      <c r="I251" s="2" t="s">
        <v>24</v>
      </c>
      <c r="J251" s="2" t="s">
        <v>17</v>
      </c>
      <c r="K251" s="4" t="str">
        <f>HYPERLINK("https://www.cortellis.com/drugdiscovery/result/proxy/related-content/biomarkers/genestargets/62663","C-C motif chemokine ligand 2; interferon gamma; tumor necrosis factor")</f>
        <v>C-C motif chemokine ligand 2; interferon gamma; tumor necrosis factor</v>
      </c>
    </row>
    <row r="252" spans="1:11" ht="60" customHeight="1" x14ac:dyDescent="0.2">
      <c r="A252" s="2">
        <v>249</v>
      </c>
      <c r="B252" s="3" t="str">
        <f t="shared" si="59"/>
        <v>IFN-gamma</v>
      </c>
      <c r="C252" s="3" t="str">
        <f t="shared" si="60"/>
        <v>IFNG</v>
      </c>
      <c r="D252" s="3" t="str">
        <f t="shared" si="61"/>
        <v>IFNG_HUMAN</v>
      </c>
      <c r="E252" s="2" t="s">
        <v>21</v>
      </c>
      <c r="F252" s="3" t="str">
        <f t="shared" si="62"/>
        <v>Interferon gamma</v>
      </c>
      <c r="G252" s="4" t="str">
        <f t="shared" si="63"/>
        <v>AMG811</v>
      </c>
      <c r="H252" s="3" t="str">
        <f>HYPERLINK("https://www.cortellis.com/drugdiscovery/entity/biomarkers/62680","4-gene expression stomach cancer panel")</f>
        <v>4-gene expression stomach cancer panel</v>
      </c>
      <c r="I252" s="2" t="s">
        <v>24</v>
      </c>
      <c r="J252" s="2" t="s">
        <v>19</v>
      </c>
      <c r="K252" s="4" t="str">
        <f>HYPERLINK("https://www.cortellis.com/drugdiscovery/result/proxy/related-content/biomarkers/genestargets/62680","CD274 molecule; interferon gamma")</f>
        <v>CD274 molecule; interferon gamma</v>
      </c>
    </row>
    <row r="253" spans="1:11" ht="60" customHeight="1" x14ac:dyDescent="0.2">
      <c r="A253" s="2">
        <v>250</v>
      </c>
      <c r="B253" s="3" t="str">
        <f t="shared" si="59"/>
        <v>IFN-gamma</v>
      </c>
      <c r="C253" s="3" t="str">
        <f t="shared" si="60"/>
        <v>IFNG</v>
      </c>
      <c r="D253" s="3" t="str">
        <f t="shared" si="61"/>
        <v>IFNG_HUMAN</v>
      </c>
      <c r="E253" s="2" t="s">
        <v>21</v>
      </c>
      <c r="F253" s="3" t="str">
        <f t="shared" si="62"/>
        <v>Interferon gamma</v>
      </c>
      <c r="G253" s="4" t="str">
        <f t="shared" si="63"/>
        <v>AMG811</v>
      </c>
      <c r="H253" s="3" t="str">
        <f>HYPERLINK("https://www.cortellis.com/drugdiscovery/entity/biomarkers/63914","5-gene expression melanoma panel")</f>
        <v>5-gene expression melanoma panel</v>
      </c>
      <c r="I253" s="2" t="s">
        <v>18</v>
      </c>
      <c r="J253" s="2" t="s">
        <v>19</v>
      </c>
      <c r="K253" s="4" t="str">
        <f>HYPERLINK("https://www.cortellis.com/drugdiscovery/result/proxy/related-content/biomarkers/genestargets/63914","interferon gamma")</f>
        <v>interferon gamma</v>
      </c>
    </row>
    <row r="254" spans="1:11" ht="60" customHeight="1" x14ac:dyDescent="0.2">
      <c r="A254" s="2">
        <v>251</v>
      </c>
      <c r="B254" s="3" t="str">
        <f t="shared" si="59"/>
        <v>IFN-gamma</v>
      </c>
      <c r="C254" s="3" t="str">
        <f t="shared" si="60"/>
        <v>IFNG</v>
      </c>
      <c r="D254" s="3" t="str">
        <f t="shared" si="61"/>
        <v>IFNG_HUMAN</v>
      </c>
      <c r="E254" s="2" t="s">
        <v>21</v>
      </c>
      <c r="F254" s="3" t="str">
        <f t="shared" si="62"/>
        <v>Interferon gamma</v>
      </c>
      <c r="G254" s="4" t="str">
        <f t="shared" si="63"/>
        <v>AMG811</v>
      </c>
      <c r="H254" s="3" t="str">
        <f>HYPERLINK("https://www.cortellis.com/drugdiscovery/entity/biomarkers/64861","35-gene expresssion cancer panel")</f>
        <v>35-gene expresssion cancer panel</v>
      </c>
      <c r="I254" s="2" t="s">
        <v>38</v>
      </c>
      <c r="J254" s="2" t="s">
        <v>15</v>
      </c>
      <c r="K254" s="4" t="str">
        <f>HYPERLINK("https://www.cortellis.com/drugdiscovery/result/proxy/related-content/biomarkers/genestargets/64861","CD274 molecule; CD69 molecule; interferon gamma")</f>
        <v>CD274 molecule; CD69 molecule; interferon gamma</v>
      </c>
    </row>
    <row r="255" spans="1:11" ht="60" customHeight="1" x14ac:dyDescent="0.2">
      <c r="A255" s="2">
        <v>252</v>
      </c>
      <c r="B255" s="3" t="str">
        <f t="shared" si="59"/>
        <v>IFN-gamma</v>
      </c>
      <c r="C255" s="3" t="str">
        <f t="shared" si="60"/>
        <v>IFNG</v>
      </c>
      <c r="D255" s="3" t="str">
        <f t="shared" si="61"/>
        <v>IFNG_HUMAN</v>
      </c>
      <c r="E255" s="2" t="s">
        <v>21</v>
      </c>
      <c r="F255" s="3" t="str">
        <f t="shared" si="62"/>
        <v>Interferon gamma</v>
      </c>
      <c r="G255" s="4" t="str">
        <f t="shared" ref="G255:G284" si="64">HYPERLINK("https://portal.genego.com/cgi/entity_page.cgi?term=7&amp;id=1280588290","Fontolizumab")</f>
        <v>Fontolizumab</v>
      </c>
      <c r="H255" s="3" t="str">
        <f>HYPERLINK("https://www.cortellis.com/drugdiscovery/entity/biomarkers/252","Interferon gamma")</f>
        <v>Interferon gamma</v>
      </c>
      <c r="I255" s="2" t="s">
        <v>45</v>
      </c>
      <c r="J255" s="2" t="s">
        <v>15</v>
      </c>
      <c r="K255" s="4" t="str">
        <f>HYPERLINK("https://www.cortellis.com/drugdiscovery/result/proxy/related-content/biomarkers/genestargets/252","interferon gamma")</f>
        <v>interferon gamma</v>
      </c>
    </row>
    <row r="256" spans="1:11" ht="60" customHeight="1" x14ac:dyDescent="0.2">
      <c r="A256" s="2">
        <v>253</v>
      </c>
      <c r="B256" s="3" t="str">
        <f t="shared" si="59"/>
        <v>IFN-gamma</v>
      </c>
      <c r="C256" s="3" t="str">
        <f t="shared" si="60"/>
        <v>IFNG</v>
      </c>
      <c r="D256" s="3" t="str">
        <f t="shared" si="61"/>
        <v>IFNG_HUMAN</v>
      </c>
      <c r="E256" s="2" t="s">
        <v>21</v>
      </c>
      <c r="F256" s="3" t="str">
        <f t="shared" si="62"/>
        <v>Interferon gamma</v>
      </c>
      <c r="G256" s="4" t="str">
        <f t="shared" si="64"/>
        <v>Fontolizumab</v>
      </c>
      <c r="H256" s="3" t="str">
        <f>HYPERLINK("https://www.cortellis.com/drugdiscovery/entity/biomarkers/27598","89-protein neurological alzheimer's panel")</f>
        <v>89-protein neurological alzheimer's panel</v>
      </c>
      <c r="I256" s="2" t="s">
        <v>23</v>
      </c>
      <c r="J256" s="2" t="s">
        <v>17</v>
      </c>
      <c r="K256"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57" spans="1:11" ht="60" customHeight="1" x14ac:dyDescent="0.2">
      <c r="A257" s="2">
        <v>254</v>
      </c>
      <c r="B257" s="3" t="str">
        <f t="shared" si="59"/>
        <v>IFN-gamma</v>
      </c>
      <c r="C257" s="3" t="str">
        <f t="shared" si="60"/>
        <v>IFNG</v>
      </c>
      <c r="D257" s="3" t="str">
        <f t="shared" si="61"/>
        <v>IFNG_HUMAN</v>
      </c>
      <c r="E257" s="2" t="s">
        <v>21</v>
      </c>
      <c r="F257" s="3" t="str">
        <f t="shared" si="62"/>
        <v>Interferon gamma</v>
      </c>
      <c r="G257" s="4" t="str">
        <f t="shared" si="64"/>
        <v>Fontolizumab</v>
      </c>
      <c r="H257" s="3" t="str">
        <f>HYPERLINK("https://www.cortellis.com/drugdiscovery/entity/biomarkers/27734","6-protein lung cancer panel")</f>
        <v>6-protein lung cancer panel</v>
      </c>
      <c r="I257" s="2" t="s">
        <v>23</v>
      </c>
      <c r="J257" s="2" t="s">
        <v>17</v>
      </c>
      <c r="K257" s="4" t="str">
        <f>HYPERLINK("https://www.cortellis.com/drugdiscovery/result/proxy/related-content/biomarkers/genestargets/27734","interferon gamma; tumor necrosis factor")</f>
        <v>interferon gamma; tumor necrosis factor</v>
      </c>
    </row>
    <row r="258" spans="1:11" ht="60" customHeight="1" x14ac:dyDescent="0.2">
      <c r="A258" s="2">
        <v>255</v>
      </c>
      <c r="B258" s="3" t="str">
        <f t="shared" si="59"/>
        <v>IFN-gamma</v>
      </c>
      <c r="C258" s="3" t="str">
        <f t="shared" si="60"/>
        <v>IFNG</v>
      </c>
      <c r="D258" s="3" t="str">
        <f t="shared" si="61"/>
        <v>IFNG_HUMAN</v>
      </c>
      <c r="E258" s="2" t="s">
        <v>21</v>
      </c>
      <c r="F258" s="3" t="str">
        <f t="shared" si="62"/>
        <v>Interferon gamma</v>
      </c>
      <c r="G258" s="4" t="str">
        <f t="shared" si="64"/>
        <v>Fontolizumab</v>
      </c>
      <c r="H258" s="3" t="str">
        <f>HYPERLINK("https://www.cortellis.com/drugdiscovery/entity/biomarkers/28132","6-gene expression esophageal cancer panel")</f>
        <v>6-gene expression esophageal cancer panel</v>
      </c>
      <c r="I258" s="2" t="s">
        <v>25</v>
      </c>
      <c r="J258" s="2" t="s">
        <v>19</v>
      </c>
      <c r="K258" s="4" t="str">
        <f>HYPERLINK("https://www.cortellis.com/drugdiscovery/result/proxy/related-content/biomarkers/genestargets/28132","interferon gamma")</f>
        <v>interferon gamma</v>
      </c>
    </row>
    <row r="259" spans="1:11" ht="60" customHeight="1" x14ac:dyDescent="0.2">
      <c r="A259" s="2">
        <v>256</v>
      </c>
      <c r="B259" s="3" t="str">
        <f t="shared" si="59"/>
        <v>IFN-gamma</v>
      </c>
      <c r="C259" s="3" t="str">
        <f t="shared" si="60"/>
        <v>IFNG</v>
      </c>
      <c r="D259" s="3" t="str">
        <f t="shared" si="61"/>
        <v>IFNG_HUMAN</v>
      </c>
      <c r="E259" s="2" t="s">
        <v>21</v>
      </c>
      <c r="F259" s="3" t="str">
        <f t="shared" si="62"/>
        <v>Interferon gamma</v>
      </c>
      <c r="G259" s="4" t="str">
        <f t="shared" si="64"/>
        <v>Fontolizumab</v>
      </c>
      <c r="H259" s="3" t="str">
        <f>HYPERLINK("https://www.cortellis.com/drugdiscovery/entity/biomarkers/28148","11-gene expression lung cancer panel")</f>
        <v>11-gene expression lung cancer panel</v>
      </c>
      <c r="I259" s="2" t="s">
        <v>25</v>
      </c>
      <c r="J259" s="2" t="s">
        <v>19</v>
      </c>
      <c r="K259" s="4" t="str">
        <f>HYPERLINK("https://www.cortellis.com/drugdiscovery/result/proxy/related-content/biomarkers/genestargets/28148","interferon gamma; interleukin 15; tumor necrosis factor")</f>
        <v>interferon gamma; interleukin 15; tumor necrosis factor</v>
      </c>
    </row>
    <row r="260" spans="1:11" ht="60" customHeight="1" x14ac:dyDescent="0.2">
      <c r="A260" s="2">
        <v>257</v>
      </c>
      <c r="B260" s="3" t="str">
        <f t="shared" si="59"/>
        <v>IFN-gamma</v>
      </c>
      <c r="C260" s="3" t="str">
        <f t="shared" si="60"/>
        <v>IFNG</v>
      </c>
      <c r="D260" s="3" t="str">
        <f t="shared" si="61"/>
        <v>IFNG_HUMAN</v>
      </c>
      <c r="E260" s="2" t="s">
        <v>21</v>
      </c>
      <c r="F260" s="3" t="str">
        <f t="shared" si="62"/>
        <v>Interferon gamma</v>
      </c>
      <c r="G260" s="4" t="str">
        <f t="shared" si="64"/>
        <v>Fontolizumab</v>
      </c>
      <c r="H260" s="3" t="str">
        <f>HYPERLINK("https://www.cortellis.com/drugdiscovery/entity/biomarkers/28647","15-gene expression lung cancer panel")</f>
        <v>15-gene expression lung cancer panel</v>
      </c>
      <c r="I260" s="2" t="s">
        <v>20</v>
      </c>
      <c r="J260" s="2" t="s">
        <v>19</v>
      </c>
      <c r="K260" s="4" t="str">
        <f>HYPERLINK("https://www.cortellis.com/drugdiscovery/result/proxy/related-content/biomarkers/genestargets/28647","interferon gamma; interleukin 15; tumor necrosis factor")</f>
        <v>interferon gamma; interleukin 15; tumor necrosis factor</v>
      </c>
    </row>
    <row r="261" spans="1:11" ht="60" customHeight="1" x14ac:dyDescent="0.2">
      <c r="A261" s="2">
        <v>258</v>
      </c>
      <c r="B261" s="3" t="str">
        <f t="shared" si="59"/>
        <v>IFN-gamma</v>
      </c>
      <c r="C261" s="3" t="str">
        <f t="shared" si="60"/>
        <v>IFNG</v>
      </c>
      <c r="D261" s="3" t="str">
        <f t="shared" si="61"/>
        <v>IFNG_HUMAN</v>
      </c>
      <c r="E261" s="2" t="s">
        <v>21</v>
      </c>
      <c r="F261" s="3" t="str">
        <f t="shared" si="62"/>
        <v>Interferon gamma</v>
      </c>
      <c r="G261" s="4" t="str">
        <f t="shared" si="64"/>
        <v>Fontolizumab</v>
      </c>
      <c r="H261" s="3" t="str">
        <f>HYPERLINK("https://www.cortellis.com/drugdiscovery/entity/biomarkers/30768","11-protein cardiovascular panel")</f>
        <v>11-protein cardiovascular panel</v>
      </c>
      <c r="I261" s="2" t="s">
        <v>23</v>
      </c>
      <c r="J261" s="2" t="s">
        <v>17</v>
      </c>
      <c r="K261" s="4" t="str">
        <f>HYPERLINK("https://www.cortellis.com/drugdiscovery/result/proxy/related-content/biomarkers/genestargets/30768","interferon gamma; interleukin 12B; tumor necrosis factor")</f>
        <v>interferon gamma; interleukin 12B; tumor necrosis factor</v>
      </c>
    </row>
    <row r="262" spans="1:11" ht="60" customHeight="1" x14ac:dyDescent="0.2">
      <c r="A262" s="2">
        <v>259</v>
      </c>
      <c r="B262" s="3" t="str">
        <f t="shared" si="59"/>
        <v>IFN-gamma</v>
      </c>
      <c r="C262" s="3" t="str">
        <f t="shared" si="60"/>
        <v>IFNG</v>
      </c>
      <c r="D262" s="3" t="str">
        <f t="shared" si="61"/>
        <v>IFNG_HUMAN</v>
      </c>
      <c r="E262" s="2" t="s">
        <v>21</v>
      </c>
      <c r="F262" s="3" t="str">
        <f t="shared" si="62"/>
        <v>Interferon gamma</v>
      </c>
      <c r="G262" s="4" t="str">
        <f t="shared" si="64"/>
        <v>Fontolizumab</v>
      </c>
      <c r="H262" s="3" t="str">
        <f>HYPERLINK("https://www.cortellis.com/drugdiscovery/entity/biomarkers/36125","10-protein respiratory panel")</f>
        <v>10-protein respiratory panel</v>
      </c>
      <c r="I262" s="2" t="s">
        <v>25</v>
      </c>
      <c r="J262" s="2" t="s">
        <v>17</v>
      </c>
      <c r="K262" s="4" t="str">
        <f>HYPERLINK("https://www.cortellis.com/drugdiscovery/result/proxy/related-content/biomarkers/genestargets/36125","interferon gamma; tumor necrosis factor")</f>
        <v>interferon gamma; tumor necrosis factor</v>
      </c>
    </row>
    <row r="263" spans="1:11" ht="60" customHeight="1" x14ac:dyDescent="0.2">
      <c r="A263" s="2">
        <v>260</v>
      </c>
      <c r="B263" s="3" t="str">
        <f t="shared" si="59"/>
        <v>IFN-gamma</v>
      </c>
      <c r="C263" s="3" t="str">
        <f t="shared" si="60"/>
        <v>IFNG</v>
      </c>
      <c r="D263" s="3" t="str">
        <f t="shared" si="61"/>
        <v>IFNG_HUMAN</v>
      </c>
      <c r="E263" s="2" t="s">
        <v>21</v>
      </c>
      <c r="F263" s="3" t="str">
        <f t="shared" si="62"/>
        <v>Interferon gamma</v>
      </c>
      <c r="G263" s="4" t="str">
        <f t="shared" si="64"/>
        <v>Fontolizumab</v>
      </c>
      <c r="H263" s="3" t="str">
        <f>HYPERLINK("https://www.cortellis.com/drugdiscovery/entity/biomarkers/36127","3-protein respiratory panel")</f>
        <v>3-protein respiratory panel</v>
      </c>
      <c r="I263" s="2" t="s">
        <v>25</v>
      </c>
      <c r="J263" s="2" t="s">
        <v>17</v>
      </c>
      <c r="K263" s="4" t="str">
        <f>HYPERLINK("https://www.cortellis.com/drugdiscovery/result/proxy/related-content/biomarkers/genestargets/36127","interferon gamma; tumor necrosis factor")</f>
        <v>interferon gamma; tumor necrosis factor</v>
      </c>
    </row>
    <row r="264" spans="1:11" ht="60" customHeight="1" x14ac:dyDescent="0.2">
      <c r="A264" s="2">
        <v>261</v>
      </c>
      <c r="B264" s="3" t="str">
        <f t="shared" si="59"/>
        <v>IFN-gamma</v>
      </c>
      <c r="C264" s="3" t="str">
        <f t="shared" si="60"/>
        <v>IFNG</v>
      </c>
      <c r="D264" s="3" t="str">
        <f t="shared" si="61"/>
        <v>IFNG_HUMAN</v>
      </c>
      <c r="E264" s="2" t="s">
        <v>21</v>
      </c>
      <c r="F264" s="3" t="str">
        <f t="shared" si="62"/>
        <v>Interferon gamma</v>
      </c>
      <c r="G264" s="4" t="str">
        <f t="shared" si="64"/>
        <v>Fontolizumab</v>
      </c>
      <c r="H264" s="3" t="str">
        <f>HYPERLINK("https://www.cortellis.com/drugdiscovery/entity/biomarkers/41847","12-protein cardiovascular disorder panel")</f>
        <v>12-protein cardiovascular disorder panel</v>
      </c>
      <c r="I264" s="2" t="s">
        <v>18</v>
      </c>
      <c r="J264" s="2" t="s">
        <v>17</v>
      </c>
      <c r="K264" s="4" t="str">
        <f>HYPERLINK("https://www.cortellis.com/drugdiscovery/result/proxy/related-content/biomarkers/genestargets/41847","interferon gamma")</f>
        <v>interferon gamma</v>
      </c>
    </row>
    <row r="265" spans="1:11" ht="60" customHeight="1" x14ac:dyDescent="0.2">
      <c r="A265" s="2">
        <v>262</v>
      </c>
      <c r="B265" s="3" t="str">
        <f t="shared" si="59"/>
        <v>IFN-gamma</v>
      </c>
      <c r="C265" s="3" t="str">
        <f t="shared" si="60"/>
        <v>IFNG</v>
      </c>
      <c r="D265" s="3" t="str">
        <f t="shared" si="61"/>
        <v>IFNG_HUMAN</v>
      </c>
      <c r="E265" s="2" t="s">
        <v>21</v>
      </c>
      <c r="F265" s="3" t="str">
        <f t="shared" si="62"/>
        <v>Interferon gamma</v>
      </c>
      <c r="G265" s="4" t="str">
        <f t="shared" si="64"/>
        <v>Fontolizumab</v>
      </c>
      <c r="H265" s="3" t="str">
        <f>HYPERLINK("https://www.cortellis.com/drugdiscovery/entity/biomarkers/41989","6-protein rheumatoid arthritis panel")</f>
        <v>6-protein rheumatoid arthritis panel</v>
      </c>
      <c r="I265" s="2" t="s">
        <v>23</v>
      </c>
      <c r="J265" s="2" t="s">
        <v>17</v>
      </c>
      <c r="K265" s="4" t="str">
        <f>HYPERLINK("https://www.cortellis.com/drugdiscovery/result/proxy/related-content/biomarkers/genestargets/41989","interferon gamma")</f>
        <v>interferon gamma</v>
      </c>
    </row>
    <row r="266" spans="1:11" ht="60" customHeight="1" x14ac:dyDescent="0.2">
      <c r="A266" s="2">
        <v>263</v>
      </c>
      <c r="B266" s="3" t="str">
        <f t="shared" si="59"/>
        <v>IFN-gamma</v>
      </c>
      <c r="C266" s="3" t="str">
        <f t="shared" si="60"/>
        <v>IFNG</v>
      </c>
      <c r="D266" s="3" t="str">
        <f t="shared" si="61"/>
        <v>IFNG_HUMAN</v>
      </c>
      <c r="E266" s="2" t="s">
        <v>21</v>
      </c>
      <c r="F266" s="3" t="str">
        <f t="shared" si="62"/>
        <v>Interferon gamma</v>
      </c>
      <c r="G266" s="4" t="str">
        <f t="shared" si="64"/>
        <v>Fontolizumab</v>
      </c>
      <c r="H266" s="3" t="str">
        <f>HYPERLINK("https://www.cortellis.com/drugdiscovery/entity/biomarkers/49177","10-gene expression melanoma panel")</f>
        <v>10-gene expression melanoma panel</v>
      </c>
      <c r="I266" s="2" t="s">
        <v>18</v>
      </c>
      <c r="J266" s="2" t="s">
        <v>19</v>
      </c>
      <c r="K266" s="4" t="str">
        <f>HYPERLINK("https://www.cortellis.com/drugdiscovery/result/proxy/related-content/biomarkers/genestargets/49177","interferon gamma")</f>
        <v>interferon gamma</v>
      </c>
    </row>
    <row r="267" spans="1:11" ht="60" customHeight="1" x14ac:dyDescent="0.2">
      <c r="A267" s="2">
        <v>264</v>
      </c>
      <c r="B267" s="3" t="str">
        <f t="shared" si="59"/>
        <v>IFN-gamma</v>
      </c>
      <c r="C267" s="3" t="str">
        <f t="shared" si="60"/>
        <v>IFNG</v>
      </c>
      <c r="D267" s="3" t="str">
        <f t="shared" si="61"/>
        <v>IFNG_HUMAN</v>
      </c>
      <c r="E267" s="2" t="s">
        <v>21</v>
      </c>
      <c r="F267" s="3" t="str">
        <f t="shared" si="62"/>
        <v>Interferon gamma</v>
      </c>
      <c r="G267" s="4" t="str">
        <f t="shared" si="64"/>
        <v>Fontolizumab</v>
      </c>
      <c r="H267" s="3" t="str">
        <f>HYPERLINK("https://www.cortellis.com/drugdiscovery/entity/biomarkers/50658","6-protein expression pulmonary tuberculosis panel")</f>
        <v>6-protein expression pulmonary tuberculosis panel</v>
      </c>
      <c r="I267" s="2" t="s">
        <v>23</v>
      </c>
      <c r="J267" s="2" t="s">
        <v>17</v>
      </c>
      <c r="K267" s="4" t="str">
        <f>HYPERLINK("https://www.cortellis.com/drugdiscovery/result/proxy/related-content/biomarkers/genestargets/50658","interferon gamma")</f>
        <v>interferon gamma</v>
      </c>
    </row>
    <row r="268" spans="1:11" ht="60" customHeight="1" x14ac:dyDescent="0.2">
      <c r="A268" s="2">
        <v>265</v>
      </c>
      <c r="B268" s="3" t="str">
        <f t="shared" si="59"/>
        <v>IFN-gamma</v>
      </c>
      <c r="C268" s="3" t="str">
        <f t="shared" si="60"/>
        <v>IFNG</v>
      </c>
      <c r="D268" s="3" t="str">
        <f t="shared" si="61"/>
        <v>IFNG_HUMAN</v>
      </c>
      <c r="E268" s="2" t="s">
        <v>21</v>
      </c>
      <c r="F268" s="3" t="str">
        <f t="shared" si="62"/>
        <v>Interferon gamma</v>
      </c>
      <c r="G268" s="4" t="str">
        <f t="shared" si="64"/>
        <v>Fontolizumab</v>
      </c>
      <c r="H268" s="3" t="str">
        <f>HYPERLINK("https://www.cortellis.com/drugdiscovery/entity/biomarkers/50816","10-gene lyme disease panel")</f>
        <v>10-gene lyme disease panel</v>
      </c>
      <c r="I268" s="2" t="s">
        <v>23</v>
      </c>
      <c r="J268" s="2" t="s">
        <v>15</v>
      </c>
      <c r="K268" s="4" t="str">
        <f>HYPERLINK("https://www.cortellis.com/drugdiscovery/result/proxy/related-content/biomarkers/genestargets/50816","C-C motif chemokine ligand 2; interferon gamma; tumor necrosis factor")</f>
        <v>C-C motif chemokine ligand 2; interferon gamma; tumor necrosis factor</v>
      </c>
    </row>
    <row r="269" spans="1:11" ht="60" customHeight="1" x14ac:dyDescent="0.2">
      <c r="A269" s="2">
        <v>266</v>
      </c>
      <c r="B269" s="3" t="str">
        <f t="shared" si="59"/>
        <v>IFN-gamma</v>
      </c>
      <c r="C269" s="3" t="str">
        <f t="shared" si="60"/>
        <v>IFNG</v>
      </c>
      <c r="D269" s="3" t="str">
        <f t="shared" si="61"/>
        <v>IFNG_HUMAN</v>
      </c>
      <c r="E269" s="2" t="s">
        <v>21</v>
      </c>
      <c r="F269" s="3" t="str">
        <f t="shared" si="62"/>
        <v>Interferon gamma</v>
      </c>
      <c r="G269" s="4" t="str">
        <f t="shared" si="64"/>
        <v>Fontolizumab</v>
      </c>
      <c r="H269" s="3" t="str">
        <f>HYPERLINK("https://www.cortellis.com/drugdiscovery/entity/biomarkers/50817","11-gene lyme disease panel")</f>
        <v>11-gene lyme disease panel</v>
      </c>
      <c r="I269" s="2" t="s">
        <v>23</v>
      </c>
      <c r="J269" s="2" t="s">
        <v>15</v>
      </c>
      <c r="K269" s="4" t="str">
        <f>HYPERLINK("https://www.cortellis.com/drugdiscovery/result/proxy/related-content/biomarkers/genestargets/50817","C-C motif chemokine ligand 2; interferon gamma; tumor necrosis factor")</f>
        <v>C-C motif chemokine ligand 2; interferon gamma; tumor necrosis factor</v>
      </c>
    </row>
    <row r="270" spans="1:11" ht="60" customHeight="1" x14ac:dyDescent="0.2">
      <c r="A270" s="2">
        <v>267</v>
      </c>
      <c r="B270" s="3" t="str">
        <f t="shared" si="59"/>
        <v>IFN-gamma</v>
      </c>
      <c r="C270" s="3" t="str">
        <f t="shared" si="60"/>
        <v>IFNG</v>
      </c>
      <c r="D270" s="3" t="str">
        <f t="shared" si="61"/>
        <v>IFNG_HUMAN</v>
      </c>
      <c r="E270" s="2" t="s">
        <v>21</v>
      </c>
      <c r="F270" s="3" t="str">
        <f t="shared" si="62"/>
        <v>Interferon gamma</v>
      </c>
      <c r="G270" s="4" t="str">
        <f t="shared" si="64"/>
        <v>Fontolizumab</v>
      </c>
      <c r="H270" s="3" t="str">
        <f>HYPERLINK("https://www.cortellis.com/drugdiscovery/entity/biomarkers/50818","12 protein Lyme disease panel")</f>
        <v>12 protein Lyme disease panel</v>
      </c>
      <c r="I270" s="2" t="s">
        <v>23</v>
      </c>
      <c r="J270" s="2" t="s">
        <v>17</v>
      </c>
      <c r="K270" s="4" t="str">
        <f>HYPERLINK("https://www.cortellis.com/drugdiscovery/result/proxy/related-content/biomarkers/genestargets/50818","C-C motif chemokine ligand 2; interferon gamma; tumor necrosis factor")</f>
        <v>C-C motif chemokine ligand 2; interferon gamma; tumor necrosis factor</v>
      </c>
    </row>
    <row r="271" spans="1:11" ht="60" customHeight="1" x14ac:dyDescent="0.2">
      <c r="A271" s="2">
        <v>268</v>
      </c>
      <c r="B271" s="3" t="str">
        <f t="shared" si="59"/>
        <v>IFN-gamma</v>
      </c>
      <c r="C271" s="3" t="str">
        <f t="shared" si="60"/>
        <v>IFNG</v>
      </c>
      <c r="D271" s="3" t="str">
        <f t="shared" si="61"/>
        <v>IFNG_HUMAN</v>
      </c>
      <c r="E271" s="2" t="s">
        <v>21</v>
      </c>
      <c r="F271" s="3" t="str">
        <f t="shared" si="62"/>
        <v>Interferon gamma</v>
      </c>
      <c r="G271" s="4" t="str">
        <f t="shared" si="64"/>
        <v>Fontolizumab</v>
      </c>
      <c r="H271" s="3" t="str">
        <f>HYPERLINK("https://www.cortellis.com/drugdiscovery/entity/biomarkers/50819","6-protein Lyme disease panel")</f>
        <v>6-protein Lyme disease panel</v>
      </c>
      <c r="I271" s="2" t="s">
        <v>23</v>
      </c>
      <c r="J271" s="2" t="s">
        <v>17</v>
      </c>
      <c r="K271" s="4" t="str">
        <f>HYPERLINK("https://www.cortellis.com/drugdiscovery/result/proxy/related-content/biomarkers/genestargets/50819","interferon gamma")</f>
        <v>interferon gamma</v>
      </c>
    </row>
    <row r="272" spans="1:11" ht="60" customHeight="1" x14ac:dyDescent="0.2">
      <c r="A272" s="2">
        <v>269</v>
      </c>
      <c r="B272" s="3" t="str">
        <f t="shared" si="59"/>
        <v>IFN-gamma</v>
      </c>
      <c r="C272" s="3" t="str">
        <f t="shared" si="60"/>
        <v>IFNG</v>
      </c>
      <c r="D272" s="3" t="str">
        <f t="shared" si="61"/>
        <v>IFNG_HUMAN</v>
      </c>
      <c r="E272" s="2" t="s">
        <v>21</v>
      </c>
      <c r="F272" s="3" t="str">
        <f t="shared" si="62"/>
        <v>Interferon gamma</v>
      </c>
      <c r="G272" s="4" t="str">
        <f t="shared" si="64"/>
        <v>Fontolizumab</v>
      </c>
      <c r="H272" s="3" t="str">
        <f>HYPERLINK("https://www.cortellis.com/drugdiscovery/entity/biomarkers/52877","6-gene expression head and neck squamous cell carcinoma")</f>
        <v>6-gene expression head and neck squamous cell carcinoma</v>
      </c>
      <c r="I272" s="2" t="s">
        <v>18</v>
      </c>
      <c r="J272" s="2" t="s">
        <v>15</v>
      </c>
      <c r="K272" s="4" t="str">
        <f>HYPERLINK("https://www.cortellis.com/drugdiscovery/result/proxy/related-content/biomarkers/genestargets/52877","interferon gamma")</f>
        <v>interferon gamma</v>
      </c>
    </row>
    <row r="273" spans="1:11" ht="60" customHeight="1" x14ac:dyDescent="0.2">
      <c r="A273" s="2">
        <v>270</v>
      </c>
      <c r="B273" s="3" t="str">
        <f t="shared" si="59"/>
        <v>IFN-gamma</v>
      </c>
      <c r="C273" s="3" t="str">
        <f t="shared" si="60"/>
        <v>IFNG</v>
      </c>
      <c r="D273" s="3" t="str">
        <f t="shared" si="61"/>
        <v>IFNG_HUMAN</v>
      </c>
      <c r="E273" s="2" t="s">
        <v>21</v>
      </c>
      <c r="F273" s="3" t="str">
        <f t="shared" si="62"/>
        <v>Interferon gamma</v>
      </c>
      <c r="G273" s="4" t="str">
        <f t="shared" si="64"/>
        <v>Fontolizumab</v>
      </c>
      <c r="H273" s="3" t="str">
        <f>HYPERLINK("https://www.cortellis.com/drugdiscovery/entity/biomarkers/53411","8-gene expression cancer panel")</f>
        <v>8-gene expression cancer panel</v>
      </c>
      <c r="I273" s="2" t="s">
        <v>23</v>
      </c>
      <c r="J273" s="2" t="s">
        <v>15</v>
      </c>
      <c r="K273" s="4" t="str">
        <f>HYPERLINK("https://www.cortellis.com/drugdiscovery/result/proxy/related-content/biomarkers/genestargets/53411","CD69 molecule; interferon gamma")</f>
        <v>CD69 molecule; interferon gamma</v>
      </c>
    </row>
    <row r="274" spans="1:11" ht="60" customHeight="1" x14ac:dyDescent="0.2">
      <c r="A274" s="2">
        <v>271</v>
      </c>
      <c r="B274" s="3" t="str">
        <f t="shared" si="59"/>
        <v>IFN-gamma</v>
      </c>
      <c r="C274" s="3" t="str">
        <f t="shared" si="60"/>
        <v>IFNG</v>
      </c>
      <c r="D274" s="3" t="str">
        <f t="shared" si="61"/>
        <v>IFNG_HUMAN</v>
      </c>
      <c r="E274" s="2" t="s">
        <v>21</v>
      </c>
      <c r="F274" s="3" t="str">
        <f t="shared" si="62"/>
        <v>Interferon gamma</v>
      </c>
      <c r="G274" s="4" t="str">
        <f t="shared" si="64"/>
        <v>Fontolizumab</v>
      </c>
      <c r="H274" s="3" t="str">
        <f>HYPERLINK("https://www.cortellis.com/drugdiscovery/entity/biomarkers/53694","6-gene expression melanoma panel")</f>
        <v>6-gene expression melanoma panel</v>
      </c>
      <c r="I274" s="2" t="s">
        <v>18</v>
      </c>
      <c r="J274" s="2" t="s">
        <v>19</v>
      </c>
      <c r="K274" s="4" t="str">
        <f>HYPERLINK("https://www.cortellis.com/drugdiscovery/result/proxy/related-content/biomarkers/genestargets/53694","interferon gamma")</f>
        <v>interferon gamma</v>
      </c>
    </row>
    <row r="275" spans="1:11" ht="60" customHeight="1" x14ac:dyDescent="0.2">
      <c r="A275" s="2">
        <v>272</v>
      </c>
      <c r="B275" s="3" t="str">
        <f t="shared" si="59"/>
        <v>IFN-gamma</v>
      </c>
      <c r="C275" s="3" t="str">
        <f t="shared" si="60"/>
        <v>IFNG</v>
      </c>
      <c r="D275" s="3" t="str">
        <f t="shared" si="61"/>
        <v>IFNG_HUMAN</v>
      </c>
      <c r="E275" s="2" t="s">
        <v>21</v>
      </c>
      <c r="F275" s="3" t="str">
        <f t="shared" si="62"/>
        <v>Interferon gamma</v>
      </c>
      <c r="G275" s="4" t="str">
        <f t="shared" si="64"/>
        <v>Fontolizumab</v>
      </c>
      <c r="H275" s="3" t="str">
        <f>HYPERLINK("https://www.cortellis.com/drugdiscovery/entity/biomarkers/54921","7-protein expression pulmonary tuberculosis panel ")</f>
        <v xml:space="preserve">7-protein expression pulmonary tuberculosis panel </v>
      </c>
      <c r="I275" s="2" t="s">
        <v>23</v>
      </c>
      <c r="J275" s="2" t="s">
        <v>17</v>
      </c>
      <c r="K275" s="4" t="str">
        <f>HYPERLINK("https://www.cortellis.com/drugdiscovery/result/proxy/related-content/biomarkers/genestargets/54921","interferon gamma")</f>
        <v>interferon gamma</v>
      </c>
    </row>
    <row r="276" spans="1:11" ht="60" customHeight="1" x14ac:dyDescent="0.2">
      <c r="A276" s="2">
        <v>273</v>
      </c>
      <c r="B276" s="3" t="str">
        <f t="shared" si="59"/>
        <v>IFN-gamma</v>
      </c>
      <c r="C276" s="3" t="str">
        <f t="shared" si="60"/>
        <v>IFNG</v>
      </c>
      <c r="D276" s="3" t="str">
        <f t="shared" si="61"/>
        <v>IFNG_HUMAN</v>
      </c>
      <c r="E276" s="2" t="s">
        <v>21</v>
      </c>
      <c r="F276" s="3" t="str">
        <f t="shared" si="62"/>
        <v>Interferon gamma</v>
      </c>
      <c r="G276" s="4" t="str">
        <f t="shared" si="64"/>
        <v>Fontolizumab</v>
      </c>
      <c r="H276" s="3" t="str">
        <f>HYPERLINK("https://www.cortellis.com/drugdiscovery/entity/biomarkers/55724","4-gene expression non small cell lung cancer panel")</f>
        <v>4-gene expression non small cell lung cancer panel</v>
      </c>
      <c r="I276" s="2" t="s">
        <v>18</v>
      </c>
      <c r="J276" s="2" t="s">
        <v>19</v>
      </c>
      <c r="K276" s="4" t="str">
        <f>HYPERLINK("https://www.cortellis.com/drugdiscovery/result/proxy/related-content/biomarkers/genestargets/55724","CD274 molecule; interferon gamma")</f>
        <v>CD274 molecule; interferon gamma</v>
      </c>
    </row>
    <row r="277" spans="1:11" ht="60" customHeight="1" x14ac:dyDescent="0.2">
      <c r="A277" s="2">
        <v>274</v>
      </c>
      <c r="B277" s="3" t="str">
        <f t="shared" si="59"/>
        <v>IFN-gamma</v>
      </c>
      <c r="C277" s="3" t="str">
        <f t="shared" si="60"/>
        <v>IFNG</v>
      </c>
      <c r="D277" s="3" t="str">
        <f t="shared" si="61"/>
        <v>IFNG_HUMAN</v>
      </c>
      <c r="E277" s="2" t="s">
        <v>21</v>
      </c>
      <c r="F277" s="3" t="str">
        <f t="shared" si="62"/>
        <v>Interferon gamma</v>
      </c>
      <c r="G277" s="4" t="str">
        <f t="shared" si="64"/>
        <v>Fontolizumab</v>
      </c>
      <c r="H277" s="3" t="str">
        <f>HYPERLINK("https://www.cortellis.com/drugdiscovery/entity/biomarkers/57250","9-protein non-muscle invasive bladder cancer panel")</f>
        <v>9-protein non-muscle invasive bladder cancer panel</v>
      </c>
      <c r="I277" s="2" t="s">
        <v>18</v>
      </c>
      <c r="J277" s="2" t="s">
        <v>17</v>
      </c>
      <c r="K277" s="4" t="str">
        <f>HYPERLINK("https://www.cortellis.com/drugdiscovery/result/proxy/related-content/biomarkers/genestargets/57250","interferon gamma; interleukin 12B; tumor necrosis factor")</f>
        <v>interferon gamma; interleukin 12B; tumor necrosis factor</v>
      </c>
    </row>
    <row r="278" spans="1:11" ht="60" customHeight="1" x14ac:dyDescent="0.2">
      <c r="A278" s="2">
        <v>275</v>
      </c>
      <c r="B278" s="3" t="str">
        <f t="shared" si="59"/>
        <v>IFN-gamma</v>
      </c>
      <c r="C278" s="3" t="str">
        <f t="shared" si="60"/>
        <v>IFNG</v>
      </c>
      <c r="D278" s="3" t="str">
        <f t="shared" si="61"/>
        <v>IFNG_HUMAN</v>
      </c>
      <c r="E278" s="2" t="s">
        <v>21</v>
      </c>
      <c r="F278" s="3" t="str">
        <f t="shared" si="62"/>
        <v>Interferon gamma</v>
      </c>
      <c r="G278" s="4" t="str">
        <f t="shared" si="64"/>
        <v>Fontolizumab</v>
      </c>
      <c r="H278" s="3" t="str">
        <f>HYPERLINK("https://www.cortellis.com/drugdiscovery/entity/biomarkers/58056","28-gene expression melanoma panel")</f>
        <v>28-gene expression melanoma panel</v>
      </c>
      <c r="I278" s="2" t="s">
        <v>18</v>
      </c>
      <c r="J278" s="2" t="s">
        <v>19</v>
      </c>
      <c r="K278" s="4" t="str">
        <f>HYPERLINK("https://www.cortellis.com/drugdiscovery/result/proxy/related-content/biomarkers/genestargets/58056","interferon gamma; protein tyrosine phosphatase receptor type C")</f>
        <v>interferon gamma; protein tyrosine phosphatase receptor type C</v>
      </c>
    </row>
    <row r="279" spans="1:11" ht="60" customHeight="1" x14ac:dyDescent="0.2">
      <c r="A279" s="2">
        <v>276</v>
      </c>
      <c r="B279" s="3" t="str">
        <f t="shared" si="59"/>
        <v>IFN-gamma</v>
      </c>
      <c r="C279" s="3" t="str">
        <f t="shared" si="60"/>
        <v>IFNG</v>
      </c>
      <c r="D279" s="3" t="str">
        <f t="shared" si="61"/>
        <v>IFNG_HUMAN</v>
      </c>
      <c r="E279" s="2" t="s">
        <v>21</v>
      </c>
      <c r="F279" s="3" t="str">
        <f t="shared" si="62"/>
        <v>Interferon gamma</v>
      </c>
      <c r="G279" s="4" t="str">
        <f t="shared" si="64"/>
        <v>Fontolizumab</v>
      </c>
      <c r="H279" s="3" t="str">
        <f>HYPERLINK("https://www.cortellis.com/drugdiscovery/entity/biomarkers/60578","4-gene expression lung cancer panel")</f>
        <v>4-gene expression lung cancer panel</v>
      </c>
      <c r="I279" s="2" t="s">
        <v>46</v>
      </c>
      <c r="J279" s="2" t="s">
        <v>15</v>
      </c>
      <c r="K279" s="4" t="str">
        <f>HYPERLINK("https://www.cortellis.com/drugdiscovery/result/proxy/related-content/biomarkers/genestargets/60578","CD274 molecule; interferon gamma")</f>
        <v>CD274 molecule; interferon gamma</v>
      </c>
    </row>
    <row r="280" spans="1:11" ht="60" customHeight="1" x14ac:dyDescent="0.2">
      <c r="A280" s="2">
        <v>277</v>
      </c>
      <c r="B280" s="3" t="str">
        <f t="shared" si="59"/>
        <v>IFN-gamma</v>
      </c>
      <c r="C280" s="3" t="str">
        <f t="shared" si="60"/>
        <v>IFNG</v>
      </c>
      <c r="D280" s="3" t="str">
        <f t="shared" si="61"/>
        <v>IFNG_HUMAN</v>
      </c>
      <c r="E280" s="2" t="s">
        <v>21</v>
      </c>
      <c r="F280" s="3" t="str">
        <f t="shared" si="62"/>
        <v>Interferon gamma</v>
      </c>
      <c r="G280" s="4" t="str">
        <f t="shared" si="64"/>
        <v>Fontolizumab</v>
      </c>
      <c r="H280" s="3" t="str">
        <f>HYPERLINK("https://www.cortellis.com/drugdiscovery/entity/biomarkers/61602","DYRK2-IFNG fusion protein")</f>
        <v>DYRK2-IFNG fusion protein</v>
      </c>
      <c r="I280" s="2" t="s">
        <v>34</v>
      </c>
      <c r="J280" s="2" t="s">
        <v>15</v>
      </c>
      <c r="K280" s="4" t="str">
        <f>HYPERLINK("https://www.cortellis.com/drugdiscovery/result/proxy/related-content/biomarkers/genestargets/61602","interferon gamma")</f>
        <v>interferon gamma</v>
      </c>
    </row>
    <row r="281" spans="1:11" ht="60" customHeight="1" x14ac:dyDescent="0.2">
      <c r="A281" s="2">
        <v>278</v>
      </c>
      <c r="B281" s="3" t="str">
        <f t="shared" si="59"/>
        <v>IFN-gamma</v>
      </c>
      <c r="C281" s="3" t="str">
        <f t="shared" si="60"/>
        <v>IFNG</v>
      </c>
      <c r="D281" s="3" t="str">
        <f t="shared" si="61"/>
        <v>IFNG_HUMAN</v>
      </c>
      <c r="E281" s="2" t="s">
        <v>21</v>
      </c>
      <c r="F281" s="3" t="str">
        <f t="shared" si="62"/>
        <v>Interferon gamma</v>
      </c>
      <c r="G281" s="4" t="str">
        <f t="shared" si="64"/>
        <v>Fontolizumab</v>
      </c>
      <c r="H281" s="3" t="str">
        <f>HYPERLINK("https://www.cortellis.com/drugdiscovery/entity/biomarkers/62663","9-protein immunological disorders panel")</f>
        <v>9-protein immunological disorders panel</v>
      </c>
      <c r="I281" s="2" t="s">
        <v>24</v>
      </c>
      <c r="J281" s="2" t="s">
        <v>17</v>
      </c>
      <c r="K281" s="4" t="str">
        <f>HYPERLINK("https://www.cortellis.com/drugdiscovery/result/proxy/related-content/biomarkers/genestargets/62663","C-C motif chemokine ligand 2; interferon gamma; tumor necrosis factor")</f>
        <v>C-C motif chemokine ligand 2; interferon gamma; tumor necrosis factor</v>
      </c>
    </row>
    <row r="282" spans="1:11" ht="60" customHeight="1" x14ac:dyDescent="0.2">
      <c r="A282" s="2">
        <v>279</v>
      </c>
      <c r="B282" s="3" t="str">
        <f t="shared" si="59"/>
        <v>IFN-gamma</v>
      </c>
      <c r="C282" s="3" t="str">
        <f t="shared" si="60"/>
        <v>IFNG</v>
      </c>
      <c r="D282" s="3" t="str">
        <f t="shared" si="61"/>
        <v>IFNG_HUMAN</v>
      </c>
      <c r="E282" s="2" t="s">
        <v>21</v>
      </c>
      <c r="F282" s="3" t="str">
        <f t="shared" si="62"/>
        <v>Interferon gamma</v>
      </c>
      <c r="G282" s="4" t="str">
        <f t="shared" si="64"/>
        <v>Fontolizumab</v>
      </c>
      <c r="H282" s="3" t="str">
        <f>HYPERLINK("https://www.cortellis.com/drugdiscovery/entity/biomarkers/62680","4-gene expression stomach cancer panel")</f>
        <v>4-gene expression stomach cancer panel</v>
      </c>
      <c r="I282" s="2" t="s">
        <v>24</v>
      </c>
      <c r="J282" s="2" t="s">
        <v>19</v>
      </c>
      <c r="K282" s="4" t="str">
        <f>HYPERLINK("https://www.cortellis.com/drugdiscovery/result/proxy/related-content/biomarkers/genestargets/62680","CD274 molecule; interferon gamma")</f>
        <v>CD274 molecule; interferon gamma</v>
      </c>
    </row>
    <row r="283" spans="1:11" ht="60" customHeight="1" x14ac:dyDescent="0.2">
      <c r="A283" s="2">
        <v>280</v>
      </c>
      <c r="B283" s="3" t="str">
        <f t="shared" si="59"/>
        <v>IFN-gamma</v>
      </c>
      <c r="C283" s="3" t="str">
        <f t="shared" si="60"/>
        <v>IFNG</v>
      </c>
      <c r="D283" s="3" t="str">
        <f t="shared" si="61"/>
        <v>IFNG_HUMAN</v>
      </c>
      <c r="E283" s="2" t="s">
        <v>21</v>
      </c>
      <c r="F283" s="3" t="str">
        <f t="shared" si="62"/>
        <v>Interferon gamma</v>
      </c>
      <c r="G283" s="4" t="str">
        <f t="shared" si="64"/>
        <v>Fontolizumab</v>
      </c>
      <c r="H283" s="3" t="str">
        <f>HYPERLINK("https://www.cortellis.com/drugdiscovery/entity/biomarkers/63914","5-gene expression melanoma panel")</f>
        <v>5-gene expression melanoma panel</v>
      </c>
      <c r="I283" s="2" t="s">
        <v>18</v>
      </c>
      <c r="J283" s="2" t="s">
        <v>19</v>
      </c>
      <c r="K283" s="4" t="str">
        <f>HYPERLINK("https://www.cortellis.com/drugdiscovery/result/proxy/related-content/biomarkers/genestargets/63914","interferon gamma")</f>
        <v>interferon gamma</v>
      </c>
    </row>
    <row r="284" spans="1:11" ht="60" customHeight="1" x14ac:dyDescent="0.2">
      <c r="A284" s="2">
        <v>281</v>
      </c>
      <c r="B284" s="3" t="str">
        <f t="shared" si="59"/>
        <v>IFN-gamma</v>
      </c>
      <c r="C284" s="3" t="str">
        <f t="shared" si="60"/>
        <v>IFNG</v>
      </c>
      <c r="D284" s="3" t="str">
        <f t="shared" si="61"/>
        <v>IFNG_HUMAN</v>
      </c>
      <c r="E284" s="2" t="s">
        <v>21</v>
      </c>
      <c r="F284" s="3" t="str">
        <f t="shared" si="62"/>
        <v>Interferon gamma</v>
      </c>
      <c r="G284" s="4" t="str">
        <f t="shared" si="64"/>
        <v>Fontolizumab</v>
      </c>
      <c r="H284" s="3" t="str">
        <f>HYPERLINK("https://www.cortellis.com/drugdiscovery/entity/biomarkers/64861","35-gene expresssion cancer panel")</f>
        <v>35-gene expresssion cancer panel</v>
      </c>
      <c r="I284" s="2" t="s">
        <v>38</v>
      </c>
      <c r="J284" s="2" t="s">
        <v>15</v>
      </c>
      <c r="K284" s="4" t="str">
        <f>HYPERLINK("https://www.cortellis.com/drugdiscovery/result/proxy/related-content/biomarkers/genestargets/64861","CD274 molecule; CD69 molecule; interferon gamma")</f>
        <v>CD274 molecule; CD69 molecule; interferon gamma</v>
      </c>
    </row>
    <row r="285" spans="1:11" ht="60" customHeight="1" x14ac:dyDescent="0.2">
      <c r="A285" s="2">
        <v>282</v>
      </c>
      <c r="B285" s="3" t="str">
        <f t="shared" si="59"/>
        <v>IFN-gamma</v>
      </c>
      <c r="C285" s="3" t="str">
        <f t="shared" si="60"/>
        <v>IFNG</v>
      </c>
      <c r="D285" s="3" t="str">
        <f t="shared" si="61"/>
        <v>IFNG_HUMAN</v>
      </c>
      <c r="E285" s="2" t="s">
        <v>21</v>
      </c>
      <c r="F285" s="3" t="str">
        <f t="shared" si="62"/>
        <v>Interferon gamma</v>
      </c>
      <c r="G285" s="4" t="str">
        <f t="shared" ref="G285:G314" si="65">HYPERLINK("https://portal.genego.com/cgi/entity_page.cgi?term=7&amp;id=2087174070","Isoglycyrrhizinate")</f>
        <v>Isoglycyrrhizinate</v>
      </c>
      <c r="H285" s="3" t="str">
        <f>HYPERLINK("https://www.cortellis.com/drugdiscovery/entity/biomarkers/252","Interferon gamma")</f>
        <v>Interferon gamma</v>
      </c>
      <c r="I285" s="2" t="s">
        <v>45</v>
      </c>
      <c r="J285" s="2" t="s">
        <v>15</v>
      </c>
      <c r="K285" s="4" t="str">
        <f>HYPERLINK("https://www.cortellis.com/drugdiscovery/result/proxy/related-content/biomarkers/genestargets/252","interferon gamma")</f>
        <v>interferon gamma</v>
      </c>
    </row>
    <row r="286" spans="1:11" ht="60" customHeight="1" x14ac:dyDescent="0.2">
      <c r="A286" s="2">
        <v>283</v>
      </c>
      <c r="B286" s="3" t="str">
        <f t="shared" si="59"/>
        <v>IFN-gamma</v>
      </c>
      <c r="C286" s="3" t="str">
        <f t="shared" si="60"/>
        <v>IFNG</v>
      </c>
      <c r="D286" s="3" t="str">
        <f t="shared" si="61"/>
        <v>IFNG_HUMAN</v>
      </c>
      <c r="E286" s="2" t="s">
        <v>21</v>
      </c>
      <c r="F286" s="3" t="str">
        <f t="shared" si="62"/>
        <v>Interferon gamma</v>
      </c>
      <c r="G286" s="4" t="str">
        <f t="shared" si="65"/>
        <v>Isoglycyrrhizinate</v>
      </c>
      <c r="H286" s="3" t="str">
        <f>HYPERLINK("https://www.cortellis.com/drugdiscovery/entity/biomarkers/27598","89-protein neurological alzheimer's panel")</f>
        <v>89-protein neurological alzheimer's panel</v>
      </c>
      <c r="I286" s="2" t="s">
        <v>23</v>
      </c>
      <c r="J286" s="2" t="s">
        <v>17</v>
      </c>
      <c r="K286"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87" spans="1:11" ht="60" customHeight="1" x14ac:dyDescent="0.2">
      <c r="A287" s="2">
        <v>284</v>
      </c>
      <c r="B287" s="3" t="str">
        <f t="shared" si="59"/>
        <v>IFN-gamma</v>
      </c>
      <c r="C287" s="3" t="str">
        <f t="shared" si="60"/>
        <v>IFNG</v>
      </c>
      <c r="D287" s="3" t="str">
        <f t="shared" si="61"/>
        <v>IFNG_HUMAN</v>
      </c>
      <c r="E287" s="2" t="s">
        <v>21</v>
      </c>
      <c r="F287" s="3" t="str">
        <f t="shared" si="62"/>
        <v>Interferon gamma</v>
      </c>
      <c r="G287" s="4" t="str">
        <f t="shared" si="65"/>
        <v>Isoglycyrrhizinate</v>
      </c>
      <c r="H287" s="3" t="str">
        <f>HYPERLINK("https://www.cortellis.com/drugdiscovery/entity/biomarkers/27734","6-protein lung cancer panel")</f>
        <v>6-protein lung cancer panel</v>
      </c>
      <c r="I287" s="2" t="s">
        <v>23</v>
      </c>
      <c r="J287" s="2" t="s">
        <v>17</v>
      </c>
      <c r="K287" s="4" t="str">
        <f>HYPERLINK("https://www.cortellis.com/drugdiscovery/result/proxy/related-content/biomarkers/genestargets/27734","interferon gamma; tumor necrosis factor")</f>
        <v>interferon gamma; tumor necrosis factor</v>
      </c>
    </row>
    <row r="288" spans="1:11" ht="60" customHeight="1" x14ac:dyDescent="0.2">
      <c r="A288" s="2">
        <v>285</v>
      </c>
      <c r="B288" s="3" t="str">
        <f t="shared" si="59"/>
        <v>IFN-gamma</v>
      </c>
      <c r="C288" s="3" t="str">
        <f t="shared" si="60"/>
        <v>IFNG</v>
      </c>
      <c r="D288" s="3" t="str">
        <f t="shared" si="61"/>
        <v>IFNG_HUMAN</v>
      </c>
      <c r="E288" s="2" t="s">
        <v>21</v>
      </c>
      <c r="F288" s="3" t="str">
        <f t="shared" si="62"/>
        <v>Interferon gamma</v>
      </c>
      <c r="G288" s="4" t="str">
        <f t="shared" si="65"/>
        <v>Isoglycyrrhizinate</v>
      </c>
      <c r="H288" s="3" t="str">
        <f>HYPERLINK("https://www.cortellis.com/drugdiscovery/entity/biomarkers/28132","6-gene expression esophageal cancer panel")</f>
        <v>6-gene expression esophageal cancer panel</v>
      </c>
      <c r="I288" s="2" t="s">
        <v>25</v>
      </c>
      <c r="J288" s="2" t="s">
        <v>19</v>
      </c>
      <c r="K288" s="4" t="str">
        <f>HYPERLINK("https://www.cortellis.com/drugdiscovery/result/proxy/related-content/biomarkers/genestargets/28132","interferon gamma")</f>
        <v>interferon gamma</v>
      </c>
    </row>
    <row r="289" spans="1:11" ht="60" customHeight="1" x14ac:dyDescent="0.2">
      <c r="A289" s="2">
        <v>286</v>
      </c>
      <c r="B289" s="3" t="str">
        <f t="shared" ref="B289:B314" si="66">HYPERLINK("https://portal.genego.com/cgi/entity_page.cgi?term=100&amp;id=376","IFN-gamma")</f>
        <v>IFN-gamma</v>
      </c>
      <c r="C289" s="3" t="str">
        <f t="shared" ref="C289:C314" si="67">HYPERLINK("https://portal.genego.com/cgi/entity_page.cgi?term=20&amp;id=-1212492138","IFNG")</f>
        <v>IFNG</v>
      </c>
      <c r="D289" s="3" t="str">
        <f t="shared" ref="D289:D314" si="68">HYPERLINK("https://portal.genego.com/cgi/entity_page.cgi?term=7&amp;id=-750112537","IFNG_HUMAN")</f>
        <v>IFNG_HUMAN</v>
      </c>
      <c r="E289" s="2" t="s">
        <v>21</v>
      </c>
      <c r="F289" s="3" t="str">
        <f t="shared" ref="F289:F314" si="69">HYPERLINK("https://portal.genego.com/cgi/entity_page.cgi?term=100&amp;id=376","Interferon gamma")</f>
        <v>Interferon gamma</v>
      </c>
      <c r="G289" s="4" t="str">
        <f t="shared" si="65"/>
        <v>Isoglycyrrhizinate</v>
      </c>
      <c r="H289" s="3" t="str">
        <f>HYPERLINK("https://www.cortellis.com/drugdiscovery/entity/biomarkers/28148","11-gene expression lung cancer panel")</f>
        <v>11-gene expression lung cancer panel</v>
      </c>
      <c r="I289" s="2" t="s">
        <v>25</v>
      </c>
      <c r="J289" s="2" t="s">
        <v>19</v>
      </c>
      <c r="K289" s="4" t="str">
        <f>HYPERLINK("https://www.cortellis.com/drugdiscovery/result/proxy/related-content/biomarkers/genestargets/28148","interferon gamma; interleukin 15; tumor necrosis factor")</f>
        <v>interferon gamma; interleukin 15; tumor necrosis factor</v>
      </c>
    </row>
    <row r="290" spans="1:11" ht="60" customHeight="1" x14ac:dyDescent="0.2">
      <c r="A290" s="2">
        <v>287</v>
      </c>
      <c r="B290" s="3" t="str">
        <f t="shared" si="66"/>
        <v>IFN-gamma</v>
      </c>
      <c r="C290" s="3" t="str">
        <f t="shared" si="67"/>
        <v>IFNG</v>
      </c>
      <c r="D290" s="3" t="str">
        <f t="shared" si="68"/>
        <v>IFNG_HUMAN</v>
      </c>
      <c r="E290" s="2" t="s">
        <v>21</v>
      </c>
      <c r="F290" s="3" t="str">
        <f t="shared" si="69"/>
        <v>Interferon gamma</v>
      </c>
      <c r="G290" s="4" t="str">
        <f t="shared" si="65"/>
        <v>Isoglycyrrhizinate</v>
      </c>
      <c r="H290" s="3" t="str">
        <f>HYPERLINK("https://www.cortellis.com/drugdiscovery/entity/biomarkers/28647","15-gene expression lung cancer panel")</f>
        <v>15-gene expression lung cancer panel</v>
      </c>
      <c r="I290" s="2" t="s">
        <v>20</v>
      </c>
      <c r="J290" s="2" t="s">
        <v>19</v>
      </c>
      <c r="K290" s="4" t="str">
        <f>HYPERLINK("https://www.cortellis.com/drugdiscovery/result/proxy/related-content/biomarkers/genestargets/28647","interferon gamma; interleukin 15; tumor necrosis factor")</f>
        <v>interferon gamma; interleukin 15; tumor necrosis factor</v>
      </c>
    </row>
    <row r="291" spans="1:11" ht="60" customHeight="1" x14ac:dyDescent="0.2">
      <c r="A291" s="2">
        <v>288</v>
      </c>
      <c r="B291" s="3" t="str">
        <f t="shared" si="66"/>
        <v>IFN-gamma</v>
      </c>
      <c r="C291" s="3" t="str">
        <f t="shared" si="67"/>
        <v>IFNG</v>
      </c>
      <c r="D291" s="3" t="str">
        <f t="shared" si="68"/>
        <v>IFNG_HUMAN</v>
      </c>
      <c r="E291" s="2" t="s">
        <v>21</v>
      </c>
      <c r="F291" s="3" t="str">
        <f t="shared" si="69"/>
        <v>Interferon gamma</v>
      </c>
      <c r="G291" s="4" t="str">
        <f t="shared" si="65"/>
        <v>Isoglycyrrhizinate</v>
      </c>
      <c r="H291" s="3" t="str">
        <f>HYPERLINK("https://www.cortellis.com/drugdiscovery/entity/biomarkers/30768","11-protein cardiovascular panel")</f>
        <v>11-protein cardiovascular panel</v>
      </c>
      <c r="I291" s="2" t="s">
        <v>23</v>
      </c>
      <c r="J291" s="2" t="s">
        <v>17</v>
      </c>
      <c r="K291" s="4" t="str">
        <f>HYPERLINK("https://www.cortellis.com/drugdiscovery/result/proxy/related-content/biomarkers/genestargets/30768","interferon gamma; interleukin 12B; tumor necrosis factor")</f>
        <v>interferon gamma; interleukin 12B; tumor necrosis factor</v>
      </c>
    </row>
    <row r="292" spans="1:11" ht="60" customHeight="1" x14ac:dyDescent="0.2">
      <c r="A292" s="2">
        <v>289</v>
      </c>
      <c r="B292" s="3" t="str">
        <f t="shared" si="66"/>
        <v>IFN-gamma</v>
      </c>
      <c r="C292" s="3" t="str">
        <f t="shared" si="67"/>
        <v>IFNG</v>
      </c>
      <c r="D292" s="3" t="str">
        <f t="shared" si="68"/>
        <v>IFNG_HUMAN</v>
      </c>
      <c r="E292" s="2" t="s">
        <v>21</v>
      </c>
      <c r="F292" s="3" t="str">
        <f t="shared" si="69"/>
        <v>Interferon gamma</v>
      </c>
      <c r="G292" s="4" t="str">
        <f t="shared" si="65"/>
        <v>Isoglycyrrhizinate</v>
      </c>
      <c r="H292" s="3" t="str">
        <f>HYPERLINK("https://www.cortellis.com/drugdiscovery/entity/biomarkers/36125","10-protein respiratory panel")</f>
        <v>10-protein respiratory panel</v>
      </c>
      <c r="I292" s="2" t="s">
        <v>25</v>
      </c>
      <c r="J292" s="2" t="s">
        <v>17</v>
      </c>
      <c r="K292" s="4" t="str">
        <f>HYPERLINK("https://www.cortellis.com/drugdiscovery/result/proxy/related-content/biomarkers/genestargets/36125","interferon gamma; tumor necrosis factor")</f>
        <v>interferon gamma; tumor necrosis factor</v>
      </c>
    </row>
    <row r="293" spans="1:11" ht="60" customHeight="1" x14ac:dyDescent="0.2">
      <c r="A293" s="2">
        <v>290</v>
      </c>
      <c r="B293" s="3" t="str">
        <f t="shared" si="66"/>
        <v>IFN-gamma</v>
      </c>
      <c r="C293" s="3" t="str">
        <f t="shared" si="67"/>
        <v>IFNG</v>
      </c>
      <c r="D293" s="3" t="str">
        <f t="shared" si="68"/>
        <v>IFNG_HUMAN</v>
      </c>
      <c r="E293" s="2" t="s">
        <v>21</v>
      </c>
      <c r="F293" s="3" t="str">
        <f t="shared" si="69"/>
        <v>Interferon gamma</v>
      </c>
      <c r="G293" s="4" t="str">
        <f t="shared" si="65"/>
        <v>Isoglycyrrhizinate</v>
      </c>
      <c r="H293" s="3" t="str">
        <f>HYPERLINK("https://www.cortellis.com/drugdiscovery/entity/biomarkers/36127","3-protein respiratory panel")</f>
        <v>3-protein respiratory panel</v>
      </c>
      <c r="I293" s="2" t="s">
        <v>25</v>
      </c>
      <c r="J293" s="2" t="s">
        <v>17</v>
      </c>
      <c r="K293" s="4" t="str">
        <f>HYPERLINK("https://www.cortellis.com/drugdiscovery/result/proxy/related-content/biomarkers/genestargets/36127","interferon gamma; tumor necrosis factor")</f>
        <v>interferon gamma; tumor necrosis factor</v>
      </c>
    </row>
    <row r="294" spans="1:11" ht="60" customHeight="1" x14ac:dyDescent="0.2">
      <c r="A294" s="2">
        <v>291</v>
      </c>
      <c r="B294" s="3" t="str">
        <f t="shared" si="66"/>
        <v>IFN-gamma</v>
      </c>
      <c r="C294" s="3" t="str">
        <f t="shared" si="67"/>
        <v>IFNG</v>
      </c>
      <c r="D294" s="3" t="str">
        <f t="shared" si="68"/>
        <v>IFNG_HUMAN</v>
      </c>
      <c r="E294" s="2" t="s">
        <v>21</v>
      </c>
      <c r="F294" s="3" t="str">
        <f t="shared" si="69"/>
        <v>Interferon gamma</v>
      </c>
      <c r="G294" s="4" t="str">
        <f t="shared" si="65"/>
        <v>Isoglycyrrhizinate</v>
      </c>
      <c r="H294" s="3" t="str">
        <f>HYPERLINK("https://www.cortellis.com/drugdiscovery/entity/biomarkers/41847","12-protein cardiovascular disorder panel")</f>
        <v>12-protein cardiovascular disorder panel</v>
      </c>
      <c r="I294" s="2" t="s">
        <v>18</v>
      </c>
      <c r="J294" s="2" t="s">
        <v>17</v>
      </c>
      <c r="K294" s="4" t="str">
        <f>HYPERLINK("https://www.cortellis.com/drugdiscovery/result/proxy/related-content/biomarkers/genestargets/41847","interferon gamma")</f>
        <v>interferon gamma</v>
      </c>
    </row>
    <row r="295" spans="1:11" ht="60" customHeight="1" x14ac:dyDescent="0.2">
      <c r="A295" s="2">
        <v>292</v>
      </c>
      <c r="B295" s="3" t="str">
        <f t="shared" si="66"/>
        <v>IFN-gamma</v>
      </c>
      <c r="C295" s="3" t="str">
        <f t="shared" si="67"/>
        <v>IFNG</v>
      </c>
      <c r="D295" s="3" t="str">
        <f t="shared" si="68"/>
        <v>IFNG_HUMAN</v>
      </c>
      <c r="E295" s="2" t="s">
        <v>21</v>
      </c>
      <c r="F295" s="3" t="str">
        <f t="shared" si="69"/>
        <v>Interferon gamma</v>
      </c>
      <c r="G295" s="4" t="str">
        <f t="shared" si="65"/>
        <v>Isoglycyrrhizinate</v>
      </c>
      <c r="H295" s="3" t="str">
        <f>HYPERLINK("https://www.cortellis.com/drugdiscovery/entity/biomarkers/41989","6-protein rheumatoid arthritis panel")</f>
        <v>6-protein rheumatoid arthritis panel</v>
      </c>
      <c r="I295" s="2" t="s">
        <v>23</v>
      </c>
      <c r="J295" s="2" t="s">
        <v>17</v>
      </c>
      <c r="K295" s="4" t="str">
        <f>HYPERLINK("https://www.cortellis.com/drugdiscovery/result/proxy/related-content/biomarkers/genestargets/41989","interferon gamma")</f>
        <v>interferon gamma</v>
      </c>
    </row>
    <row r="296" spans="1:11" ht="60" customHeight="1" x14ac:dyDescent="0.2">
      <c r="A296" s="2">
        <v>293</v>
      </c>
      <c r="B296" s="3" t="str">
        <f t="shared" si="66"/>
        <v>IFN-gamma</v>
      </c>
      <c r="C296" s="3" t="str">
        <f t="shared" si="67"/>
        <v>IFNG</v>
      </c>
      <c r="D296" s="3" t="str">
        <f t="shared" si="68"/>
        <v>IFNG_HUMAN</v>
      </c>
      <c r="E296" s="2" t="s">
        <v>21</v>
      </c>
      <c r="F296" s="3" t="str">
        <f t="shared" si="69"/>
        <v>Interferon gamma</v>
      </c>
      <c r="G296" s="4" t="str">
        <f t="shared" si="65"/>
        <v>Isoglycyrrhizinate</v>
      </c>
      <c r="H296" s="3" t="str">
        <f>HYPERLINK("https://www.cortellis.com/drugdiscovery/entity/biomarkers/49177","10-gene expression melanoma panel")</f>
        <v>10-gene expression melanoma panel</v>
      </c>
      <c r="I296" s="2" t="s">
        <v>18</v>
      </c>
      <c r="J296" s="2" t="s">
        <v>19</v>
      </c>
      <c r="K296" s="4" t="str">
        <f>HYPERLINK("https://www.cortellis.com/drugdiscovery/result/proxy/related-content/biomarkers/genestargets/49177","interferon gamma")</f>
        <v>interferon gamma</v>
      </c>
    </row>
    <row r="297" spans="1:11" ht="60" customHeight="1" x14ac:dyDescent="0.2">
      <c r="A297" s="2">
        <v>294</v>
      </c>
      <c r="B297" s="3" t="str">
        <f t="shared" si="66"/>
        <v>IFN-gamma</v>
      </c>
      <c r="C297" s="3" t="str">
        <f t="shared" si="67"/>
        <v>IFNG</v>
      </c>
      <c r="D297" s="3" t="str">
        <f t="shared" si="68"/>
        <v>IFNG_HUMAN</v>
      </c>
      <c r="E297" s="2" t="s">
        <v>21</v>
      </c>
      <c r="F297" s="3" t="str">
        <f t="shared" si="69"/>
        <v>Interferon gamma</v>
      </c>
      <c r="G297" s="4" t="str">
        <f t="shared" si="65"/>
        <v>Isoglycyrrhizinate</v>
      </c>
      <c r="H297" s="3" t="str">
        <f>HYPERLINK("https://www.cortellis.com/drugdiscovery/entity/biomarkers/50658","6-protein expression pulmonary tuberculosis panel")</f>
        <v>6-protein expression pulmonary tuberculosis panel</v>
      </c>
      <c r="I297" s="2" t="s">
        <v>23</v>
      </c>
      <c r="J297" s="2" t="s">
        <v>17</v>
      </c>
      <c r="K297" s="4" t="str">
        <f>HYPERLINK("https://www.cortellis.com/drugdiscovery/result/proxy/related-content/biomarkers/genestargets/50658","interferon gamma")</f>
        <v>interferon gamma</v>
      </c>
    </row>
    <row r="298" spans="1:11" ht="60" customHeight="1" x14ac:dyDescent="0.2">
      <c r="A298" s="2">
        <v>295</v>
      </c>
      <c r="B298" s="3" t="str">
        <f t="shared" si="66"/>
        <v>IFN-gamma</v>
      </c>
      <c r="C298" s="3" t="str">
        <f t="shared" si="67"/>
        <v>IFNG</v>
      </c>
      <c r="D298" s="3" t="str">
        <f t="shared" si="68"/>
        <v>IFNG_HUMAN</v>
      </c>
      <c r="E298" s="2" t="s">
        <v>21</v>
      </c>
      <c r="F298" s="3" t="str">
        <f t="shared" si="69"/>
        <v>Interferon gamma</v>
      </c>
      <c r="G298" s="4" t="str">
        <f t="shared" si="65"/>
        <v>Isoglycyrrhizinate</v>
      </c>
      <c r="H298" s="3" t="str">
        <f>HYPERLINK("https://www.cortellis.com/drugdiscovery/entity/biomarkers/50816","10-gene lyme disease panel")</f>
        <v>10-gene lyme disease panel</v>
      </c>
      <c r="I298" s="2" t="s">
        <v>23</v>
      </c>
      <c r="J298" s="2" t="s">
        <v>15</v>
      </c>
      <c r="K298" s="4" t="str">
        <f>HYPERLINK("https://www.cortellis.com/drugdiscovery/result/proxy/related-content/biomarkers/genestargets/50816","C-C motif chemokine ligand 2; interferon gamma; tumor necrosis factor")</f>
        <v>C-C motif chemokine ligand 2; interferon gamma; tumor necrosis factor</v>
      </c>
    </row>
    <row r="299" spans="1:11" ht="60" customHeight="1" x14ac:dyDescent="0.2">
      <c r="A299" s="2">
        <v>296</v>
      </c>
      <c r="B299" s="3" t="str">
        <f t="shared" si="66"/>
        <v>IFN-gamma</v>
      </c>
      <c r="C299" s="3" t="str">
        <f t="shared" si="67"/>
        <v>IFNG</v>
      </c>
      <c r="D299" s="3" t="str">
        <f t="shared" si="68"/>
        <v>IFNG_HUMAN</v>
      </c>
      <c r="E299" s="2" t="s">
        <v>21</v>
      </c>
      <c r="F299" s="3" t="str">
        <f t="shared" si="69"/>
        <v>Interferon gamma</v>
      </c>
      <c r="G299" s="4" t="str">
        <f t="shared" si="65"/>
        <v>Isoglycyrrhizinate</v>
      </c>
      <c r="H299" s="3" t="str">
        <f>HYPERLINK("https://www.cortellis.com/drugdiscovery/entity/biomarkers/50817","11-gene lyme disease panel")</f>
        <v>11-gene lyme disease panel</v>
      </c>
      <c r="I299" s="2" t="s">
        <v>23</v>
      </c>
      <c r="J299" s="2" t="s">
        <v>15</v>
      </c>
      <c r="K299" s="4" t="str">
        <f>HYPERLINK("https://www.cortellis.com/drugdiscovery/result/proxy/related-content/biomarkers/genestargets/50817","C-C motif chemokine ligand 2; interferon gamma; tumor necrosis factor")</f>
        <v>C-C motif chemokine ligand 2; interferon gamma; tumor necrosis factor</v>
      </c>
    </row>
    <row r="300" spans="1:11" ht="60" customHeight="1" x14ac:dyDescent="0.2">
      <c r="A300" s="2">
        <v>297</v>
      </c>
      <c r="B300" s="3" t="str">
        <f t="shared" si="66"/>
        <v>IFN-gamma</v>
      </c>
      <c r="C300" s="3" t="str">
        <f t="shared" si="67"/>
        <v>IFNG</v>
      </c>
      <c r="D300" s="3" t="str">
        <f t="shared" si="68"/>
        <v>IFNG_HUMAN</v>
      </c>
      <c r="E300" s="2" t="s">
        <v>21</v>
      </c>
      <c r="F300" s="3" t="str">
        <f t="shared" si="69"/>
        <v>Interferon gamma</v>
      </c>
      <c r="G300" s="4" t="str">
        <f t="shared" si="65"/>
        <v>Isoglycyrrhizinate</v>
      </c>
      <c r="H300" s="3" t="str">
        <f>HYPERLINK("https://www.cortellis.com/drugdiscovery/entity/biomarkers/50818","12 protein Lyme disease panel")</f>
        <v>12 protein Lyme disease panel</v>
      </c>
      <c r="I300" s="2" t="s">
        <v>23</v>
      </c>
      <c r="J300" s="2" t="s">
        <v>17</v>
      </c>
      <c r="K300" s="4" t="str">
        <f>HYPERLINK("https://www.cortellis.com/drugdiscovery/result/proxy/related-content/biomarkers/genestargets/50818","C-C motif chemokine ligand 2; interferon gamma; tumor necrosis factor")</f>
        <v>C-C motif chemokine ligand 2; interferon gamma; tumor necrosis factor</v>
      </c>
    </row>
    <row r="301" spans="1:11" ht="60" customHeight="1" x14ac:dyDescent="0.2">
      <c r="A301" s="2">
        <v>298</v>
      </c>
      <c r="B301" s="3" t="str">
        <f t="shared" si="66"/>
        <v>IFN-gamma</v>
      </c>
      <c r="C301" s="3" t="str">
        <f t="shared" si="67"/>
        <v>IFNG</v>
      </c>
      <c r="D301" s="3" t="str">
        <f t="shared" si="68"/>
        <v>IFNG_HUMAN</v>
      </c>
      <c r="E301" s="2" t="s">
        <v>21</v>
      </c>
      <c r="F301" s="3" t="str">
        <f t="shared" si="69"/>
        <v>Interferon gamma</v>
      </c>
      <c r="G301" s="4" t="str">
        <f t="shared" si="65"/>
        <v>Isoglycyrrhizinate</v>
      </c>
      <c r="H301" s="3" t="str">
        <f>HYPERLINK("https://www.cortellis.com/drugdiscovery/entity/biomarkers/50819","6-protein Lyme disease panel")</f>
        <v>6-protein Lyme disease panel</v>
      </c>
      <c r="I301" s="2" t="s">
        <v>23</v>
      </c>
      <c r="J301" s="2" t="s">
        <v>17</v>
      </c>
      <c r="K301" s="4" t="str">
        <f>HYPERLINK("https://www.cortellis.com/drugdiscovery/result/proxy/related-content/biomarkers/genestargets/50819","interferon gamma")</f>
        <v>interferon gamma</v>
      </c>
    </row>
    <row r="302" spans="1:11" ht="60" customHeight="1" x14ac:dyDescent="0.2">
      <c r="A302" s="2">
        <v>299</v>
      </c>
      <c r="B302" s="3" t="str">
        <f t="shared" si="66"/>
        <v>IFN-gamma</v>
      </c>
      <c r="C302" s="3" t="str">
        <f t="shared" si="67"/>
        <v>IFNG</v>
      </c>
      <c r="D302" s="3" t="str">
        <f t="shared" si="68"/>
        <v>IFNG_HUMAN</v>
      </c>
      <c r="E302" s="2" t="s">
        <v>21</v>
      </c>
      <c r="F302" s="3" t="str">
        <f t="shared" si="69"/>
        <v>Interferon gamma</v>
      </c>
      <c r="G302" s="4" t="str">
        <f t="shared" si="65"/>
        <v>Isoglycyrrhizinate</v>
      </c>
      <c r="H302" s="3" t="str">
        <f>HYPERLINK("https://www.cortellis.com/drugdiscovery/entity/biomarkers/52877","6-gene expression head and neck squamous cell carcinoma")</f>
        <v>6-gene expression head and neck squamous cell carcinoma</v>
      </c>
      <c r="I302" s="2" t="s">
        <v>18</v>
      </c>
      <c r="J302" s="2" t="s">
        <v>15</v>
      </c>
      <c r="K302" s="4" t="str">
        <f>HYPERLINK("https://www.cortellis.com/drugdiscovery/result/proxy/related-content/biomarkers/genestargets/52877","interferon gamma")</f>
        <v>interferon gamma</v>
      </c>
    </row>
    <row r="303" spans="1:11" ht="60" customHeight="1" x14ac:dyDescent="0.2">
      <c r="A303" s="2">
        <v>300</v>
      </c>
      <c r="B303" s="3" t="str">
        <f t="shared" si="66"/>
        <v>IFN-gamma</v>
      </c>
      <c r="C303" s="3" t="str">
        <f t="shared" si="67"/>
        <v>IFNG</v>
      </c>
      <c r="D303" s="3" t="str">
        <f t="shared" si="68"/>
        <v>IFNG_HUMAN</v>
      </c>
      <c r="E303" s="2" t="s">
        <v>21</v>
      </c>
      <c r="F303" s="3" t="str">
        <f t="shared" si="69"/>
        <v>Interferon gamma</v>
      </c>
      <c r="G303" s="4" t="str">
        <f t="shared" si="65"/>
        <v>Isoglycyrrhizinate</v>
      </c>
      <c r="H303" s="3" t="str">
        <f>HYPERLINK("https://www.cortellis.com/drugdiscovery/entity/biomarkers/53411","8-gene expression cancer panel")</f>
        <v>8-gene expression cancer panel</v>
      </c>
      <c r="I303" s="2" t="s">
        <v>23</v>
      </c>
      <c r="J303" s="2" t="s">
        <v>15</v>
      </c>
      <c r="K303" s="4" t="str">
        <f>HYPERLINK("https://www.cortellis.com/drugdiscovery/result/proxy/related-content/biomarkers/genestargets/53411","CD69 molecule; interferon gamma")</f>
        <v>CD69 molecule; interferon gamma</v>
      </c>
    </row>
    <row r="304" spans="1:11" ht="60" customHeight="1" x14ac:dyDescent="0.2">
      <c r="A304" s="2">
        <v>301</v>
      </c>
      <c r="B304" s="3" t="str">
        <f t="shared" si="66"/>
        <v>IFN-gamma</v>
      </c>
      <c r="C304" s="3" t="str">
        <f t="shared" si="67"/>
        <v>IFNG</v>
      </c>
      <c r="D304" s="3" t="str">
        <f t="shared" si="68"/>
        <v>IFNG_HUMAN</v>
      </c>
      <c r="E304" s="2" t="s">
        <v>21</v>
      </c>
      <c r="F304" s="3" t="str">
        <f t="shared" si="69"/>
        <v>Interferon gamma</v>
      </c>
      <c r="G304" s="4" t="str">
        <f t="shared" si="65"/>
        <v>Isoglycyrrhizinate</v>
      </c>
      <c r="H304" s="3" t="str">
        <f>HYPERLINK("https://www.cortellis.com/drugdiscovery/entity/biomarkers/53694","6-gene expression melanoma panel")</f>
        <v>6-gene expression melanoma panel</v>
      </c>
      <c r="I304" s="2" t="s">
        <v>18</v>
      </c>
      <c r="J304" s="2" t="s">
        <v>19</v>
      </c>
      <c r="K304" s="4" t="str">
        <f>HYPERLINK("https://www.cortellis.com/drugdiscovery/result/proxy/related-content/biomarkers/genestargets/53694","interferon gamma")</f>
        <v>interferon gamma</v>
      </c>
    </row>
    <row r="305" spans="1:11" ht="60" customHeight="1" x14ac:dyDescent="0.2">
      <c r="A305" s="2">
        <v>302</v>
      </c>
      <c r="B305" s="3" t="str">
        <f t="shared" si="66"/>
        <v>IFN-gamma</v>
      </c>
      <c r="C305" s="3" t="str">
        <f t="shared" si="67"/>
        <v>IFNG</v>
      </c>
      <c r="D305" s="3" t="str">
        <f t="shared" si="68"/>
        <v>IFNG_HUMAN</v>
      </c>
      <c r="E305" s="2" t="s">
        <v>21</v>
      </c>
      <c r="F305" s="3" t="str">
        <f t="shared" si="69"/>
        <v>Interferon gamma</v>
      </c>
      <c r="G305" s="4" t="str">
        <f t="shared" si="65"/>
        <v>Isoglycyrrhizinate</v>
      </c>
      <c r="H305" s="3" t="str">
        <f>HYPERLINK("https://www.cortellis.com/drugdiscovery/entity/biomarkers/54921","7-protein expression pulmonary tuberculosis panel ")</f>
        <v xml:space="preserve">7-protein expression pulmonary tuberculosis panel </v>
      </c>
      <c r="I305" s="2" t="s">
        <v>23</v>
      </c>
      <c r="J305" s="2" t="s">
        <v>17</v>
      </c>
      <c r="K305" s="4" t="str">
        <f>HYPERLINK("https://www.cortellis.com/drugdiscovery/result/proxy/related-content/biomarkers/genestargets/54921","interferon gamma")</f>
        <v>interferon gamma</v>
      </c>
    </row>
    <row r="306" spans="1:11" ht="60" customHeight="1" x14ac:dyDescent="0.2">
      <c r="A306" s="2">
        <v>303</v>
      </c>
      <c r="B306" s="3" t="str">
        <f t="shared" si="66"/>
        <v>IFN-gamma</v>
      </c>
      <c r="C306" s="3" t="str">
        <f t="shared" si="67"/>
        <v>IFNG</v>
      </c>
      <c r="D306" s="3" t="str">
        <f t="shared" si="68"/>
        <v>IFNG_HUMAN</v>
      </c>
      <c r="E306" s="2" t="s">
        <v>21</v>
      </c>
      <c r="F306" s="3" t="str">
        <f t="shared" si="69"/>
        <v>Interferon gamma</v>
      </c>
      <c r="G306" s="4" t="str">
        <f t="shared" si="65"/>
        <v>Isoglycyrrhizinate</v>
      </c>
      <c r="H306" s="3" t="str">
        <f>HYPERLINK("https://www.cortellis.com/drugdiscovery/entity/biomarkers/55724","4-gene expression non small cell lung cancer panel")</f>
        <v>4-gene expression non small cell lung cancer panel</v>
      </c>
      <c r="I306" s="2" t="s">
        <v>18</v>
      </c>
      <c r="J306" s="2" t="s">
        <v>19</v>
      </c>
      <c r="K306" s="4" t="str">
        <f>HYPERLINK("https://www.cortellis.com/drugdiscovery/result/proxy/related-content/biomarkers/genestargets/55724","CD274 molecule; interferon gamma")</f>
        <v>CD274 molecule; interferon gamma</v>
      </c>
    </row>
    <row r="307" spans="1:11" ht="60" customHeight="1" x14ac:dyDescent="0.2">
      <c r="A307" s="2">
        <v>304</v>
      </c>
      <c r="B307" s="3" t="str">
        <f t="shared" si="66"/>
        <v>IFN-gamma</v>
      </c>
      <c r="C307" s="3" t="str">
        <f t="shared" si="67"/>
        <v>IFNG</v>
      </c>
      <c r="D307" s="3" t="str">
        <f t="shared" si="68"/>
        <v>IFNG_HUMAN</v>
      </c>
      <c r="E307" s="2" t="s">
        <v>21</v>
      </c>
      <c r="F307" s="3" t="str">
        <f t="shared" si="69"/>
        <v>Interferon gamma</v>
      </c>
      <c r="G307" s="4" t="str">
        <f t="shared" si="65"/>
        <v>Isoglycyrrhizinate</v>
      </c>
      <c r="H307" s="3" t="str">
        <f>HYPERLINK("https://www.cortellis.com/drugdiscovery/entity/biomarkers/57250","9-protein non-muscle invasive bladder cancer panel")</f>
        <v>9-protein non-muscle invasive bladder cancer panel</v>
      </c>
      <c r="I307" s="2" t="s">
        <v>18</v>
      </c>
      <c r="J307" s="2" t="s">
        <v>17</v>
      </c>
      <c r="K307" s="4" t="str">
        <f>HYPERLINK("https://www.cortellis.com/drugdiscovery/result/proxy/related-content/biomarkers/genestargets/57250","interferon gamma; interleukin 12B; tumor necrosis factor")</f>
        <v>interferon gamma; interleukin 12B; tumor necrosis factor</v>
      </c>
    </row>
    <row r="308" spans="1:11" ht="60" customHeight="1" x14ac:dyDescent="0.2">
      <c r="A308" s="2">
        <v>305</v>
      </c>
      <c r="B308" s="3" t="str">
        <f t="shared" si="66"/>
        <v>IFN-gamma</v>
      </c>
      <c r="C308" s="3" t="str">
        <f t="shared" si="67"/>
        <v>IFNG</v>
      </c>
      <c r="D308" s="3" t="str">
        <f t="shared" si="68"/>
        <v>IFNG_HUMAN</v>
      </c>
      <c r="E308" s="2" t="s">
        <v>21</v>
      </c>
      <c r="F308" s="3" t="str">
        <f t="shared" si="69"/>
        <v>Interferon gamma</v>
      </c>
      <c r="G308" s="4" t="str">
        <f t="shared" si="65"/>
        <v>Isoglycyrrhizinate</v>
      </c>
      <c r="H308" s="3" t="str">
        <f>HYPERLINK("https://www.cortellis.com/drugdiscovery/entity/biomarkers/58056","28-gene expression melanoma panel")</f>
        <v>28-gene expression melanoma panel</v>
      </c>
      <c r="I308" s="2" t="s">
        <v>18</v>
      </c>
      <c r="J308" s="2" t="s">
        <v>19</v>
      </c>
      <c r="K308" s="4" t="str">
        <f>HYPERLINK("https://www.cortellis.com/drugdiscovery/result/proxy/related-content/biomarkers/genestargets/58056","interferon gamma; protein tyrosine phosphatase receptor type C")</f>
        <v>interferon gamma; protein tyrosine phosphatase receptor type C</v>
      </c>
    </row>
    <row r="309" spans="1:11" ht="60" customHeight="1" x14ac:dyDescent="0.2">
      <c r="A309" s="2">
        <v>306</v>
      </c>
      <c r="B309" s="3" t="str">
        <f t="shared" si="66"/>
        <v>IFN-gamma</v>
      </c>
      <c r="C309" s="3" t="str">
        <f t="shared" si="67"/>
        <v>IFNG</v>
      </c>
      <c r="D309" s="3" t="str">
        <f t="shared" si="68"/>
        <v>IFNG_HUMAN</v>
      </c>
      <c r="E309" s="2" t="s">
        <v>21</v>
      </c>
      <c r="F309" s="3" t="str">
        <f t="shared" si="69"/>
        <v>Interferon gamma</v>
      </c>
      <c r="G309" s="4" t="str">
        <f t="shared" si="65"/>
        <v>Isoglycyrrhizinate</v>
      </c>
      <c r="H309" s="3" t="str">
        <f>HYPERLINK("https://www.cortellis.com/drugdiscovery/entity/biomarkers/60578","4-gene expression lung cancer panel")</f>
        <v>4-gene expression lung cancer panel</v>
      </c>
      <c r="I309" s="2" t="s">
        <v>46</v>
      </c>
      <c r="J309" s="2" t="s">
        <v>15</v>
      </c>
      <c r="K309" s="4" t="str">
        <f>HYPERLINK("https://www.cortellis.com/drugdiscovery/result/proxy/related-content/biomarkers/genestargets/60578","CD274 molecule; interferon gamma")</f>
        <v>CD274 molecule; interferon gamma</v>
      </c>
    </row>
    <row r="310" spans="1:11" ht="60" customHeight="1" x14ac:dyDescent="0.2">
      <c r="A310" s="2">
        <v>307</v>
      </c>
      <c r="B310" s="3" t="str">
        <f t="shared" si="66"/>
        <v>IFN-gamma</v>
      </c>
      <c r="C310" s="3" t="str">
        <f t="shared" si="67"/>
        <v>IFNG</v>
      </c>
      <c r="D310" s="3" t="str">
        <f t="shared" si="68"/>
        <v>IFNG_HUMAN</v>
      </c>
      <c r="E310" s="2" t="s">
        <v>21</v>
      </c>
      <c r="F310" s="3" t="str">
        <f t="shared" si="69"/>
        <v>Interferon gamma</v>
      </c>
      <c r="G310" s="4" t="str">
        <f t="shared" si="65"/>
        <v>Isoglycyrrhizinate</v>
      </c>
      <c r="H310" s="3" t="str">
        <f>HYPERLINK("https://www.cortellis.com/drugdiscovery/entity/biomarkers/61602","DYRK2-IFNG fusion protein")</f>
        <v>DYRK2-IFNG fusion protein</v>
      </c>
      <c r="I310" s="2" t="s">
        <v>34</v>
      </c>
      <c r="J310" s="2" t="s">
        <v>15</v>
      </c>
      <c r="K310" s="4" t="str">
        <f>HYPERLINK("https://www.cortellis.com/drugdiscovery/result/proxy/related-content/biomarkers/genestargets/61602","interferon gamma")</f>
        <v>interferon gamma</v>
      </c>
    </row>
    <row r="311" spans="1:11" ht="60" customHeight="1" x14ac:dyDescent="0.2">
      <c r="A311" s="2">
        <v>308</v>
      </c>
      <c r="B311" s="3" t="str">
        <f t="shared" si="66"/>
        <v>IFN-gamma</v>
      </c>
      <c r="C311" s="3" t="str">
        <f t="shared" si="67"/>
        <v>IFNG</v>
      </c>
      <c r="D311" s="3" t="str">
        <f t="shared" si="68"/>
        <v>IFNG_HUMAN</v>
      </c>
      <c r="E311" s="2" t="s">
        <v>21</v>
      </c>
      <c r="F311" s="3" t="str">
        <f t="shared" si="69"/>
        <v>Interferon gamma</v>
      </c>
      <c r="G311" s="4" t="str">
        <f t="shared" si="65"/>
        <v>Isoglycyrrhizinate</v>
      </c>
      <c r="H311" s="3" t="str">
        <f>HYPERLINK("https://www.cortellis.com/drugdiscovery/entity/biomarkers/62663","9-protein immunological disorders panel")</f>
        <v>9-protein immunological disorders panel</v>
      </c>
      <c r="I311" s="2" t="s">
        <v>24</v>
      </c>
      <c r="J311" s="2" t="s">
        <v>17</v>
      </c>
      <c r="K311" s="4" t="str">
        <f>HYPERLINK("https://www.cortellis.com/drugdiscovery/result/proxy/related-content/biomarkers/genestargets/62663","C-C motif chemokine ligand 2; interferon gamma; tumor necrosis factor")</f>
        <v>C-C motif chemokine ligand 2; interferon gamma; tumor necrosis factor</v>
      </c>
    </row>
    <row r="312" spans="1:11" ht="60" customHeight="1" x14ac:dyDescent="0.2">
      <c r="A312" s="2">
        <v>309</v>
      </c>
      <c r="B312" s="3" t="str">
        <f t="shared" si="66"/>
        <v>IFN-gamma</v>
      </c>
      <c r="C312" s="3" t="str">
        <f t="shared" si="67"/>
        <v>IFNG</v>
      </c>
      <c r="D312" s="3" t="str">
        <f t="shared" si="68"/>
        <v>IFNG_HUMAN</v>
      </c>
      <c r="E312" s="2" t="s">
        <v>21</v>
      </c>
      <c r="F312" s="3" t="str">
        <f t="shared" si="69"/>
        <v>Interferon gamma</v>
      </c>
      <c r="G312" s="4" t="str">
        <f t="shared" si="65"/>
        <v>Isoglycyrrhizinate</v>
      </c>
      <c r="H312" s="3" t="str">
        <f>HYPERLINK("https://www.cortellis.com/drugdiscovery/entity/biomarkers/62680","4-gene expression stomach cancer panel")</f>
        <v>4-gene expression stomach cancer panel</v>
      </c>
      <c r="I312" s="2" t="s">
        <v>24</v>
      </c>
      <c r="J312" s="2" t="s">
        <v>19</v>
      </c>
      <c r="K312" s="4" t="str">
        <f>HYPERLINK("https://www.cortellis.com/drugdiscovery/result/proxy/related-content/biomarkers/genestargets/62680","CD274 molecule; interferon gamma")</f>
        <v>CD274 molecule; interferon gamma</v>
      </c>
    </row>
    <row r="313" spans="1:11" ht="60" customHeight="1" x14ac:dyDescent="0.2">
      <c r="A313" s="2">
        <v>310</v>
      </c>
      <c r="B313" s="3" t="str">
        <f t="shared" si="66"/>
        <v>IFN-gamma</v>
      </c>
      <c r="C313" s="3" t="str">
        <f t="shared" si="67"/>
        <v>IFNG</v>
      </c>
      <c r="D313" s="3" t="str">
        <f t="shared" si="68"/>
        <v>IFNG_HUMAN</v>
      </c>
      <c r="E313" s="2" t="s">
        <v>21</v>
      </c>
      <c r="F313" s="3" t="str">
        <f t="shared" si="69"/>
        <v>Interferon gamma</v>
      </c>
      <c r="G313" s="4" t="str">
        <f t="shared" si="65"/>
        <v>Isoglycyrrhizinate</v>
      </c>
      <c r="H313" s="3" t="str">
        <f>HYPERLINK("https://www.cortellis.com/drugdiscovery/entity/biomarkers/63914","5-gene expression melanoma panel")</f>
        <v>5-gene expression melanoma panel</v>
      </c>
      <c r="I313" s="2" t="s">
        <v>18</v>
      </c>
      <c r="J313" s="2" t="s">
        <v>19</v>
      </c>
      <c r="K313" s="4" t="str">
        <f>HYPERLINK("https://www.cortellis.com/drugdiscovery/result/proxy/related-content/biomarkers/genestargets/63914","interferon gamma")</f>
        <v>interferon gamma</v>
      </c>
    </row>
    <row r="314" spans="1:11" ht="60" customHeight="1" x14ac:dyDescent="0.2">
      <c r="A314" s="2">
        <v>311</v>
      </c>
      <c r="B314" s="3" t="str">
        <f t="shared" si="66"/>
        <v>IFN-gamma</v>
      </c>
      <c r="C314" s="3" t="str">
        <f t="shared" si="67"/>
        <v>IFNG</v>
      </c>
      <c r="D314" s="3" t="str">
        <f t="shared" si="68"/>
        <v>IFNG_HUMAN</v>
      </c>
      <c r="E314" s="2" t="s">
        <v>21</v>
      </c>
      <c r="F314" s="3" t="str">
        <f t="shared" si="69"/>
        <v>Interferon gamma</v>
      </c>
      <c r="G314" s="4" t="str">
        <f t="shared" si="65"/>
        <v>Isoglycyrrhizinate</v>
      </c>
      <c r="H314" s="3" t="str">
        <f>HYPERLINK("https://www.cortellis.com/drugdiscovery/entity/biomarkers/64861","35-gene expresssion cancer panel")</f>
        <v>35-gene expresssion cancer panel</v>
      </c>
      <c r="I314" s="2" t="s">
        <v>38</v>
      </c>
      <c r="J314" s="2" t="s">
        <v>15</v>
      </c>
      <c r="K314" s="4" t="str">
        <f>HYPERLINK("https://www.cortellis.com/drugdiscovery/result/proxy/related-content/biomarkers/genestargets/64861","CD274 molecule; CD69 molecule; interferon gamma")</f>
        <v>CD274 molecule; CD69 molecule; interferon gamma</v>
      </c>
    </row>
    <row r="315" spans="1:11" ht="60" customHeight="1" x14ac:dyDescent="0.2">
      <c r="A315" s="2">
        <v>312</v>
      </c>
      <c r="B315" s="3" t="str">
        <f t="shared" ref="B315:B326" si="70">HYPERLINK("https://portal.genego.com/cgi/entity_page.cgi?term=100&amp;id=377","IFN-gamma receptor")</f>
        <v>IFN-gamma receptor</v>
      </c>
      <c r="C315" s="3" t="str">
        <f t="shared" ref="C315:C323" si="71">HYPERLINK("https://portal.genego.com/cgi/entity_page.cgi?term=20&amp;id=-363217819","IFNGR1")</f>
        <v>IFNGR1</v>
      </c>
      <c r="D315" s="3" t="str">
        <f t="shared" ref="D315:D323" si="72">HYPERLINK("https://portal.genego.com/cgi/entity_page.cgi?term=7&amp;id=-21548842","INGR1_HUMAN")</f>
        <v>INGR1_HUMAN</v>
      </c>
      <c r="E315" s="2" t="s">
        <v>13</v>
      </c>
      <c r="F315" s="3"/>
      <c r="G315" s="4"/>
      <c r="H315" s="3" t="str">
        <f>HYPERLINK("https://www.cortellis.com/drugdiscovery/entity/biomarkers/2268","Interferon-gamma receptor alpha chain")</f>
        <v>Interferon-gamma receptor alpha chain</v>
      </c>
      <c r="I315" s="2" t="s">
        <v>47</v>
      </c>
      <c r="J315" s="2" t="s">
        <v>15</v>
      </c>
      <c r="K315" s="4" t="str">
        <f>HYPERLINK("https://www.cortellis.com/drugdiscovery/result/proxy/related-content/biomarkers/genestargets/2268","interferon gamma receptor 1")</f>
        <v>interferon gamma receptor 1</v>
      </c>
    </row>
    <row r="316" spans="1:11" ht="60" customHeight="1" x14ac:dyDescent="0.2">
      <c r="A316" s="2">
        <v>313</v>
      </c>
      <c r="B316" s="3" t="str">
        <f t="shared" si="70"/>
        <v>IFN-gamma receptor</v>
      </c>
      <c r="C316" s="3" t="str">
        <f t="shared" si="71"/>
        <v>IFNGR1</v>
      </c>
      <c r="D316" s="3" t="str">
        <f t="shared" si="72"/>
        <v>INGR1_HUMAN</v>
      </c>
      <c r="E316" s="2" t="s">
        <v>13</v>
      </c>
      <c r="F316" s="3"/>
      <c r="G316" s="4"/>
      <c r="H316" s="3" t="str">
        <f>HYPERLINK("https://www.cortellis.com/drugdiscovery/entity/biomarkers/35078","23-gene expression cancer panel")</f>
        <v>23-gene expression cancer panel</v>
      </c>
      <c r="I316" s="2" t="s">
        <v>25</v>
      </c>
      <c r="J316" s="2" t="s">
        <v>19</v>
      </c>
      <c r="K316" s="4" t="str">
        <f>HYPERLINK("https://www.cortellis.com/drugdiscovery/result/proxy/related-content/biomarkers/genestargets/35078","interferon gamma receptor 1")</f>
        <v>interferon gamma receptor 1</v>
      </c>
    </row>
    <row r="317" spans="1:11" ht="60" customHeight="1" x14ac:dyDescent="0.2">
      <c r="A317" s="2">
        <v>314</v>
      </c>
      <c r="B317" s="3" t="str">
        <f t="shared" si="70"/>
        <v>IFN-gamma receptor</v>
      </c>
      <c r="C317" s="3" t="str">
        <f t="shared" si="71"/>
        <v>IFNGR1</v>
      </c>
      <c r="D317" s="3" t="str">
        <f t="shared" si="72"/>
        <v>INGR1_HUMAN</v>
      </c>
      <c r="E317" s="2" t="s">
        <v>13</v>
      </c>
      <c r="F317" s="3"/>
      <c r="G317" s="4"/>
      <c r="H317" s="3" t="str">
        <f>HYPERLINK("https://www.cortellis.com/drugdiscovery/entity/biomarkers/39117","71-gene expression cancer panel")</f>
        <v>71-gene expression cancer panel</v>
      </c>
      <c r="I317" s="2" t="s">
        <v>18</v>
      </c>
      <c r="J317" s="2" t="s">
        <v>19</v>
      </c>
      <c r="K317" s="4" t="str">
        <f>HYPERLINK("https://www.cortellis.com/drugdiscovery/result/proxy/related-content/biomarkers/genestargets/39117","interferon gamma receptor 1")</f>
        <v>interferon gamma receptor 1</v>
      </c>
    </row>
    <row r="318" spans="1:11" ht="60" customHeight="1" x14ac:dyDescent="0.2">
      <c r="A318" s="2">
        <v>315</v>
      </c>
      <c r="B318" s="3" t="str">
        <f t="shared" si="70"/>
        <v>IFN-gamma receptor</v>
      </c>
      <c r="C318" s="3" t="str">
        <f t="shared" si="71"/>
        <v>IFNGR1</v>
      </c>
      <c r="D318" s="3" t="str">
        <f t="shared" si="72"/>
        <v>INGR1_HUMAN</v>
      </c>
      <c r="E318" s="2" t="s">
        <v>13</v>
      </c>
      <c r="F318" s="3"/>
      <c r="G318" s="4"/>
      <c r="H318" s="3" t="str">
        <f>HYPERLINK("https://www.cortellis.com/drugdiscovery/entity/biomarkers/43633","5-gene expression renal and cardiac allograft rejection panel")</f>
        <v>5-gene expression renal and cardiac allograft rejection panel</v>
      </c>
      <c r="I318" s="2" t="s">
        <v>48</v>
      </c>
      <c r="J318" s="2" t="s">
        <v>19</v>
      </c>
      <c r="K318" s="4" t="str">
        <f>HYPERLINK("https://www.cortellis.com/drugdiscovery/result/proxy/related-content/biomarkers/genestargets/43633","interferon gamma receptor 1")</f>
        <v>interferon gamma receptor 1</v>
      </c>
    </row>
    <row r="319" spans="1:11" ht="60" customHeight="1" x14ac:dyDescent="0.2">
      <c r="A319" s="2">
        <v>316</v>
      </c>
      <c r="B319" s="3" t="str">
        <f t="shared" si="70"/>
        <v>IFN-gamma receptor</v>
      </c>
      <c r="C319" s="3" t="str">
        <f t="shared" si="71"/>
        <v>IFNGR1</v>
      </c>
      <c r="D319" s="3" t="str">
        <f t="shared" si="72"/>
        <v>INGR1_HUMAN</v>
      </c>
      <c r="E319" s="2" t="s">
        <v>13</v>
      </c>
      <c r="F319" s="3"/>
      <c r="G319" s="4"/>
      <c r="H319" s="3" t="str">
        <f>HYPERLINK("https://www.cortellis.com/drugdiscovery/entity/biomarkers/45605","53-gene expression melanoma panel")</f>
        <v>53-gene expression melanoma panel</v>
      </c>
      <c r="I319" s="2" t="s">
        <v>25</v>
      </c>
      <c r="J319" s="2" t="s">
        <v>19</v>
      </c>
      <c r="K319"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320" spans="1:11" ht="60" customHeight="1" x14ac:dyDescent="0.2">
      <c r="A320" s="2">
        <v>317</v>
      </c>
      <c r="B320" s="3" t="str">
        <f t="shared" si="70"/>
        <v>IFN-gamma receptor</v>
      </c>
      <c r="C320" s="3" t="str">
        <f t="shared" si="71"/>
        <v>IFNGR1</v>
      </c>
      <c r="D320" s="3" t="str">
        <f t="shared" si="72"/>
        <v>INGR1_HUMAN</v>
      </c>
      <c r="E320" s="2" t="s">
        <v>13</v>
      </c>
      <c r="F320" s="3"/>
      <c r="G320" s="4"/>
      <c r="H320" s="3" t="str">
        <f>HYPERLINK("https://www.cortellis.com/drugdiscovery/entity/biomarkers/45788","17-gene expression acute rejection panel")</f>
        <v>17-gene expression acute rejection panel</v>
      </c>
      <c r="I320" s="2" t="s">
        <v>49</v>
      </c>
      <c r="J320" s="2" t="s">
        <v>19</v>
      </c>
      <c r="K320" s="4" t="str">
        <f>HYPERLINK("https://www.cortellis.com/drugdiscovery/result/proxy/related-content/biomarkers/genestargets/45788","interferon gamma receptor 1")</f>
        <v>interferon gamma receptor 1</v>
      </c>
    </row>
    <row r="321" spans="1:11" ht="60" customHeight="1" x14ac:dyDescent="0.2">
      <c r="A321" s="2">
        <v>318</v>
      </c>
      <c r="B321" s="3" t="str">
        <f t="shared" si="70"/>
        <v>IFN-gamma receptor</v>
      </c>
      <c r="C321" s="3" t="str">
        <f t="shared" si="71"/>
        <v>IFNGR1</v>
      </c>
      <c r="D321" s="3" t="str">
        <f t="shared" si="72"/>
        <v>INGR1_HUMAN</v>
      </c>
      <c r="E321" s="2" t="s">
        <v>13</v>
      </c>
      <c r="F321" s="3"/>
      <c r="G321" s="4"/>
      <c r="H321" s="3" t="str">
        <f>HYPERLINK("https://www.cortellis.com/drugdiscovery/entity/biomarkers/47288","5-gene expression acute rejection panel")</f>
        <v>5-gene expression acute rejection panel</v>
      </c>
      <c r="I321" s="2" t="s">
        <v>23</v>
      </c>
      <c r="J321" s="2" t="s">
        <v>19</v>
      </c>
      <c r="K321" s="4" t="str">
        <f>HYPERLINK("https://www.cortellis.com/drugdiscovery/result/proxy/related-content/biomarkers/genestargets/47288","interferon gamma receptor 1")</f>
        <v>interferon gamma receptor 1</v>
      </c>
    </row>
    <row r="322" spans="1:11" ht="60" customHeight="1" x14ac:dyDescent="0.2">
      <c r="A322" s="2">
        <v>319</v>
      </c>
      <c r="B322" s="3" t="str">
        <f t="shared" si="70"/>
        <v>IFN-gamma receptor</v>
      </c>
      <c r="C322" s="3" t="str">
        <f t="shared" si="71"/>
        <v>IFNGR1</v>
      </c>
      <c r="D322" s="3" t="str">
        <f t="shared" si="72"/>
        <v>INGR1_HUMAN</v>
      </c>
      <c r="E322" s="2" t="s">
        <v>13</v>
      </c>
      <c r="F322" s="3"/>
      <c r="G322" s="4"/>
      <c r="H322" s="3" t="str">
        <f>HYPERLINK("https://www.cortellis.com/drugdiscovery/entity/biomarkers/62759","92-gene polymorphism ovary and female reproductive tract disorder panel")</f>
        <v>92-gene polymorphism ovary and female reproductive tract disorder panel</v>
      </c>
      <c r="I322" s="2" t="s">
        <v>29</v>
      </c>
      <c r="J322" s="2" t="s">
        <v>19</v>
      </c>
      <c r="K322" s="4" t="str">
        <f>HYPERLINK("https://www.cortellis.com/drugdiscovery/result/proxy/related-content/biomarkers/genestargets/62759","interferon gamma receptor 1")</f>
        <v>interferon gamma receptor 1</v>
      </c>
    </row>
    <row r="323" spans="1:11" ht="60" customHeight="1" x14ac:dyDescent="0.2">
      <c r="A323" s="2">
        <v>320</v>
      </c>
      <c r="B323" s="3" t="str">
        <f t="shared" si="70"/>
        <v>IFN-gamma receptor</v>
      </c>
      <c r="C323" s="3" t="str">
        <f t="shared" si="71"/>
        <v>IFNGR1</v>
      </c>
      <c r="D323" s="3" t="str">
        <f t="shared" si="72"/>
        <v>INGR1_HUMAN</v>
      </c>
      <c r="E323" s="2" t="s">
        <v>13</v>
      </c>
      <c r="F323" s="3"/>
      <c r="G323" s="4"/>
      <c r="H323" s="3" t="str">
        <f>HYPERLINK("https://www.cortellis.com/drugdiscovery/entity/biomarkers/62940","IFNGR1-RSPO3 fusion protein")</f>
        <v>IFNGR1-RSPO3 fusion protein</v>
      </c>
      <c r="I323" s="2" t="s">
        <v>29</v>
      </c>
      <c r="J323" s="2" t="s">
        <v>15</v>
      </c>
      <c r="K323" s="4" t="str">
        <f>HYPERLINK("https://www.cortellis.com/drugdiscovery/result/proxy/related-content/biomarkers/genestargets/62940","interferon gamma receptor 1")</f>
        <v>interferon gamma receptor 1</v>
      </c>
    </row>
    <row r="324" spans="1:11" ht="60" customHeight="1" x14ac:dyDescent="0.2">
      <c r="A324" s="2">
        <v>321</v>
      </c>
      <c r="B324" s="3" t="str">
        <f t="shared" si="70"/>
        <v>IFN-gamma receptor</v>
      </c>
      <c r="C324" s="3" t="str">
        <f>HYPERLINK("https://portal.genego.com/cgi/entity_page.cgi?term=20&amp;id=371815402","IFNGR2")</f>
        <v>IFNGR2</v>
      </c>
      <c r="D324" s="3" t="str">
        <f>HYPERLINK("https://portal.genego.com/cgi/entity_page.cgi?term=7&amp;id=417690461","INGR2_HUMAN")</f>
        <v>INGR2_HUMAN</v>
      </c>
      <c r="E324" s="2" t="s">
        <v>13</v>
      </c>
      <c r="F324" s="3"/>
      <c r="G324" s="4"/>
      <c r="H324" s="3" t="str">
        <f>HYPERLINK("https://www.cortellis.com/drugdiscovery/entity/biomarkers/2447","Interferon-gamma receptor beta chain")</f>
        <v>Interferon-gamma receptor beta chain</v>
      </c>
      <c r="I324" s="2" t="s">
        <v>50</v>
      </c>
      <c r="J324" s="2" t="s">
        <v>15</v>
      </c>
      <c r="K324" s="4" t="str">
        <f>HYPERLINK("https://www.cortellis.com/drugdiscovery/result/proxy/related-content/biomarkers/genestargets/2447","interferon gamma receptor 2")</f>
        <v>interferon gamma receptor 2</v>
      </c>
    </row>
    <row r="325" spans="1:11" ht="60" customHeight="1" x14ac:dyDescent="0.2">
      <c r="A325" s="2">
        <v>322</v>
      </c>
      <c r="B325" s="3" t="str">
        <f t="shared" si="70"/>
        <v>IFN-gamma receptor</v>
      </c>
      <c r="C325" s="3" t="str">
        <f>HYPERLINK("https://portal.genego.com/cgi/entity_page.cgi?term=20&amp;id=371815402","IFNGR2")</f>
        <v>IFNGR2</v>
      </c>
      <c r="D325" s="3" t="str">
        <f>HYPERLINK("https://portal.genego.com/cgi/entity_page.cgi?term=7&amp;id=417690461","INGR2_HUMAN")</f>
        <v>INGR2_HUMAN</v>
      </c>
      <c r="E325" s="2" t="s">
        <v>13</v>
      </c>
      <c r="F325" s="3"/>
      <c r="G325" s="4"/>
      <c r="H325" s="3" t="str">
        <f>HYPERLINK("https://www.cortellis.com/drugdiscovery/entity/biomarkers/55779","6-gene methylation esophageal cancer panel")</f>
        <v>6-gene methylation esophageal cancer panel</v>
      </c>
      <c r="I325" s="2" t="s">
        <v>18</v>
      </c>
      <c r="J325" s="2" t="s">
        <v>19</v>
      </c>
      <c r="K325" s="4" t="str">
        <f>HYPERLINK("https://www.cortellis.com/drugdiscovery/result/proxy/related-content/biomarkers/genestargets/55779","interferon gamma receptor 2")</f>
        <v>interferon gamma receptor 2</v>
      </c>
    </row>
    <row r="326" spans="1:11" ht="60" customHeight="1" x14ac:dyDescent="0.2">
      <c r="A326" s="2">
        <v>323</v>
      </c>
      <c r="B326" s="3" t="str">
        <f t="shared" si="70"/>
        <v>IFN-gamma receptor</v>
      </c>
      <c r="C326" s="3" t="str">
        <f>HYPERLINK("https://portal.genego.com/cgi/entity_page.cgi?term=20&amp;id=371815402","IFNGR2")</f>
        <v>IFNGR2</v>
      </c>
      <c r="D326" s="3" t="str">
        <f>HYPERLINK("https://portal.genego.com/cgi/entity_page.cgi?term=7&amp;id=417690461","INGR2_HUMAN")</f>
        <v>INGR2_HUMAN</v>
      </c>
      <c r="E326" s="2" t="s">
        <v>13</v>
      </c>
      <c r="F326" s="3"/>
      <c r="G326" s="4"/>
      <c r="H326" s="3" t="str">
        <f>HYPERLINK("https://www.cortellis.com/drugdiscovery/entity/biomarkers/57117","10-gene expression graft dysfunction panel")</f>
        <v>10-gene expression graft dysfunction panel</v>
      </c>
      <c r="I326" s="2" t="s">
        <v>51</v>
      </c>
      <c r="J326" s="2" t="s">
        <v>19</v>
      </c>
      <c r="K326" s="4" t="str">
        <f>HYPERLINK("https://www.cortellis.com/drugdiscovery/result/proxy/related-content/biomarkers/genestargets/57117","interferon gamma receptor 2")</f>
        <v>interferon gamma receptor 2</v>
      </c>
    </row>
    <row r="327" spans="1:11" ht="60" customHeight="1" x14ac:dyDescent="0.2">
      <c r="A327" s="2">
        <v>324</v>
      </c>
      <c r="B327" s="3" t="str">
        <f t="shared" ref="B327:B335" si="73">HYPERLINK("https://portal.genego.com/cgi/entity_page.cgi?term=100&amp;id=-1768384418","IFNGR1")</f>
        <v>IFNGR1</v>
      </c>
      <c r="C327" s="3" t="str">
        <f t="shared" ref="C327:C335" si="74">HYPERLINK("https://portal.genego.com/cgi/entity_page.cgi?term=20&amp;id=-363217819","IFNGR1")</f>
        <v>IFNGR1</v>
      </c>
      <c r="D327" s="3" t="str">
        <f t="shared" ref="D327:D335" si="75">HYPERLINK("https://portal.genego.com/cgi/entity_page.cgi?term=7&amp;id=-21548842","INGR1_HUMAN")</f>
        <v>INGR1_HUMAN</v>
      </c>
      <c r="E327" s="2" t="s">
        <v>13</v>
      </c>
      <c r="F327" s="3" t="str">
        <f t="shared" ref="F327:F335" si="76">HYPERLINK("https://portal.genego.com/cgi/entity_page.cgi?term=100&amp;id=-1768384418","Interferon gamma receptor 1")</f>
        <v>Interferon gamma receptor 1</v>
      </c>
      <c r="G327" s="4" t="str">
        <f t="shared" ref="G327:G338" si="77">HYPERLINK("https://portal.genego.com/cgi/entity_page.cgi?term=7&amp;id=219661560","Interferon gamma-1b")</f>
        <v>Interferon gamma-1b</v>
      </c>
      <c r="H327" s="3" t="str">
        <f>HYPERLINK("https://www.cortellis.com/drugdiscovery/entity/biomarkers/2268","Interferon-gamma receptor alpha chain")</f>
        <v>Interferon-gamma receptor alpha chain</v>
      </c>
      <c r="I327" s="2" t="s">
        <v>47</v>
      </c>
      <c r="J327" s="2" t="s">
        <v>15</v>
      </c>
      <c r="K327" s="4" t="str">
        <f>HYPERLINK("https://www.cortellis.com/drugdiscovery/result/proxy/related-content/biomarkers/genestargets/2268","interferon gamma receptor 1")</f>
        <v>interferon gamma receptor 1</v>
      </c>
    </row>
    <row r="328" spans="1:11" ht="60" customHeight="1" x14ac:dyDescent="0.2">
      <c r="A328" s="2">
        <v>325</v>
      </c>
      <c r="B328" s="3" t="str">
        <f t="shared" si="73"/>
        <v>IFNGR1</v>
      </c>
      <c r="C328" s="3" t="str">
        <f t="shared" si="74"/>
        <v>IFNGR1</v>
      </c>
      <c r="D328" s="3" t="str">
        <f t="shared" si="75"/>
        <v>INGR1_HUMAN</v>
      </c>
      <c r="E328" s="2" t="s">
        <v>13</v>
      </c>
      <c r="F328" s="3" t="str">
        <f t="shared" si="76"/>
        <v>Interferon gamma receptor 1</v>
      </c>
      <c r="G328" s="4" t="str">
        <f t="shared" si="77"/>
        <v>Interferon gamma-1b</v>
      </c>
      <c r="H328" s="3" t="str">
        <f>HYPERLINK("https://www.cortellis.com/drugdiscovery/entity/biomarkers/35078","23-gene expression cancer panel")</f>
        <v>23-gene expression cancer panel</v>
      </c>
      <c r="I328" s="2" t="s">
        <v>25</v>
      </c>
      <c r="J328" s="2" t="s">
        <v>19</v>
      </c>
      <c r="K328" s="4" t="str">
        <f>HYPERLINK("https://www.cortellis.com/drugdiscovery/result/proxy/related-content/biomarkers/genestargets/35078","interferon gamma receptor 1")</f>
        <v>interferon gamma receptor 1</v>
      </c>
    </row>
    <row r="329" spans="1:11" ht="60" customHeight="1" x14ac:dyDescent="0.2">
      <c r="A329" s="2">
        <v>326</v>
      </c>
      <c r="B329" s="3" t="str">
        <f t="shared" si="73"/>
        <v>IFNGR1</v>
      </c>
      <c r="C329" s="3" t="str">
        <f t="shared" si="74"/>
        <v>IFNGR1</v>
      </c>
      <c r="D329" s="3" t="str">
        <f t="shared" si="75"/>
        <v>INGR1_HUMAN</v>
      </c>
      <c r="E329" s="2" t="s">
        <v>13</v>
      </c>
      <c r="F329" s="3" t="str">
        <f t="shared" si="76"/>
        <v>Interferon gamma receptor 1</v>
      </c>
      <c r="G329" s="4" t="str">
        <f t="shared" si="77"/>
        <v>Interferon gamma-1b</v>
      </c>
      <c r="H329" s="3" t="str">
        <f>HYPERLINK("https://www.cortellis.com/drugdiscovery/entity/biomarkers/39117","71-gene expression cancer panel")</f>
        <v>71-gene expression cancer panel</v>
      </c>
      <c r="I329" s="2" t="s">
        <v>18</v>
      </c>
      <c r="J329" s="2" t="s">
        <v>19</v>
      </c>
      <c r="K329" s="4" t="str">
        <f>HYPERLINK("https://www.cortellis.com/drugdiscovery/result/proxy/related-content/biomarkers/genestargets/39117","interferon gamma receptor 1")</f>
        <v>interferon gamma receptor 1</v>
      </c>
    </row>
    <row r="330" spans="1:11" ht="60" customHeight="1" x14ac:dyDescent="0.2">
      <c r="A330" s="2">
        <v>327</v>
      </c>
      <c r="B330" s="3" t="str">
        <f t="shared" si="73"/>
        <v>IFNGR1</v>
      </c>
      <c r="C330" s="3" t="str">
        <f t="shared" si="74"/>
        <v>IFNGR1</v>
      </c>
      <c r="D330" s="3" t="str">
        <f t="shared" si="75"/>
        <v>INGR1_HUMAN</v>
      </c>
      <c r="E330" s="2" t="s">
        <v>13</v>
      </c>
      <c r="F330" s="3" t="str">
        <f t="shared" si="76"/>
        <v>Interferon gamma receptor 1</v>
      </c>
      <c r="G330" s="4" t="str">
        <f t="shared" si="77"/>
        <v>Interferon gamma-1b</v>
      </c>
      <c r="H330" s="3" t="str">
        <f>HYPERLINK("https://www.cortellis.com/drugdiscovery/entity/biomarkers/43633","5-gene expression renal and cardiac allograft rejection panel")</f>
        <v>5-gene expression renal and cardiac allograft rejection panel</v>
      </c>
      <c r="I330" s="2" t="s">
        <v>48</v>
      </c>
      <c r="J330" s="2" t="s">
        <v>19</v>
      </c>
      <c r="K330" s="4" t="str">
        <f>HYPERLINK("https://www.cortellis.com/drugdiscovery/result/proxy/related-content/biomarkers/genestargets/43633","interferon gamma receptor 1")</f>
        <v>interferon gamma receptor 1</v>
      </c>
    </row>
    <row r="331" spans="1:11" ht="60" customHeight="1" x14ac:dyDescent="0.2">
      <c r="A331" s="2">
        <v>328</v>
      </c>
      <c r="B331" s="3" t="str">
        <f t="shared" si="73"/>
        <v>IFNGR1</v>
      </c>
      <c r="C331" s="3" t="str">
        <f t="shared" si="74"/>
        <v>IFNGR1</v>
      </c>
      <c r="D331" s="3" t="str">
        <f t="shared" si="75"/>
        <v>INGR1_HUMAN</v>
      </c>
      <c r="E331" s="2" t="s">
        <v>13</v>
      </c>
      <c r="F331" s="3" t="str">
        <f t="shared" si="76"/>
        <v>Interferon gamma receptor 1</v>
      </c>
      <c r="G331" s="4" t="str">
        <f t="shared" si="77"/>
        <v>Interferon gamma-1b</v>
      </c>
      <c r="H331" s="3" t="str">
        <f>HYPERLINK("https://www.cortellis.com/drugdiscovery/entity/biomarkers/45605","53-gene expression melanoma panel")</f>
        <v>53-gene expression melanoma panel</v>
      </c>
      <c r="I331" s="2" t="s">
        <v>25</v>
      </c>
      <c r="J331" s="2" t="s">
        <v>19</v>
      </c>
      <c r="K331"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332" spans="1:11" ht="60" customHeight="1" x14ac:dyDescent="0.2">
      <c r="A332" s="2">
        <v>329</v>
      </c>
      <c r="B332" s="3" t="str">
        <f t="shared" si="73"/>
        <v>IFNGR1</v>
      </c>
      <c r="C332" s="3" t="str">
        <f t="shared" si="74"/>
        <v>IFNGR1</v>
      </c>
      <c r="D332" s="3" t="str">
        <f t="shared" si="75"/>
        <v>INGR1_HUMAN</v>
      </c>
      <c r="E332" s="2" t="s">
        <v>13</v>
      </c>
      <c r="F332" s="3" t="str">
        <f t="shared" si="76"/>
        <v>Interferon gamma receptor 1</v>
      </c>
      <c r="G332" s="4" t="str">
        <f t="shared" si="77"/>
        <v>Interferon gamma-1b</v>
      </c>
      <c r="H332" s="3" t="str">
        <f>HYPERLINK("https://www.cortellis.com/drugdiscovery/entity/biomarkers/45788","17-gene expression acute rejection panel")</f>
        <v>17-gene expression acute rejection panel</v>
      </c>
      <c r="I332" s="2" t="s">
        <v>49</v>
      </c>
      <c r="J332" s="2" t="s">
        <v>19</v>
      </c>
      <c r="K332" s="4" t="str">
        <f>HYPERLINK("https://www.cortellis.com/drugdiscovery/result/proxy/related-content/biomarkers/genestargets/45788","interferon gamma receptor 1")</f>
        <v>interferon gamma receptor 1</v>
      </c>
    </row>
    <row r="333" spans="1:11" ht="60" customHeight="1" x14ac:dyDescent="0.2">
      <c r="A333" s="2">
        <v>330</v>
      </c>
      <c r="B333" s="3" t="str">
        <f t="shared" si="73"/>
        <v>IFNGR1</v>
      </c>
      <c r="C333" s="3" t="str">
        <f t="shared" si="74"/>
        <v>IFNGR1</v>
      </c>
      <c r="D333" s="3" t="str">
        <f t="shared" si="75"/>
        <v>INGR1_HUMAN</v>
      </c>
      <c r="E333" s="2" t="s">
        <v>13</v>
      </c>
      <c r="F333" s="3" t="str">
        <f t="shared" si="76"/>
        <v>Interferon gamma receptor 1</v>
      </c>
      <c r="G333" s="4" t="str">
        <f t="shared" si="77"/>
        <v>Interferon gamma-1b</v>
      </c>
      <c r="H333" s="3" t="str">
        <f>HYPERLINK("https://www.cortellis.com/drugdiscovery/entity/biomarkers/47288","5-gene expression acute rejection panel")</f>
        <v>5-gene expression acute rejection panel</v>
      </c>
      <c r="I333" s="2" t="s">
        <v>23</v>
      </c>
      <c r="J333" s="2" t="s">
        <v>19</v>
      </c>
      <c r="K333" s="4" t="str">
        <f>HYPERLINK("https://www.cortellis.com/drugdiscovery/result/proxy/related-content/biomarkers/genestargets/47288","interferon gamma receptor 1")</f>
        <v>interferon gamma receptor 1</v>
      </c>
    </row>
    <row r="334" spans="1:11" ht="60" customHeight="1" x14ac:dyDescent="0.2">
      <c r="A334" s="2">
        <v>331</v>
      </c>
      <c r="B334" s="3" t="str">
        <f t="shared" si="73"/>
        <v>IFNGR1</v>
      </c>
      <c r="C334" s="3" t="str">
        <f t="shared" si="74"/>
        <v>IFNGR1</v>
      </c>
      <c r="D334" s="3" t="str">
        <f t="shared" si="75"/>
        <v>INGR1_HUMAN</v>
      </c>
      <c r="E334" s="2" t="s">
        <v>13</v>
      </c>
      <c r="F334" s="3" t="str">
        <f t="shared" si="76"/>
        <v>Interferon gamma receptor 1</v>
      </c>
      <c r="G334" s="4" t="str">
        <f t="shared" si="77"/>
        <v>Interferon gamma-1b</v>
      </c>
      <c r="H334" s="3" t="str">
        <f>HYPERLINK("https://www.cortellis.com/drugdiscovery/entity/biomarkers/62759","92-gene polymorphism ovary and female reproductive tract disorder panel")</f>
        <v>92-gene polymorphism ovary and female reproductive tract disorder panel</v>
      </c>
      <c r="I334" s="2" t="s">
        <v>29</v>
      </c>
      <c r="J334" s="2" t="s">
        <v>19</v>
      </c>
      <c r="K334" s="4" t="str">
        <f>HYPERLINK("https://www.cortellis.com/drugdiscovery/result/proxy/related-content/biomarkers/genestargets/62759","interferon gamma receptor 1")</f>
        <v>interferon gamma receptor 1</v>
      </c>
    </row>
    <row r="335" spans="1:11" ht="60" customHeight="1" x14ac:dyDescent="0.2">
      <c r="A335" s="2">
        <v>332</v>
      </c>
      <c r="B335" s="3" t="str">
        <f t="shared" si="73"/>
        <v>IFNGR1</v>
      </c>
      <c r="C335" s="3" t="str">
        <f t="shared" si="74"/>
        <v>IFNGR1</v>
      </c>
      <c r="D335" s="3" t="str">
        <f t="shared" si="75"/>
        <v>INGR1_HUMAN</v>
      </c>
      <c r="E335" s="2" t="s">
        <v>13</v>
      </c>
      <c r="F335" s="3" t="str">
        <f t="shared" si="76"/>
        <v>Interferon gamma receptor 1</v>
      </c>
      <c r="G335" s="4" t="str">
        <f t="shared" si="77"/>
        <v>Interferon gamma-1b</v>
      </c>
      <c r="H335" s="3" t="str">
        <f>HYPERLINK("https://www.cortellis.com/drugdiscovery/entity/biomarkers/62940","IFNGR1-RSPO3 fusion protein")</f>
        <v>IFNGR1-RSPO3 fusion protein</v>
      </c>
      <c r="I335" s="2" t="s">
        <v>29</v>
      </c>
      <c r="J335" s="2" t="s">
        <v>15</v>
      </c>
      <c r="K335" s="4" t="str">
        <f>HYPERLINK("https://www.cortellis.com/drugdiscovery/result/proxy/related-content/biomarkers/genestargets/62940","interferon gamma receptor 1")</f>
        <v>interferon gamma receptor 1</v>
      </c>
    </row>
    <row r="336" spans="1:11" ht="60" customHeight="1" x14ac:dyDescent="0.2">
      <c r="A336" s="2">
        <v>333</v>
      </c>
      <c r="B336" s="3" t="str">
        <f>HYPERLINK("https://portal.genego.com/cgi/entity_page.cgi?term=100&amp;id=-1581608034","IFNGR2")</f>
        <v>IFNGR2</v>
      </c>
      <c r="C336" s="3" t="str">
        <f>HYPERLINK("https://portal.genego.com/cgi/entity_page.cgi?term=20&amp;id=371815402","IFNGR2")</f>
        <v>IFNGR2</v>
      </c>
      <c r="D336" s="3" t="str">
        <f>HYPERLINK("https://portal.genego.com/cgi/entity_page.cgi?term=7&amp;id=417690461","INGR2_HUMAN")</f>
        <v>INGR2_HUMAN</v>
      </c>
      <c r="E336" s="2" t="s">
        <v>13</v>
      </c>
      <c r="F336" s="3" t="str">
        <f>HYPERLINK("https://portal.genego.com/cgi/entity_page.cgi?term=100&amp;id=-1581608034","Interferon gamma receptor 2")</f>
        <v>Interferon gamma receptor 2</v>
      </c>
      <c r="G336" s="4" t="str">
        <f t="shared" si="77"/>
        <v>Interferon gamma-1b</v>
      </c>
      <c r="H336" s="3" t="str">
        <f>HYPERLINK("https://www.cortellis.com/drugdiscovery/entity/biomarkers/2447","Interferon-gamma receptor beta chain")</f>
        <v>Interferon-gamma receptor beta chain</v>
      </c>
      <c r="I336" s="2" t="s">
        <v>50</v>
      </c>
      <c r="J336" s="2" t="s">
        <v>15</v>
      </c>
      <c r="K336" s="4" t="str">
        <f>HYPERLINK("https://www.cortellis.com/drugdiscovery/result/proxy/related-content/biomarkers/genestargets/2447","interferon gamma receptor 2")</f>
        <v>interferon gamma receptor 2</v>
      </c>
    </row>
    <row r="337" spans="1:11" ht="60" customHeight="1" x14ac:dyDescent="0.2">
      <c r="A337" s="2">
        <v>334</v>
      </c>
      <c r="B337" s="3" t="str">
        <f>HYPERLINK("https://portal.genego.com/cgi/entity_page.cgi?term=100&amp;id=-1581608034","IFNGR2")</f>
        <v>IFNGR2</v>
      </c>
      <c r="C337" s="3" t="str">
        <f>HYPERLINK("https://portal.genego.com/cgi/entity_page.cgi?term=20&amp;id=371815402","IFNGR2")</f>
        <v>IFNGR2</v>
      </c>
      <c r="D337" s="3" t="str">
        <f>HYPERLINK("https://portal.genego.com/cgi/entity_page.cgi?term=7&amp;id=417690461","INGR2_HUMAN")</f>
        <v>INGR2_HUMAN</v>
      </c>
      <c r="E337" s="2" t="s">
        <v>13</v>
      </c>
      <c r="F337" s="3" t="str">
        <f>HYPERLINK("https://portal.genego.com/cgi/entity_page.cgi?term=100&amp;id=-1581608034","Interferon gamma receptor 2")</f>
        <v>Interferon gamma receptor 2</v>
      </c>
      <c r="G337" s="4" t="str">
        <f t="shared" si="77"/>
        <v>Interferon gamma-1b</v>
      </c>
      <c r="H337" s="3" t="str">
        <f>HYPERLINK("https://www.cortellis.com/drugdiscovery/entity/biomarkers/55779","6-gene methylation esophageal cancer panel")</f>
        <v>6-gene methylation esophageal cancer panel</v>
      </c>
      <c r="I337" s="2" t="s">
        <v>18</v>
      </c>
      <c r="J337" s="2" t="s">
        <v>19</v>
      </c>
      <c r="K337" s="4" t="str">
        <f>HYPERLINK("https://www.cortellis.com/drugdiscovery/result/proxy/related-content/biomarkers/genestargets/55779","interferon gamma receptor 2")</f>
        <v>interferon gamma receptor 2</v>
      </c>
    </row>
    <row r="338" spans="1:11" ht="60" customHeight="1" x14ac:dyDescent="0.2">
      <c r="A338" s="2">
        <v>335</v>
      </c>
      <c r="B338" s="3" t="str">
        <f>HYPERLINK("https://portal.genego.com/cgi/entity_page.cgi?term=100&amp;id=-1581608034","IFNGR2")</f>
        <v>IFNGR2</v>
      </c>
      <c r="C338" s="3" t="str">
        <f>HYPERLINK("https://portal.genego.com/cgi/entity_page.cgi?term=20&amp;id=371815402","IFNGR2")</f>
        <v>IFNGR2</v>
      </c>
      <c r="D338" s="3" t="str">
        <f>HYPERLINK("https://portal.genego.com/cgi/entity_page.cgi?term=7&amp;id=417690461","INGR2_HUMAN")</f>
        <v>INGR2_HUMAN</v>
      </c>
      <c r="E338" s="2" t="s">
        <v>13</v>
      </c>
      <c r="F338" s="3" t="str">
        <f>HYPERLINK("https://portal.genego.com/cgi/entity_page.cgi?term=100&amp;id=-1581608034","Interferon gamma receptor 2")</f>
        <v>Interferon gamma receptor 2</v>
      </c>
      <c r="G338" s="4" t="str">
        <f t="shared" si="77"/>
        <v>Interferon gamma-1b</v>
      </c>
      <c r="H338" s="3" t="str">
        <f>HYPERLINK("https://www.cortellis.com/drugdiscovery/entity/biomarkers/57117","10-gene expression graft dysfunction panel")</f>
        <v>10-gene expression graft dysfunction panel</v>
      </c>
      <c r="I338" s="2" t="s">
        <v>51</v>
      </c>
      <c r="J338" s="2" t="s">
        <v>19</v>
      </c>
      <c r="K338" s="4" t="str">
        <f>HYPERLINK("https://www.cortellis.com/drugdiscovery/result/proxy/related-content/biomarkers/genestargets/57117","interferon gamma receptor 2")</f>
        <v>interferon gamma receptor 2</v>
      </c>
    </row>
    <row r="339" spans="1:11" ht="60" customHeight="1" x14ac:dyDescent="0.2">
      <c r="A339" s="2">
        <v>336</v>
      </c>
      <c r="B339" s="3" t="str">
        <f t="shared" ref="B339:B358" si="78">HYPERLINK("https://portal.genego.com/cgi/entity_page.cgi?term=100&amp;id=394","IL-12")</f>
        <v>IL-12</v>
      </c>
      <c r="C339" s="3" t="str">
        <f t="shared" ref="C339:C368" si="79">HYPERLINK("https://portal.genego.com/cgi/entity_page.cgi?term=20&amp;id=1083960427","IL12B")</f>
        <v>IL12B</v>
      </c>
      <c r="D339" s="3" t="str">
        <f t="shared" ref="D339:D368" si="80">HYPERLINK("https://portal.genego.com/cgi/entity_page.cgi?term=7&amp;id=-1540371507","IL12B_HUMAN")</f>
        <v>IL12B_HUMAN</v>
      </c>
      <c r="E339" s="2" t="s">
        <v>21</v>
      </c>
      <c r="F339" s="3"/>
      <c r="G339" s="4" t="str">
        <f t="shared" ref="G339:G348" si="81">HYPERLINK("https://portal.genego.com/cgi/entity_page.cgi?term=7&amp;id=1229455903","Briakinumab")</f>
        <v>Briakinumab</v>
      </c>
      <c r="H339" s="3" t="str">
        <f>HYPERLINK("https://www.cortellis.com/drugdiscovery/entity/biomarkers/174","Interleukin-12")</f>
        <v>Interleukin-12</v>
      </c>
      <c r="I339" s="2" t="s">
        <v>39</v>
      </c>
      <c r="J339" s="2" t="s">
        <v>15</v>
      </c>
      <c r="K339" s="4" t="str">
        <f>HYPERLINK("https://www.cortellis.com/drugdiscovery/result/proxy/related-content/biomarkers/genestargets/174","interleukin 12B")</f>
        <v>interleukin 12B</v>
      </c>
    </row>
    <row r="340" spans="1:11" ht="60" customHeight="1" x14ac:dyDescent="0.2">
      <c r="A340" s="2">
        <v>337</v>
      </c>
      <c r="B340" s="3" t="str">
        <f t="shared" si="78"/>
        <v>IL-12</v>
      </c>
      <c r="C340" s="3" t="str">
        <f t="shared" si="79"/>
        <v>IL12B</v>
      </c>
      <c r="D340" s="3" t="str">
        <f t="shared" si="80"/>
        <v>IL12B_HUMAN</v>
      </c>
      <c r="E340" s="2" t="s">
        <v>21</v>
      </c>
      <c r="F340" s="3"/>
      <c r="G340" s="4" t="str">
        <f t="shared" si="81"/>
        <v>Briakinumab</v>
      </c>
      <c r="H340" s="3" t="str">
        <f>HYPERLINK("https://www.cortellis.com/drugdiscovery/entity/biomarkers/2420","Interleukin-12 subunit beta")</f>
        <v>Interleukin-12 subunit beta</v>
      </c>
      <c r="I340" s="2" t="s">
        <v>43</v>
      </c>
      <c r="J340" s="2" t="s">
        <v>15</v>
      </c>
      <c r="K340" s="4" t="str">
        <f>HYPERLINK("https://www.cortellis.com/drugdiscovery/result/proxy/related-content/biomarkers/genestargets/2420","interleukin 12B")</f>
        <v>interleukin 12B</v>
      </c>
    </row>
    <row r="341" spans="1:11" ht="60" customHeight="1" x14ac:dyDescent="0.2">
      <c r="A341" s="2">
        <v>338</v>
      </c>
      <c r="B341" s="3" t="str">
        <f t="shared" si="78"/>
        <v>IL-12</v>
      </c>
      <c r="C341" s="3" t="str">
        <f t="shared" si="79"/>
        <v>IL12B</v>
      </c>
      <c r="D341" s="3" t="str">
        <f t="shared" si="80"/>
        <v>IL12B_HUMAN</v>
      </c>
      <c r="E341" s="2" t="s">
        <v>21</v>
      </c>
      <c r="F341" s="3"/>
      <c r="G341" s="4" t="str">
        <f t="shared" si="81"/>
        <v>Briakinumab</v>
      </c>
      <c r="H341" s="3" t="str">
        <f>HYPERLINK("https://www.cortellis.com/drugdiscovery/entity/biomarkers/27598","89-protein neurological alzheimer's panel")</f>
        <v>89-protein neurological alzheimer's panel</v>
      </c>
      <c r="I341" s="2" t="s">
        <v>23</v>
      </c>
      <c r="J341" s="2" t="s">
        <v>17</v>
      </c>
      <c r="K341"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342" spans="1:11" ht="60" customHeight="1" x14ac:dyDescent="0.2">
      <c r="A342" s="2">
        <v>339</v>
      </c>
      <c r="B342" s="3" t="str">
        <f t="shared" si="78"/>
        <v>IL-12</v>
      </c>
      <c r="C342" s="3" t="str">
        <f t="shared" si="79"/>
        <v>IL12B</v>
      </c>
      <c r="D342" s="3" t="str">
        <f t="shared" si="80"/>
        <v>IL12B_HUMAN</v>
      </c>
      <c r="E342" s="2" t="s">
        <v>21</v>
      </c>
      <c r="F342" s="3"/>
      <c r="G342" s="4" t="str">
        <f t="shared" si="81"/>
        <v>Briakinumab</v>
      </c>
      <c r="H342" s="3" t="str">
        <f>HYPERLINK("https://www.cortellis.com/drugdiscovery/entity/biomarkers/30768","11-protein cardiovascular panel")</f>
        <v>11-protein cardiovascular panel</v>
      </c>
      <c r="I342" s="2" t="s">
        <v>23</v>
      </c>
      <c r="J342" s="2" t="s">
        <v>17</v>
      </c>
      <c r="K342" s="4" t="str">
        <f>HYPERLINK("https://www.cortellis.com/drugdiscovery/result/proxy/related-content/biomarkers/genestargets/30768","interferon gamma; interleukin 12B; tumor necrosis factor")</f>
        <v>interferon gamma; interleukin 12B; tumor necrosis factor</v>
      </c>
    </row>
    <row r="343" spans="1:11" ht="60" customHeight="1" x14ac:dyDescent="0.2">
      <c r="A343" s="2">
        <v>340</v>
      </c>
      <c r="B343" s="3" t="str">
        <f t="shared" si="78"/>
        <v>IL-12</v>
      </c>
      <c r="C343" s="3" t="str">
        <f t="shared" si="79"/>
        <v>IL12B</v>
      </c>
      <c r="D343" s="3" t="str">
        <f t="shared" si="80"/>
        <v>IL12B_HUMAN</v>
      </c>
      <c r="E343" s="2" t="s">
        <v>21</v>
      </c>
      <c r="F343" s="3"/>
      <c r="G343" s="4" t="str">
        <f t="shared" si="81"/>
        <v>Briakinumab</v>
      </c>
      <c r="H343" s="3" t="str">
        <f>HYPERLINK("https://www.cortellis.com/drugdiscovery/entity/biomarkers/36097","21-protein breast cancer panel")</f>
        <v>21-protein breast cancer panel</v>
      </c>
      <c r="I343" s="2" t="s">
        <v>18</v>
      </c>
      <c r="J343" s="2" t="s">
        <v>17</v>
      </c>
      <c r="K343" s="4" t="str">
        <f>HYPERLINK("https://www.cortellis.com/drugdiscovery/result/proxy/related-content/biomarkers/genestargets/36097","C-C motif chemokine ligand 2; interleukin 12B; interleukin 7")</f>
        <v>C-C motif chemokine ligand 2; interleukin 12B; interleukin 7</v>
      </c>
    </row>
    <row r="344" spans="1:11" ht="60" customHeight="1" x14ac:dyDescent="0.2">
      <c r="A344" s="2">
        <v>341</v>
      </c>
      <c r="B344" s="3" t="str">
        <f t="shared" si="78"/>
        <v>IL-12</v>
      </c>
      <c r="C344" s="3" t="str">
        <f t="shared" si="79"/>
        <v>IL12B</v>
      </c>
      <c r="D344" s="3" t="str">
        <f t="shared" si="80"/>
        <v>IL12B_HUMAN</v>
      </c>
      <c r="E344" s="2" t="s">
        <v>21</v>
      </c>
      <c r="F344" s="3"/>
      <c r="G344" s="4" t="str">
        <f t="shared" si="81"/>
        <v>Briakinumab</v>
      </c>
      <c r="H344" s="3" t="str">
        <f>HYPERLINK("https://www.cortellis.com/drugdiscovery/entity/biomarkers/43870","17-genomic 14-protein 3-biochemical irritable bowel syndrome panel")</f>
        <v>17-genomic 14-protein 3-biochemical irritable bowel syndrome panel</v>
      </c>
      <c r="I344" s="2" t="s">
        <v>52</v>
      </c>
      <c r="J344" s="2" t="s">
        <v>53</v>
      </c>
      <c r="K344" s="4" t="str">
        <f>HYPERLINK("https://www.cortellis.com/drugdiscovery/result/proxy/related-content/biomarkers/genestargets/43870","interleukin 12B; tumor necrosis factor")</f>
        <v>interleukin 12B; tumor necrosis factor</v>
      </c>
    </row>
    <row r="345" spans="1:11" ht="60" customHeight="1" x14ac:dyDescent="0.2">
      <c r="A345" s="2">
        <v>342</v>
      </c>
      <c r="B345" s="3" t="str">
        <f t="shared" si="78"/>
        <v>IL-12</v>
      </c>
      <c r="C345" s="3" t="str">
        <f t="shared" si="79"/>
        <v>IL12B</v>
      </c>
      <c r="D345" s="3" t="str">
        <f t="shared" si="80"/>
        <v>IL12B_HUMAN</v>
      </c>
      <c r="E345" s="2" t="s">
        <v>21</v>
      </c>
      <c r="F345" s="3"/>
      <c r="G345" s="4" t="str">
        <f t="shared" si="81"/>
        <v>Briakinumab</v>
      </c>
      <c r="H345" s="3" t="str">
        <f>HYPERLINK("https://www.cortellis.com/drugdiscovery/entity/biomarkers/50283","14-gene polymorphism psoriasis panel")</f>
        <v>14-gene polymorphism psoriasis panel</v>
      </c>
      <c r="I345" s="2" t="s">
        <v>29</v>
      </c>
      <c r="J345" s="2" t="s">
        <v>19</v>
      </c>
      <c r="K345" s="4" t="str">
        <f>HYPERLINK("https://www.cortellis.com/drugdiscovery/result/proxy/related-content/biomarkers/genestargets/50283","interleukin 12B")</f>
        <v>interleukin 12B</v>
      </c>
    </row>
    <row r="346" spans="1:11" ht="60" customHeight="1" x14ac:dyDescent="0.2">
      <c r="A346" s="2">
        <v>343</v>
      </c>
      <c r="B346" s="3" t="str">
        <f t="shared" si="78"/>
        <v>IL-12</v>
      </c>
      <c r="C346" s="3" t="str">
        <f t="shared" si="79"/>
        <v>IL12B</v>
      </c>
      <c r="D346" s="3" t="str">
        <f t="shared" si="80"/>
        <v>IL12B_HUMAN</v>
      </c>
      <c r="E346" s="2" t="s">
        <v>21</v>
      </c>
      <c r="F346" s="3"/>
      <c r="G346" s="4" t="str">
        <f t="shared" si="81"/>
        <v>Briakinumab</v>
      </c>
      <c r="H346" s="3" t="str">
        <f>HYPERLINK("https://www.cortellis.com/drugdiscovery/entity/biomarkers/53008","14-gene expression acute myeloid leukemia panel")</f>
        <v>14-gene expression acute myeloid leukemia panel</v>
      </c>
      <c r="I346" s="2" t="s">
        <v>25</v>
      </c>
      <c r="J346" s="2" t="s">
        <v>19</v>
      </c>
      <c r="K346" s="4" t="str">
        <f>HYPERLINK("https://www.cortellis.com/drugdiscovery/result/proxy/related-content/biomarkers/genestargets/53008","interleukin 12B")</f>
        <v>interleukin 12B</v>
      </c>
    </row>
    <row r="347" spans="1:11" ht="60" customHeight="1" x14ac:dyDescent="0.2">
      <c r="A347" s="2">
        <v>344</v>
      </c>
      <c r="B347" s="3" t="str">
        <f t="shared" si="78"/>
        <v>IL-12</v>
      </c>
      <c r="C347" s="3" t="str">
        <f t="shared" si="79"/>
        <v>IL12B</v>
      </c>
      <c r="D347" s="3" t="str">
        <f t="shared" si="80"/>
        <v>IL12B_HUMAN</v>
      </c>
      <c r="E347" s="2" t="s">
        <v>21</v>
      </c>
      <c r="F347" s="3"/>
      <c r="G347" s="4" t="str">
        <f t="shared" si="81"/>
        <v>Briakinumab</v>
      </c>
      <c r="H347" s="3" t="str">
        <f>HYPERLINK("https://www.cortellis.com/drugdiscovery/entity/biomarkers/57250","9-protein non-muscle invasive bladder cancer panel")</f>
        <v>9-protein non-muscle invasive bladder cancer panel</v>
      </c>
      <c r="I347" s="2" t="s">
        <v>18</v>
      </c>
      <c r="J347" s="2" t="s">
        <v>17</v>
      </c>
      <c r="K347" s="4" t="str">
        <f>HYPERLINK("https://www.cortellis.com/drugdiscovery/result/proxy/related-content/biomarkers/genestargets/57250","interferon gamma; interleukin 12B; tumor necrosis factor")</f>
        <v>interferon gamma; interleukin 12B; tumor necrosis factor</v>
      </c>
    </row>
    <row r="348" spans="1:11" ht="60" customHeight="1" x14ac:dyDescent="0.2">
      <c r="A348" s="2">
        <v>345</v>
      </c>
      <c r="B348" s="3" t="str">
        <f t="shared" si="78"/>
        <v>IL-12</v>
      </c>
      <c r="C348" s="3" t="str">
        <f t="shared" si="79"/>
        <v>IL12B</v>
      </c>
      <c r="D348" s="3" t="str">
        <f t="shared" si="80"/>
        <v>IL12B_HUMAN</v>
      </c>
      <c r="E348" s="2" t="s">
        <v>21</v>
      </c>
      <c r="F348" s="3"/>
      <c r="G348" s="4" t="str">
        <f t="shared" si="81"/>
        <v>Briakinumab</v>
      </c>
      <c r="H348" s="3" t="str">
        <f>HYPERLINK("https://www.cortellis.com/drugdiscovery/entity/biomarkers/62155","19-protein rhegmatogenous retinal detachment panel")</f>
        <v>19-protein rhegmatogenous retinal detachment panel</v>
      </c>
      <c r="I348" s="2" t="s">
        <v>24</v>
      </c>
      <c r="J348" s="2" t="s">
        <v>17</v>
      </c>
      <c r="K348" s="4" t="str">
        <f>HYPERLINK("https://www.cortellis.com/drugdiscovery/result/proxy/related-content/biomarkers/genestargets/62155","C-C motif chemokine ligand 2; interleukin 12B; tumor necrosis factor")</f>
        <v>C-C motif chemokine ligand 2; interleukin 12B; tumor necrosis factor</v>
      </c>
    </row>
    <row r="349" spans="1:11" ht="60" customHeight="1" x14ac:dyDescent="0.2">
      <c r="A349" s="2">
        <v>346</v>
      </c>
      <c r="B349" s="3" t="str">
        <f t="shared" si="78"/>
        <v>IL-12</v>
      </c>
      <c r="C349" s="3" t="str">
        <f t="shared" si="79"/>
        <v>IL12B</v>
      </c>
      <c r="D349" s="3" t="str">
        <f t="shared" si="80"/>
        <v>IL12B_HUMAN</v>
      </c>
      <c r="E349" s="2" t="s">
        <v>21</v>
      </c>
      <c r="F349" s="3"/>
      <c r="G349" s="4" t="str">
        <f t="shared" ref="G349:G358" si="82">HYPERLINK("https://portal.genego.com/cgi/entity_page.cgi?term=7&amp;id=2022538576","Ustekinumab")</f>
        <v>Ustekinumab</v>
      </c>
      <c r="H349" s="3" t="str">
        <f>HYPERLINK("https://www.cortellis.com/drugdiscovery/entity/biomarkers/174","Interleukin-12")</f>
        <v>Interleukin-12</v>
      </c>
      <c r="I349" s="2" t="s">
        <v>39</v>
      </c>
      <c r="J349" s="2" t="s">
        <v>15</v>
      </c>
      <c r="K349" s="4" t="str">
        <f>HYPERLINK("https://www.cortellis.com/drugdiscovery/result/proxy/related-content/biomarkers/genestargets/174","interleukin 12B")</f>
        <v>interleukin 12B</v>
      </c>
    </row>
    <row r="350" spans="1:11" ht="60" customHeight="1" x14ac:dyDescent="0.2">
      <c r="A350" s="2">
        <v>347</v>
      </c>
      <c r="B350" s="3" t="str">
        <f t="shared" si="78"/>
        <v>IL-12</v>
      </c>
      <c r="C350" s="3" t="str">
        <f t="shared" si="79"/>
        <v>IL12B</v>
      </c>
      <c r="D350" s="3" t="str">
        <f t="shared" si="80"/>
        <v>IL12B_HUMAN</v>
      </c>
      <c r="E350" s="2" t="s">
        <v>21</v>
      </c>
      <c r="F350" s="3"/>
      <c r="G350" s="4" t="str">
        <f t="shared" si="82"/>
        <v>Ustekinumab</v>
      </c>
      <c r="H350" s="3" t="str">
        <f>HYPERLINK("https://www.cortellis.com/drugdiscovery/entity/biomarkers/2420","Interleukin-12 subunit beta")</f>
        <v>Interleukin-12 subunit beta</v>
      </c>
      <c r="I350" s="2" t="s">
        <v>43</v>
      </c>
      <c r="J350" s="2" t="s">
        <v>15</v>
      </c>
      <c r="K350" s="4" t="str">
        <f>HYPERLINK("https://www.cortellis.com/drugdiscovery/result/proxy/related-content/biomarkers/genestargets/2420","interleukin 12B")</f>
        <v>interleukin 12B</v>
      </c>
    </row>
    <row r="351" spans="1:11" ht="60" customHeight="1" x14ac:dyDescent="0.2">
      <c r="A351" s="2">
        <v>348</v>
      </c>
      <c r="B351" s="3" t="str">
        <f t="shared" si="78"/>
        <v>IL-12</v>
      </c>
      <c r="C351" s="3" t="str">
        <f t="shared" si="79"/>
        <v>IL12B</v>
      </c>
      <c r="D351" s="3" t="str">
        <f t="shared" si="80"/>
        <v>IL12B_HUMAN</v>
      </c>
      <c r="E351" s="2" t="s">
        <v>21</v>
      </c>
      <c r="F351" s="3"/>
      <c r="G351" s="4" t="str">
        <f t="shared" si="82"/>
        <v>Ustekinumab</v>
      </c>
      <c r="H351" s="3" t="str">
        <f>HYPERLINK("https://www.cortellis.com/drugdiscovery/entity/biomarkers/27598","89-protein neurological alzheimer's panel")</f>
        <v>89-protein neurological alzheimer's panel</v>
      </c>
      <c r="I351" s="2" t="s">
        <v>23</v>
      </c>
      <c r="J351" s="2" t="s">
        <v>17</v>
      </c>
      <c r="K351"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352" spans="1:11" ht="60" customHeight="1" x14ac:dyDescent="0.2">
      <c r="A352" s="2">
        <v>349</v>
      </c>
      <c r="B352" s="3" t="str">
        <f t="shared" si="78"/>
        <v>IL-12</v>
      </c>
      <c r="C352" s="3" t="str">
        <f t="shared" si="79"/>
        <v>IL12B</v>
      </c>
      <c r="D352" s="3" t="str">
        <f t="shared" si="80"/>
        <v>IL12B_HUMAN</v>
      </c>
      <c r="E352" s="2" t="s">
        <v>21</v>
      </c>
      <c r="F352" s="3"/>
      <c r="G352" s="4" t="str">
        <f t="shared" si="82"/>
        <v>Ustekinumab</v>
      </c>
      <c r="H352" s="3" t="str">
        <f>HYPERLINK("https://www.cortellis.com/drugdiscovery/entity/biomarkers/30768","11-protein cardiovascular panel")</f>
        <v>11-protein cardiovascular panel</v>
      </c>
      <c r="I352" s="2" t="s">
        <v>23</v>
      </c>
      <c r="J352" s="2" t="s">
        <v>17</v>
      </c>
      <c r="K352" s="4" t="str">
        <f>HYPERLINK("https://www.cortellis.com/drugdiscovery/result/proxy/related-content/biomarkers/genestargets/30768","interferon gamma; interleukin 12B; tumor necrosis factor")</f>
        <v>interferon gamma; interleukin 12B; tumor necrosis factor</v>
      </c>
    </row>
    <row r="353" spans="1:11" ht="60" customHeight="1" x14ac:dyDescent="0.2">
      <c r="A353" s="2">
        <v>350</v>
      </c>
      <c r="B353" s="3" t="str">
        <f t="shared" si="78"/>
        <v>IL-12</v>
      </c>
      <c r="C353" s="3" t="str">
        <f t="shared" si="79"/>
        <v>IL12B</v>
      </c>
      <c r="D353" s="3" t="str">
        <f t="shared" si="80"/>
        <v>IL12B_HUMAN</v>
      </c>
      <c r="E353" s="2" t="s">
        <v>21</v>
      </c>
      <c r="F353" s="3"/>
      <c r="G353" s="4" t="str">
        <f t="shared" si="82"/>
        <v>Ustekinumab</v>
      </c>
      <c r="H353" s="3" t="str">
        <f>HYPERLINK("https://www.cortellis.com/drugdiscovery/entity/biomarkers/36097","21-protein breast cancer panel")</f>
        <v>21-protein breast cancer panel</v>
      </c>
      <c r="I353" s="2" t="s">
        <v>18</v>
      </c>
      <c r="J353" s="2" t="s">
        <v>17</v>
      </c>
      <c r="K353" s="4" t="str">
        <f>HYPERLINK("https://www.cortellis.com/drugdiscovery/result/proxy/related-content/biomarkers/genestargets/36097","C-C motif chemokine ligand 2; interleukin 12B; interleukin 7")</f>
        <v>C-C motif chemokine ligand 2; interleukin 12B; interleukin 7</v>
      </c>
    </row>
    <row r="354" spans="1:11" ht="60" customHeight="1" x14ac:dyDescent="0.2">
      <c r="A354" s="2">
        <v>351</v>
      </c>
      <c r="B354" s="3" t="str">
        <f t="shared" si="78"/>
        <v>IL-12</v>
      </c>
      <c r="C354" s="3" t="str">
        <f t="shared" si="79"/>
        <v>IL12B</v>
      </c>
      <c r="D354" s="3" t="str">
        <f t="shared" si="80"/>
        <v>IL12B_HUMAN</v>
      </c>
      <c r="E354" s="2" t="s">
        <v>21</v>
      </c>
      <c r="F354" s="3"/>
      <c r="G354" s="4" t="str">
        <f t="shared" si="82"/>
        <v>Ustekinumab</v>
      </c>
      <c r="H354" s="3" t="str">
        <f>HYPERLINK("https://www.cortellis.com/drugdiscovery/entity/biomarkers/43870","17-genomic 14-protein 3-biochemical irritable bowel syndrome panel")</f>
        <v>17-genomic 14-protein 3-biochemical irritable bowel syndrome panel</v>
      </c>
      <c r="I354" s="2" t="s">
        <v>52</v>
      </c>
      <c r="J354" s="2" t="s">
        <v>53</v>
      </c>
      <c r="K354" s="4" t="str">
        <f>HYPERLINK("https://www.cortellis.com/drugdiscovery/result/proxy/related-content/biomarkers/genestargets/43870","interleukin 12B; tumor necrosis factor")</f>
        <v>interleukin 12B; tumor necrosis factor</v>
      </c>
    </row>
    <row r="355" spans="1:11" ht="60" customHeight="1" x14ac:dyDescent="0.2">
      <c r="A355" s="2">
        <v>352</v>
      </c>
      <c r="B355" s="3" t="str">
        <f t="shared" si="78"/>
        <v>IL-12</v>
      </c>
      <c r="C355" s="3" t="str">
        <f t="shared" si="79"/>
        <v>IL12B</v>
      </c>
      <c r="D355" s="3" t="str">
        <f t="shared" si="80"/>
        <v>IL12B_HUMAN</v>
      </c>
      <c r="E355" s="2" t="s">
        <v>21</v>
      </c>
      <c r="F355" s="3"/>
      <c r="G355" s="4" t="str">
        <f t="shared" si="82"/>
        <v>Ustekinumab</v>
      </c>
      <c r="H355" s="3" t="str">
        <f>HYPERLINK("https://www.cortellis.com/drugdiscovery/entity/biomarkers/50283","14-gene polymorphism psoriasis panel")</f>
        <v>14-gene polymorphism psoriasis panel</v>
      </c>
      <c r="I355" s="2" t="s">
        <v>29</v>
      </c>
      <c r="J355" s="2" t="s">
        <v>19</v>
      </c>
      <c r="K355" s="4" t="str">
        <f>HYPERLINK("https://www.cortellis.com/drugdiscovery/result/proxy/related-content/biomarkers/genestargets/50283","interleukin 12B")</f>
        <v>interleukin 12B</v>
      </c>
    </row>
    <row r="356" spans="1:11" ht="60" customHeight="1" x14ac:dyDescent="0.2">
      <c r="A356" s="2">
        <v>353</v>
      </c>
      <c r="B356" s="3" t="str">
        <f t="shared" si="78"/>
        <v>IL-12</v>
      </c>
      <c r="C356" s="3" t="str">
        <f t="shared" si="79"/>
        <v>IL12B</v>
      </c>
      <c r="D356" s="3" t="str">
        <f t="shared" si="80"/>
        <v>IL12B_HUMAN</v>
      </c>
      <c r="E356" s="2" t="s">
        <v>21</v>
      </c>
      <c r="F356" s="3"/>
      <c r="G356" s="4" t="str">
        <f t="shared" si="82"/>
        <v>Ustekinumab</v>
      </c>
      <c r="H356" s="3" t="str">
        <f>HYPERLINK("https://www.cortellis.com/drugdiscovery/entity/biomarkers/53008","14-gene expression acute myeloid leukemia panel")</f>
        <v>14-gene expression acute myeloid leukemia panel</v>
      </c>
      <c r="I356" s="2" t="s">
        <v>25</v>
      </c>
      <c r="J356" s="2" t="s">
        <v>19</v>
      </c>
      <c r="K356" s="4" t="str">
        <f>HYPERLINK("https://www.cortellis.com/drugdiscovery/result/proxy/related-content/biomarkers/genestargets/53008","interleukin 12B")</f>
        <v>interleukin 12B</v>
      </c>
    </row>
    <row r="357" spans="1:11" ht="60" customHeight="1" x14ac:dyDescent="0.2">
      <c r="A357" s="2">
        <v>354</v>
      </c>
      <c r="B357" s="3" t="str">
        <f t="shared" si="78"/>
        <v>IL-12</v>
      </c>
      <c r="C357" s="3" t="str">
        <f t="shared" si="79"/>
        <v>IL12B</v>
      </c>
      <c r="D357" s="3" t="str">
        <f t="shared" si="80"/>
        <v>IL12B_HUMAN</v>
      </c>
      <c r="E357" s="2" t="s">
        <v>21</v>
      </c>
      <c r="F357" s="3"/>
      <c r="G357" s="4" t="str">
        <f t="shared" si="82"/>
        <v>Ustekinumab</v>
      </c>
      <c r="H357" s="3" t="str">
        <f>HYPERLINK("https://www.cortellis.com/drugdiscovery/entity/biomarkers/57250","9-protein non-muscle invasive bladder cancer panel")</f>
        <v>9-protein non-muscle invasive bladder cancer panel</v>
      </c>
      <c r="I357" s="2" t="s">
        <v>18</v>
      </c>
      <c r="J357" s="2" t="s">
        <v>17</v>
      </c>
      <c r="K357" s="4" t="str">
        <f>HYPERLINK("https://www.cortellis.com/drugdiscovery/result/proxy/related-content/biomarkers/genestargets/57250","interferon gamma; interleukin 12B; tumor necrosis factor")</f>
        <v>interferon gamma; interleukin 12B; tumor necrosis factor</v>
      </c>
    </row>
    <row r="358" spans="1:11" ht="60" customHeight="1" x14ac:dyDescent="0.2">
      <c r="A358" s="2">
        <v>355</v>
      </c>
      <c r="B358" s="3" t="str">
        <f t="shared" si="78"/>
        <v>IL-12</v>
      </c>
      <c r="C358" s="3" t="str">
        <f t="shared" si="79"/>
        <v>IL12B</v>
      </c>
      <c r="D358" s="3" t="str">
        <f t="shared" si="80"/>
        <v>IL12B_HUMAN</v>
      </c>
      <c r="E358" s="2" t="s">
        <v>21</v>
      </c>
      <c r="F358" s="3"/>
      <c r="G358" s="4" t="str">
        <f t="shared" si="82"/>
        <v>Ustekinumab</v>
      </c>
      <c r="H358" s="3" t="str">
        <f>HYPERLINK("https://www.cortellis.com/drugdiscovery/entity/biomarkers/62155","19-protein rhegmatogenous retinal detachment panel")</f>
        <v>19-protein rhegmatogenous retinal detachment panel</v>
      </c>
      <c r="I358" s="2" t="s">
        <v>24</v>
      </c>
      <c r="J358" s="2" t="s">
        <v>17</v>
      </c>
      <c r="K358" s="4" t="str">
        <f>HYPERLINK("https://www.cortellis.com/drugdiscovery/result/proxy/related-content/biomarkers/genestargets/62155","C-C motif chemokine ligand 2; interleukin 12B; tumor necrosis factor")</f>
        <v>C-C motif chemokine ligand 2; interleukin 12B; tumor necrosis factor</v>
      </c>
    </row>
    <row r="359" spans="1:11" ht="60" customHeight="1" x14ac:dyDescent="0.2">
      <c r="A359" s="2">
        <v>356</v>
      </c>
      <c r="B359" s="3" t="str">
        <f t="shared" ref="B359:B368" si="83">HYPERLINK("https://portal.genego.com/cgi/entity_page.cgi?term=100&amp;id=6318","IL-12 beta")</f>
        <v>IL-12 beta</v>
      </c>
      <c r="C359" s="3" t="str">
        <f t="shared" si="79"/>
        <v>IL12B</v>
      </c>
      <c r="D359" s="3" t="str">
        <f t="shared" si="80"/>
        <v>IL12B_HUMAN</v>
      </c>
      <c r="E359" s="2" t="s">
        <v>21</v>
      </c>
      <c r="F359" s="3" t="str">
        <f t="shared" ref="F359:F368" si="84">HYPERLINK("https://portal.genego.com/cgi/entity_page.cgi?term=100&amp;id=6318","Interleukin-12 subunit beta")</f>
        <v>Interleukin-12 subunit beta</v>
      </c>
      <c r="G359" s="4" t="str">
        <f t="shared" ref="G359:G368" si="85">HYPERLINK("https://portal.genego.com/cgi/entity_page.cgi?term=7&amp;id=1229455903","Briakinumab")</f>
        <v>Briakinumab</v>
      </c>
      <c r="H359" s="3" t="str">
        <f>HYPERLINK("https://www.cortellis.com/drugdiscovery/entity/biomarkers/174","Interleukin-12")</f>
        <v>Interleukin-12</v>
      </c>
      <c r="I359" s="2" t="s">
        <v>39</v>
      </c>
      <c r="J359" s="2" t="s">
        <v>15</v>
      </c>
      <c r="K359" s="4" t="str">
        <f>HYPERLINK("https://www.cortellis.com/drugdiscovery/result/proxy/related-content/biomarkers/genestargets/174","interleukin 12B")</f>
        <v>interleukin 12B</v>
      </c>
    </row>
    <row r="360" spans="1:11" ht="60" customHeight="1" x14ac:dyDescent="0.2">
      <c r="A360" s="2">
        <v>357</v>
      </c>
      <c r="B360" s="3" t="str">
        <f t="shared" si="83"/>
        <v>IL-12 beta</v>
      </c>
      <c r="C360" s="3" t="str">
        <f t="shared" si="79"/>
        <v>IL12B</v>
      </c>
      <c r="D360" s="3" t="str">
        <f t="shared" si="80"/>
        <v>IL12B_HUMAN</v>
      </c>
      <c r="E360" s="2" t="s">
        <v>21</v>
      </c>
      <c r="F360" s="3" t="str">
        <f t="shared" si="84"/>
        <v>Interleukin-12 subunit beta</v>
      </c>
      <c r="G360" s="4" t="str">
        <f t="shared" si="85"/>
        <v>Briakinumab</v>
      </c>
      <c r="H360" s="3" t="str">
        <f>HYPERLINK("https://www.cortellis.com/drugdiscovery/entity/biomarkers/2420","Interleukin-12 subunit beta")</f>
        <v>Interleukin-12 subunit beta</v>
      </c>
      <c r="I360" s="2" t="s">
        <v>43</v>
      </c>
      <c r="J360" s="2" t="s">
        <v>15</v>
      </c>
      <c r="K360" s="4" t="str">
        <f>HYPERLINK("https://www.cortellis.com/drugdiscovery/result/proxy/related-content/biomarkers/genestargets/2420","interleukin 12B")</f>
        <v>interleukin 12B</v>
      </c>
    </row>
    <row r="361" spans="1:11" ht="60" customHeight="1" x14ac:dyDescent="0.2">
      <c r="A361" s="2">
        <v>358</v>
      </c>
      <c r="B361" s="3" t="str">
        <f t="shared" si="83"/>
        <v>IL-12 beta</v>
      </c>
      <c r="C361" s="3" t="str">
        <f t="shared" si="79"/>
        <v>IL12B</v>
      </c>
      <c r="D361" s="3" t="str">
        <f t="shared" si="80"/>
        <v>IL12B_HUMAN</v>
      </c>
      <c r="E361" s="2" t="s">
        <v>21</v>
      </c>
      <c r="F361" s="3" t="str">
        <f t="shared" si="84"/>
        <v>Interleukin-12 subunit beta</v>
      </c>
      <c r="G361" s="4" t="str">
        <f t="shared" si="85"/>
        <v>Briakinumab</v>
      </c>
      <c r="H361" s="3" t="str">
        <f>HYPERLINK("https://www.cortellis.com/drugdiscovery/entity/biomarkers/27598","89-protein neurological alzheimer's panel")</f>
        <v>89-protein neurological alzheimer's panel</v>
      </c>
      <c r="I361" s="2" t="s">
        <v>23</v>
      </c>
      <c r="J361" s="2" t="s">
        <v>17</v>
      </c>
      <c r="K361"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362" spans="1:11" ht="60" customHeight="1" x14ac:dyDescent="0.2">
      <c r="A362" s="2">
        <v>359</v>
      </c>
      <c r="B362" s="3" t="str">
        <f t="shared" si="83"/>
        <v>IL-12 beta</v>
      </c>
      <c r="C362" s="3" t="str">
        <f t="shared" si="79"/>
        <v>IL12B</v>
      </c>
      <c r="D362" s="3" t="str">
        <f t="shared" si="80"/>
        <v>IL12B_HUMAN</v>
      </c>
      <c r="E362" s="2" t="s">
        <v>21</v>
      </c>
      <c r="F362" s="3" t="str">
        <f t="shared" si="84"/>
        <v>Interleukin-12 subunit beta</v>
      </c>
      <c r="G362" s="4" t="str">
        <f t="shared" si="85"/>
        <v>Briakinumab</v>
      </c>
      <c r="H362" s="3" t="str">
        <f>HYPERLINK("https://www.cortellis.com/drugdiscovery/entity/biomarkers/30768","11-protein cardiovascular panel")</f>
        <v>11-protein cardiovascular panel</v>
      </c>
      <c r="I362" s="2" t="s">
        <v>23</v>
      </c>
      <c r="J362" s="2" t="s">
        <v>17</v>
      </c>
      <c r="K362" s="4" t="str">
        <f>HYPERLINK("https://www.cortellis.com/drugdiscovery/result/proxy/related-content/biomarkers/genestargets/30768","interferon gamma; interleukin 12B; tumor necrosis factor")</f>
        <v>interferon gamma; interleukin 12B; tumor necrosis factor</v>
      </c>
    </row>
    <row r="363" spans="1:11" ht="60" customHeight="1" x14ac:dyDescent="0.2">
      <c r="A363" s="2">
        <v>360</v>
      </c>
      <c r="B363" s="3" t="str">
        <f t="shared" si="83"/>
        <v>IL-12 beta</v>
      </c>
      <c r="C363" s="3" t="str">
        <f t="shared" si="79"/>
        <v>IL12B</v>
      </c>
      <c r="D363" s="3" t="str">
        <f t="shared" si="80"/>
        <v>IL12B_HUMAN</v>
      </c>
      <c r="E363" s="2" t="s">
        <v>21</v>
      </c>
      <c r="F363" s="3" t="str">
        <f t="shared" si="84"/>
        <v>Interleukin-12 subunit beta</v>
      </c>
      <c r="G363" s="4" t="str">
        <f t="shared" si="85"/>
        <v>Briakinumab</v>
      </c>
      <c r="H363" s="3" t="str">
        <f>HYPERLINK("https://www.cortellis.com/drugdiscovery/entity/biomarkers/36097","21-protein breast cancer panel")</f>
        <v>21-protein breast cancer panel</v>
      </c>
      <c r="I363" s="2" t="s">
        <v>18</v>
      </c>
      <c r="J363" s="2" t="s">
        <v>17</v>
      </c>
      <c r="K363" s="4" t="str">
        <f>HYPERLINK("https://www.cortellis.com/drugdiscovery/result/proxy/related-content/biomarkers/genestargets/36097","C-C motif chemokine ligand 2; interleukin 12B; interleukin 7")</f>
        <v>C-C motif chemokine ligand 2; interleukin 12B; interleukin 7</v>
      </c>
    </row>
    <row r="364" spans="1:11" ht="60" customHeight="1" x14ac:dyDescent="0.2">
      <c r="A364" s="2">
        <v>361</v>
      </c>
      <c r="B364" s="3" t="str">
        <f t="shared" si="83"/>
        <v>IL-12 beta</v>
      </c>
      <c r="C364" s="3" t="str">
        <f t="shared" si="79"/>
        <v>IL12B</v>
      </c>
      <c r="D364" s="3" t="str">
        <f t="shared" si="80"/>
        <v>IL12B_HUMAN</v>
      </c>
      <c r="E364" s="2" t="s">
        <v>21</v>
      </c>
      <c r="F364" s="3" t="str">
        <f t="shared" si="84"/>
        <v>Interleukin-12 subunit beta</v>
      </c>
      <c r="G364" s="4" t="str">
        <f t="shared" si="85"/>
        <v>Briakinumab</v>
      </c>
      <c r="H364" s="3" t="str">
        <f>HYPERLINK("https://www.cortellis.com/drugdiscovery/entity/biomarkers/43870","17-genomic 14-protein 3-biochemical irritable bowel syndrome panel")</f>
        <v>17-genomic 14-protein 3-biochemical irritable bowel syndrome panel</v>
      </c>
      <c r="I364" s="2" t="s">
        <v>52</v>
      </c>
      <c r="J364" s="2" t="s">
        <v>53</v>
      </c>
      <c r="K364" s="4" t="str">
        <f>HYPERLINK("https://www.cortellis.com/drugdiscovery/result/proxy/related-content/biomarkers/genestargets/43870","interleukin 12B; tumor necrosis factor")</f>
        <v>interleukin 12B; tumor necrosis factor</v>
      </c>
    </row>
    <row r="365" spans="1:11" ht="60" customHeight="1" x14ac:dyDescent="0.2">
      <c r="A365" s="2">
        <v>362</v>
      </c>
      <c r="B365" s="3" t="str">
        <f t="shared" si="83"/>
        <v>IL-12 beta</v>
      </c>
      <c r="C365" s="3" t="str">
        <f t="shared" si="79"/>
        <v>IL12B</v>
      </c>
      <c r="D365" s="3" t="str">
        <f t="shared" si="80"/>
        <v>IL12B_HUMAN</v>
      </c>
      <c r="E365" s="2" t="s">
        <v>21</v>
      </c>
      <c r="F365" s="3" t="str">
        <f t="shared" si="84"/>
        <v>Interleukin-12 subunit beta</v>
      </c>
      <c r="G365" s="4" t="str">
        <f t="shared" si="85"/>
        <v>Briakinumab</v>
      </c>
      <c r="H365" s="3" t="str">
        <f>HYPERLINK("https://www.cortellis.com/drugdiscovery/entity/biomarkers/50283","14-gene polymorphism psoriasis panel")</f>
        <v>14-gene polymorphism psoriasis panel</v>
      </c>
      <c r="I365" s="2" t="s">
        <v>29</v>
      </c>
      <c r="J365" s="2" t="s">
        <v>19</v>
      </c>
      <c r="K365" s="4" t="str">
        <f>HYPERLINK("https://www.cortellis.com/drugdiscovery/result/proxy/related-content/biomarkers/genestargets/50283","interleukin 12B")</f>
        <v>interleukin 12B</v>
      </c>
    </row>
    <row r="366" spans="1:11" ht="60" customHeight="1" x14ac:dyDescent="0.2">
      <c r="A366" s="2">
        <v>363</v>
      </c>
      <c r="B366" s="3" t="str">
        <f t="shared" si="83"/>
        <v>IL-12 beta</v>
      </c>
      <c r="C366" s="3" t="str">
        <f t="shared" si="79"/>
        <v>IL12B</v>
      </c>
      <c r="D366" s="3" t="str">
        <f t="shared" si="80"/>
        <v>IL12B_HUMAN</v>
      </c>
      <c r="E366" s="2" t="s">
        <v>21</v>
      </c>
      <c r="F366" s="3" t="str">
        <f t="shared" si="84"/>
        <v>Interleukin-12 subunit beta</v>
      </c>
      <c r="G366" s="4" t="str">
        <f t="shared" si="85"/>
        <v>Briakinumab</v>
      </c>
      <c r="H366" s="3" t="str">
        <f>HYPERLINK("https://www.cortellis.com/drugdiscovery/entity/biomarkers/53008","14-gene expression acute myeloid leukemia panel")</f>
        <v>14-gene expression acute myeloid leukemia panel</v>
      </c>
      <c r="I366" s="2" t="s">
        <v>25</v>
      </c>
      <c r="J366" s="2" t="s">
        <v>19</v>
      </c>
      <c r="K366" s="4" t="str">
        <f>HYPERLINK("https://www.cortellis.com/drugdiscovery/result/proxy/related-content/biomarkers/genestargets/53008","interleukin 12B")</f>
        <v>interleukin 12B</v>
      </c>
    </row>
    <row r="367" spans="1:11" ht="60" customHeight="1" x14ac:dyDescent="0.2">
      <c r="A367" s="2">
        <v>364</v>
      </c>
      <c r="B367" s="3" t="str">
        <f t="shared" si="83"/>
        <v>IL-12 beta</v>
      </c>
      <c r="C367" s="3" t="str">
        <f t="shared" si="79"/>
        <v>IL12B</v>
      </c>
      <c r="D367" s="3" t="str">
        <f t="shared" si="80"/>
        <v>IL12B_HUMAN</v>
      </c>
      <c r="E367" s="2" t="s">
        <v>21</v>
      </c>
      <c r="F367" s="3" t="str">
        <f t="shared" si="84"/>
        <v>Interleukin-12 subunit beta</v>
      </c>
      <c r="G367" s="4" t="str">
        <f t="shared" si="85"/>
        <v>Briakinumab</v>
      </c>
      <c r="H367" s="3" t="str">
        <f>HYPERLINK("https://www.cortellis.com/drugdiscovery/entity/biomarkers/57250","9-protein non-muscle invasive bladder cancer panel")</f>
        <v>9-protein non-muscle invasive bladder cancer panel</v>
      </c>
      <c r="I367" s="2" t="s">
        <v>18</v>
      </c>
      <c r="J367" s="2" t="s">
        <v>17</v>
      </c>
      <c r="K367" s="4" t="str">
        <f>HYPERLINK("https://www.cortellis.com/drugdiscovery/result/proxy/related-content/biomarkers/genestargets/57250","interferon gamma; interleukin 12B; tumor necrosis factor")</f>
        <v>interferon gamma; interleukin 12B; tumor necrosis factor</v>
      </c>
    </row>
    <row r="368" spans="1:11" ht="60" customHeight="1" x14ac:dyDescent="0.2">
      <c r="A368" s="2">
        <v>365</v>
      </c>
      <c r="B368" s="3" t="str">
        <f t="shared" si="83"/>
        <v>IL-12 beta</v>
      </c>
      <c r="C368" s="3" t="str">
        <f t="shared" si="79"/>
        <v>IL12B</v>
      </c>
      <c r="D368" s="3" t="str">
        <f t="shared" si="80"/>
        <v>IL12B_HUMAN</v>
      </c>
      <c r="E368" s="2" t="s">
        <v>21</v>
      </c>
      <c r="F368" s="3" t="str">
        <f t="shared" si="84"/>
        <v>Interleukin-12 subunit beta</v>
      </c>
      <c r="G368" s="4" t="str">
        <f t="shared" si="85"/>
        <v>Briakinumab</v>
      </c>
      <c r="H368" s="3" t="str">
        <f>HYPERLINK("https://www.cortellis.com/drugdiscovery/entity/biomarkers/62155","19-protein rhegmatogenous retinal detachment panel")</f>
        <v>19-protein rhegmatogenous retinal detachment panel</v>
      </c>
      <c r="I368" s="2" t="s">
        <v>24</v>
      </c>
      <c r="J368" s="2" t="s">
        <v>17</v>
      </c>
      <c r="K368" s="4" t="str">
        <f>HYPERLINK("https://www.cortellis.com/drugdiscovery/result/proxy/related-content/biomarkers/genestargets/62155","C-C motif chemokine ligand 2; interleukin 12B; tumor necrosis factor")</f>
        <v>C-C motif chemokine ligand 2; interleukin 12B; tumor necrosis factor</v>
      </c>
    </row>
    <row r="369" spans="1:11" ht="60" customHeight="1" x14ac:dyDescent="0.2">
      <c r="A369" s="2">
        <v>366</v>
      </c>
      <c r="B369" s="3" t="str">
        <f t="shared" ref="B369:B376" si="86">HYPERLINK("https://portal.genego.com/cgi/entity_page.cgi?term=100&amp;id=4086","IL-15")</f>
        <v>IL-15</v>
      </c>
      <c r="C369" s="3" t="str">
        <f t="shared" ref="C369:C376" si="87">HYPERLINK("https://portal.genego.com/cgi/entity_page.cgi?term=20&amp;id=2051609833","IL15")</f>
        <v>IL15</v>
      </c>
      <c r="D369" s="3" t="str">
        <f t="shared" ref="D369:D376" si="88">HYPERLINK("https://portal.genego.com/cgi/entity_page.cgi?term=7&amp;id=758663167","IL15_HUMAN")</f>
        <v>IL15_HUMAN</v>
      </c>
      <c r="E369" s="2" t="s">
        <v>21</v>
      </c>
      <c r="F369" s="3" t="str">
        <f t="shared" ref="F369:F376" si="89">HYPERLINK("https://portal.genego.com/cgi/entity_page.cgi?term=100&amp;id=4086","Interleukin-15")</f>
        <v>Interleukin-15</v>
      </c>
      <c r="G369" s="4" t="str">
        <f t="shared" ref="G369:G376" si="90">HYPERLINK("https://portal.genego.com/cgi/entity_page.cgi?term=7&amp;id=1375867684","HuMaxIL15")</f>
        <v>HuMaxIL15</v>
      </c>
      <c r="H369" s="3" t="str">
        <f>HYPERLINK("https://www.cortellis.com/drugdiscovery/entity/biomarkers/4043","Interleukin-15")</f>
        <v>Interleukin-15</v>
      </c>
      <c r="I369" s="2" t="s">
        <v>39</v>
      </c>
      <c r="J369" s="2" t="s">
        <v>15</v>
      </c>
      <c r="K369" s="4" t="str">
        <f>HYPERLINK("https://www.cortellis.com/drugdiscovery/result/proxy/related-content/biomarkers/genestargets/4043","interleukin 15")</f>
        <v>interleukin 15</v>
      </c>
    </row>
    <row r="370" spans="1:11" ht="60" customHeight="1" x14ac:dyDescent="0.2">
      <c r="A370" s="2">
        <v>367</v>
      </c>
      <c r="B370" s="3" t="str">
        <f t="shared" si="86"/>
        <v>IL-15</v>
      </c>
      <c r="C370" s="3" t="str">
        <f t="shared" si="87"/>
        <v>IL15</v>
      </c>
      <c r="D370" s="3" t="str">
        <f t="shared" si="88"/>
        <v>IL15_HUMAN</v>
      </c>
      <c r="E370" s="2" t="s">
        <v>21</v>
      </c>
      <c r="F370" s="3" t="str">
        <f t="shared" si="89"/>
        <v>Interleukin-15</v>
      </c>
      <c r="G370" s="4" t="str">
        <f t="shared" si="90"/>
        <v>HuMaxIL15</v>
      </c>
      <c r="H370" s="3" t="str">
        <f>HYPERLINK("https://www.cortellis.com/drugdiscovery/entity/biomarkers/26792","367-gene expression 1-microRNA breast cancer panel")</f>
        <v>367-gene expression 1-microRNA breast cancer panel</v>
      </c>
      <c r="I370" s="2" t="s">
        <v>25</v>
      </c>
      <c r="J370" s="2" t="s">
        <v>19</v>
      </c>
      <c r="K370" s="4" t="str">
        <f>HYPERLINK("https://www.cortellis.com/drugdiscovery/result/proxy/related-content/biomarkers/genestargets/26792","interleukin 15; microRNA 155")</f>
        <v>interleukin 15; microRNA 155</v>
      </c>
    </row>
    <row r="371" spans="1:11" ht="60" customHeight="1" x14ac:dyDescent="0.2">
      <c r="A371" s="2">
        <v>368</v>
      </c>
      <c r="B371" s="3" t="str">
        <f t="shared" si="86"/>
        <v>IL-15</v>
      </c>
      <c r="C371" s="3" t="str">
        <f t="shared" si="87"/>
        <v>IL15</v>
      </c>
      <c r="D371" s="3" t="str">
        <f t="shared" si="88"/>
        <v>IL15_HUMAN</v>
      </c>
      <c r="E371" s="2" t="s">
        <v>21</v>
      </c>
      <c r="F371" s="3" t="str">
        <f t="shared" si="89"/>
        <v>Interleukin-15</v>
      </c>
      <c r="G371" s="4" t="str">
        <f t="shared" si="90"/>
        <v>HuMaxIL15</v>
      </c>
      <c r="H371" s="3" t="str">
        <f>HYPERLINK("https://www.cortellis.com/drugdiscovery/entity/biomarkers/27598","89-protein neurological alzheimer's panel")</f>
        <v>89-protein neurological alzheimer's panel</v>
      </c>
      <c r="I371" s="2" t="s">
        <v>23</v>
      </c>
      <c r="J371" s="2" t="s">
        <v>17</v>
      </c>
      <c r="K371"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372" spans="1:11" ht="60" customHeight="1" x14ac:dyDescent="0.2">
      <c r="A372" s="2">
        <v>369</v>
      </c>
      <c r="B372" s="3" t="str">
        <f t="shared" si="86"/>
        <v>IL-15</v>
      </c>
      <c r="C372" s="3" t="str">
        <f t="shared" si="87"/>
        <v>IL15</v>
      </c>
      <c r="D372" s="3" t="str">
        <f t="shared" si="88"/>
        <v>IL15_HUMAN</v>
      </c>
      <c r="E372" s="2" t="s">
        <v>21</v>
      </c>
      <c r="F372" s="3" t="str">
        <f t="shared" si="89"/>
        <v>Interleukin-15</v>
      </c>
      <c r="G372" s="4" t="str">
        <f t="shared" si="90"/>
        <v>HuMaxIL15</v>
      </c>
      <c r="H372" s="3" t="str">
        <f>HYPERLINK("https://www.cortellis.com/drugdiscovery/entity/biomarkers/27928","633-gene expression gastric cancer panel")</f>
        <v>633-gene expression gastric cancer panel</v>
      </c>
      <c r="I372" s="2" t="s">
        <v>18</v>
      </c>
      <c r="J372" s="2" t="s">
        <v>19</v>
      </c>
      <c r="K372" s="4" t="str">
        <f>HYPERLINK("https://www.cortellis.com/drugdiscovery/result/proxy/related-content/biomarkers/genestargets/27928","interleukin 15")</f>
        <v>interleukin 15</v>
      </c>
    </row>
    <row r="373" spans="1:11" ht="60" customHeight="1" x14ac:dyDescent="0.2">
      <c r="A373" s="2">
        <v>370</v>
      </c>
      <c r="B373" s="3" t="str">
        <f t="shared" si="86"/>
        <v>IL-15</v>
      </c>
      <c r="C373" s="3" t="str">
        <f t="shared" si="87"/>
        <v>IL15</v>
      </c>
      <c r="D373" s="3" t="str">
        <f t="shared" si="88"/>
        <v>IL15_HUMAN</v>
      </c>
      <c r="E373" s="2" t="s">
        <v>21</v>
      </c>
      <c r="F373" s="3" t="str">
        <f t="shared" si="89"/>
        <v>Interleukin-15</v>
      </c>
      <c r="G373" s="4" t="str">
        <f t="shared" si="90"/>
        <v>HuMaxIL15</v>
      </c>
      <c r="H373" s="3" t="str">
        <f>HYPERLINK("https://www.cortellis.com/drugdiscovery/entity/biomarkers/28148","11-gene expression lung cancer panel")</f>
        <v>11-gene expression lung cancer panel</v>
      </c>
      <c r="I373" s="2" t="s">
        <v>25</v>
      </c>
      <c r="J373" s="2" t="s">
        <v>19</v>
      </c>
      <c r="K373" s="4" t="str">
        <f>HYPERLINK("https://www.cortellis.com/drugdiscovery/result/proxy/related-content/biomarkers/genestargets/28148","interferon gamma; interleukin 15; tumor necrosis factor")</f>
        <v>interferon gamma; interleukin 15; tumor necrosis factor</v>
      </c>
    </row>
    <row r="374" spans="1:11" ht="60" customHeight="1" x14ac:dyDescent="0.2">
      <c r="A374" s="2">
        <v>371</v>
      </c>
      <c r="B374" s="3" t="str">
        <f t="shared" si="86"/>
        <v>IL-15</v>
      </c>
      <c r="C374" s="3" t="str">
        <f t="shared" si="87"/>
        <v>IL15</v>
      </c>
      <c r="D374" s="3" t="str">
        <f t="shared" si="88"/>
        <v>IL15_HUMAN</v>
      </c>
      <c r="E374" s="2" t="s">
        <v>21</v>
      </c>
      <c r="F374" s="3" t="str">
        <f t="shared" si="89"/>
        <v>Interleukin-15</v>
      </c>
      <c r="G374" s="4" t="str">
        <f t="shared" si="90"/>
        <v>HuMaxIL15</v>
      </c>
      <c r="H374" s="3" t="str">
        <f>HYPERLINK("https://www.cortellis.com/drugdiscovery/entity/biomarkers/28647","15-gene expression lung cancer panel")</f>
        <v>15-gene expression lung cancer panel</v>
      </c>
      <c r="I374" s="2" t="s">
        <v>20</v>
      </c>
      <c r="J374" s="2" t="s">
        <v>19</v>
      </c>
      <c r="K374" s="4" t="str">
        <f>HYPERLINK("https://www.cortellis.com/drugdiscovery/result/proxy/related-content/biomarkers/genestargets/28647","interferon gamma; interleukin 15; tumor necrosis factor")</f>
        <v>interferon gamma; interleukin 15; tumor necrosis factor</v>
      </c>
    </row>
    <row r="375" spans="1:11" ht="60" customHeight="1" x14ac:dyDescent="0.2">
      <c r="A375" s="2">
        <v>372</v>
      </c>
      <c r="B375" s="3" t="str">
        <f t="shared" si="86"/>
        <v>IL-15</v>
      </c>
      <c r="C375" s="3" t="str">
        <f t="shared" si="87"/>
        <v>IL15</v>
      </c>
      <c r="D375" s="3" t="str">
        <f t="shared" si="88"/>
        <v>IL15_HUMAN</v>
      </c>
      <c r="E375" s="2" t="s">
        <v>21</v>
      </c>
      <c r="F375" s="3" t="str">
        <f t="shared" si="89"/>
        <v>Interleukin-15</v>
      </c>
      <c r="G375" s="4" t="str">
        <f t="shared" si="90"/>
        <v>HuMaxIL15</v>
      </c>
      <c r="H375" s="3" t="str">
        <f>HYPERLINK("https://www.cortellis.com/drugdiscovery/entity/biomarkers/37444","41-gene expression head and neck cancer panel")</f>
        <v>41-gene expression head and neck cancer panel</v>
      </c>
      <c r="I375" s="2" t="s">
        <v>18</v>
      </c>
      <c r="J375" s="2" t="s">
        <v>19</v>
      </c>
      <c r="K375" s="4" t="str">
        <f>HYPERLINK("https://www.cortellis.com/drugdiscovery/result/proxy/related-content/biomarkers/genestargets/37444","interleukin 15")</f>
        <v>interleukin 15</v>
      </c>
    </row>
    <row r="376" spans="1:11" ht="60" customHeight="1" x14ac:dyDescent="0.2">
      <c r="A376" s="2">
        <v>373</v>
      </c>
      <c r="B376" s="3" t="str">
        <f t="shared" si="86"/>
        <v>IL-15</v>
      </c>
      <c r="C376" s="3" t="str">
        <f t="shared" si="87"/>
        <v>IL15</v>
      </c>
      <c r="D376" s="3" t="str">
        <f t="shared" si="88"/>
        <v>IL15_HUMAN</v>
      </c>
      <c r="E376" s="2" t="s">
        <v>21</v>
      </c>
      <c r="F376" s="3" t="str">
        <f t="shared" si="89"/>
        <v>Interleukin-15</v>
      </c>
      <c r="G376" s="4" t="str">
        <f t="shared" si="90"/>
        <v>HuMaxIL15</v>
      </c>
      <c r="H376" s="3" t="str">
        <f>HYPERLINK("https://www.cortellis.com/drugdiscovery/entity/biomarkers/40025","EoE diagnostic panel")</f>
        <v>EoE diagnostic panel</v>
      </c>
      <c r="I376" s="2" t="s">
        <v>23</v>
      </c>
      <c r="J376" s="2" t="s">
        <v>19</v>
      </c>
      <c r="K376" s="4" t="str">
        <f>HYPERLINK("https://www.cortellis.com/drugdiscovery/result/proxy/related-content/biomarkers/genestargets/40025","coagulation factor III, tissue factor; interleukin 15")</f>
        <v>coagulation factor III, tissue factor; interleukin 15</v>
      </c>
    </row>
    <row r="377" spans="1:11" ht="60" customHeight="1" x14ac:dyDescent="0.2">
      <c r="A377" s="2">
        <v>374</v>
      </c>
      <c r="B377" s="3" t="str">
        <f t="shared" ref="B377:B396" si="91">HYPERLINK("https://portal.genego.com/cgi/entity_page.cgi?term=100&amp;id=-470051003","IL-23")</f>
        <v>IL-23</v>
      </c>
      <c r="C377" s="3" t="str">
        <f t="shared" ref="C377:C396" si="92">HYPERLINK("https://portal.genego.com/cgi/entity_page.cgi?term=20&amp;id=1083960427","IL12B")</f>
        <v>IL12B</v>
      </c>
      <c r="D377" s="3" t="str">
        <f t="shared" ref="D377:D396" si="93">HYPERLINK("https://portal.genego.com/cgi/entity_page.cgi?term=7&amp;id=-1540371507","IL12B_HUMAN")</f>
        <v>IL12B_HUMAN</v>
      </c>
      <c r="E377" s="2" t="s">
        <v>21</v>
      </c>
      <c r="F377" s="3"/>
      <c r="G377" s="4" t="str">
        <f t="shared" ref="G377:G386" si="94">HYPERLINK("https://portal.genego.com/cgi/entity_page.cgi?term=7&amp;id=1229455903","Briakinumab")</f>
        <v>Briakinumab</v>
      </c>
      <c r="H377" s="3" t="str">
        <f>HYPERLINK("https://www.cortellis.com/drugdiscovery/entity/biomarkers/174","Interleukin-12")</f>
        <v>Interleukin-12</v>
      </c>
      <c r="I377" s="2" t="s">
        <v>39</v>
      </c>
      <c r="J377" s="2" t="s">
        <v>15</v>
      </c>
      <c r="K377" s="4" t="str">
        <f>HYPERLINK("https://www.cortellis.com/drugdiscovery/result/proxy/related-content/biomarkers/genestargets/174","interleukin 12B")</f>
        <v>interleukin 12B</v>
      </c>
    </row>
    <row r="378" spans="1:11" ht="60" customHeight="1" x14ac:dyDescent="0.2">
      <c r="A378" s="2">
        <v>375</v>
      </c>
      <c r="B378" s="3" t="str">
        <f t="shared" si="91"/>
        <v>IL-23</v>
      </c>
      <c r="C378" s="3" t="str">
        <f t="shared" si="92"/>
        <v>IL12B</v>
      </c>
      <c r="D378" s="3" t="str">
        <f t="shared" si="93"/>
        <v>IL12B_HUMAN</v>
      </c>
      <c r="E378" s="2" t="s">
        <v>21</v>
      </c>
      <c r="F378" s="3"/>
      <c r="G378" s="4" t="str">
        <f t="shared" si="94"/>
        <v>Briakinumab</v>
      </c>
      <c r="H378" s="3" t="str">
        <f>HYPERLINK("https://www.cortellis.com/drugdiscovery/entity/biomarkers/2420","Interleukin-12 subunit beta")</f>
        <v>Interleukin-12 subunit beta</v>
      </c>
      <c r="I378" s="2" t="s">
        <v>43</v>
      </c>
      <c r="J378" s="2" t="s">
        <v>15</v>
      </c>
      <c r="K378" s="4" t="str">
        <f>HYPERLINK("https://www.cortellis.com/drugdiscovery/result/proxy/related-content/biomarkers/genestargets/2420","interleukin 12B")</f>
        <v>interleukin 12B</v>
      </c>
    </row>
    <row r="379" spans="1:11" ht="60" customHeight="1" x14ac:dyDescent="0.2">
      <c r="A379" s="2">
        <v>376</v>
      </c>
      <c r="B379" s="3" t="str">
        <f t="shared" si="91"/>
        <v>IL-23</v>
      </c>
      <c r="C379" s="3" t="str">
        <f t="shared" si="92"/>
        <v>IL12B</v>
      </c>
      <c r="D379" s="3" t="str">
        <f t="shared" si="93"/>
        <v>IL12B_HUMAN</v>
      </c>
      <c r="E379" s="2" t="s">
        <v>21</v>
      </c>
      <c r="F379" s="3"/>
      <c r="G379" s="4" t="str">
        <f t="shared" si="94"/>
        <v>Briakinumab</v>
      </c>
      <c r="H379" s="3" t="str">
        <f>HYPERLINK("https://www.cortellis.com/drugdiscovery/entity/biomarkers/27598","89-protein neurological alzheimer's panel")</f>
        <v>89-protein neurological alzheimer's panel</v>
      </c>
      <c r="I379" s="2" t="s">
        <v>23</v>
      </c>
      <c r="J379" s="2" t="s">
        <v>17</v>
      </c>
      <c r="K379"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380" spans="1:11" ht="60" customHeight="1" x14ac:dyDescent="0.2">
      <c r="A380" s="2">
        <v>377</v>
      </c>
      <c r="B380" s="3" t="str">
        <f t="shared" si="91"/>
        <v>IL-23</v>
      </c>
      <c r="C380" s="3" t="str">
        <f t="shared" si="92"/>
        <v>IL12B</v>
      </c>
      <c r="D380" s="3" t="str">
        <f t="shared" si="93"/>
        <v>IL12B_HUMAN</v>
      </c>
      <c r="E380" s="2" t="s">
        <v>21</v>
      </c>
      <c r="F380" s="3"/>
      <c r="G380" s="4" t="str">
        <f t="shared" si="94"/>
        <v>Briakinumab</v>
      </c>
      <c r="H380" s="3" t="str">
        <f>HYPERLINK("https://www.cortellis.com/drugdiscovery/entity/biomarkers/30768","11-protein cardiovascular panel")</f>
        <v>11-protein cardiovascular panel</v>
      </c>
      <c r="I380" s="2" t="s">
        <v>23</v>
      </c>
      <c r="J380" s="2" t="s">
        <v>17</v>
      </c>
      <c r="K380" s="4" t="str">
        <f>HYPERLINK("https://www.cortellis.com/drugdiscovery/result/proxy/related-content/biomarkers/genestargets/30768","interferon gamma; interleukin 12B; tumor necrosis factor")</f>
        <v>interferon gamma; interleukin 12B; tumor necrosis factor</v>
      </c>
    </row>
    <row r="381" spans="1:11" ht="60" customHeight="1" x14ac:dyDescent="0.2">
      <c r="A381" s="2">
        <v>378</v>
      </c>
      <c r="B381" s="3" t="str">
        <f t="shared" si="91"/>
        <v>IL-23</v>
      </c>
      <c r="C381" s="3" t="str">
        <f t="shared" si="92"/>
        <v>IL12B</v>
      </c>
      <c r="D381" s="3" t="str">
        <f t="shared" si="93"/>
        <v>IL12B_HUMAN</v>
      </c>
      <c r="E381" s="2" t="s">
        <v>21</v>
      </c>
      <c r="F381" s="3"/>
      <c r="G381" s="4" t="str">
        <f t="shared" si="94"/>
        <v>Briakinumab</v>
      </c>
      <c r="H381" s="3" t="str">
        <f>HYPERLINK("https://www.cortellis.com/drugdiscovery/entity/biomarkers/36097","21-protein breast cancer panel")</f>
        <v>21-protein breast cancer panel</v>
      </c>
      <c r="I381" s="2" t="s">
        <v>18</v>
      </c>
      <c r="J381" s="2" t="s">
        <v>17</v>
      </c>
      <c r="K381" s="4" t="str">
        <f>HYPERLINK("https://www.cortellis.com/drugdiscovery/result/proxy/related-content/biomarkers/genestargets/36097","C-C motif chemokine ligand 2; interleukin 12B; interleukin 7")</f>
        <v>C-C motif chemokine ligand 2; interleukin 12B; interleukin 7</v>
      </c>
    </row>
    <row r="382" spans="1:11" ht="60" customHeight="1" x14ac:dyDescent="0.2">
      <c r="A382" s="2">
        <v>379</v>
      </c>
      <c r="B382" s="3" t="str">
        <f t="shared" si="91"/>
        <v>IL-23</v>
      </c>
      <c r="C382" s="3" t="str">
        <f t="shared" si="92"/>
        <v>IL12B</v>
      </c>
      <c r="D382" s="3" t="str">
        <f t="shared" si="93"/>
        <v>IL12B_HUMAN</v>
      </c>
      <c r="E382" s="2" t="s">
        <v>21</v>
      </c>
      <c r="F382" s="3"/>
      <c r="G382" s="4" t="str">
        <f t="shared" si="94"/>
        <v>Briakinumab</v>
      </c>
      <c r="H382" s="3" t="str">
        <f>HYPERLINK("https://www.cortellis.com/drugdiscovery/entity/biomarkers/43870","17-genomic 14-protein 3-biochemical irritable bowel syndrome panel")</f>
        <v>17-genomic 14-protein 3-biochemical irritable bowel syndrome panel</v>
      </c>
      <c r="I382" s="2" t="s">
        <v>52</v>
      </c>
      <c r="J382" s="2" t="s">
        <v>53</v>
      </c>
      <c r="K382" s="4" t="str">
        <f>HYPERLINK("https://www.cortellis.com/drugdiscovery/result/proxy/related-content/biomarkers/genestargets/43870","interleukin 12B; tumor necrosis factor")</f>
        <v>interleukin 12B; tumor necrosis factor</v>
      </c>
    </row>
    <row r="383" spans="1:11" ht="60" customHeight="1" x14ac:dyDescent="0.2">
      <c r="A383" s="2">
        <v>380</v>
      </c>
      <c r="B383" s="3" t="str">
        <f t="shared" si="91"/>
        <v>IL-23</v>
      </c>
      <c r="C383" s="3" t="str">
        <f t="shared" si="92"/>
        <v>IL12B</v>
      </c>
      <c r="D383" s="3" t="str">
        <f t="shared" si="93"/>
        <v>IL12B_HUMAN</v>
      </c>
      <c r="E383" s="2" t="s">
        <v>21</v>
      </c>
      <c r="F383" s="3"/>
      <c r="G383" s="4" t="str">
        <f t="shared" si="94"/>
        <v>Briakinumab</v>
      </c>
      <c r="H383" s="3" t="str">
        <f>HYPERLINK("https://www.cortellis.com/drugdiscovery/entity/biomarkers/50283","14-gene polymorphism psoriasis panel")</f>
        <v>14-gene polymorphism psoriasis panel</v>
      </c>
      <c r="I383" s="2" t="s">
        <v>29</v>
      </c>
      <c r="J383" s="2" t="s">
        <v>19</v>
      </c>
      <c r="K383" s="4" t="str">
        <f>HYPERLINK("https://www.cortellis.com/drugdiscovery/result/proxy/related-content/biomarkers/genestargets/50283","interleukin 12B")</f>
        <v>interleukin 12B</v>
      </c>
    </row>
    <row r="384" spans="1:11" ht="60" customHeight="1" x14ac:dyDescent="0.2">
      <c r="A384" s="2">
        <v>381</v>
      </c>
      <c r="B384" s="3" t="str">
        <f t="shared" si="91"/>
        <v>IL-23</v>
      </c>
      <c r="C384" s="3" t="str">
        <f t="shared" si="92"/>
        <v>IL12B</v>
      </c>
      <c r="D384" s="3" t="str">
        <f t="shared" si="93"/>
        <v>IL12B_HUMAN</v>
      </c>
      <c r="E384" s="2" t="s">
        <v>21</v>
      </c>
      <c r="F384" s="3"/>
      <c r="G384" s="4" t="str">
        <f t="shared" si="94"/>
        <v>Briakinumab</v>
      </c>
      <c r="H384" s="3" t="str">
        <f>HYPERLINK("https://www.cortellis.com/drugdiscovery/entity/biomarkers/53008","14-gene expression acute myeloid leukemia panel")</f>
        <v>14-gene expression acute myeloid leukemia panel</v>
      </c>
      <c r="I384" s="2" t="s">
        <v>25</v>
      </c>
      <c r="J384" s="2" t="s">
        <v>19</v>
      </c>
      <c r="K384" s="4" t="str">
        <f>HYPERLINK("https://www.cortellis.com/drugdiscovery/result/proxy/related-content/biomarkers/genestargets/53008","interleukin 12B")</f>
        <v>interleukin 12B</v>
      </c>
    </row>
    <row r="385" spans="1:11" ht="60" customHeight="1" x14ac:dyDescent="0.2">
      <c r="A385" s="2">
        <v>382</v>
      </c>
      <c r="B385" s="3" t="str">
        <f t="shared" si="91"/>
        <v>IL-23</v>
      </c>
      <c r="C385" s="3" t="str">
        <f t="shared" si="92"/>
        <v>IL12B</v>
      </c>
      <c r="D385" s="3" t="str">
        <f t="shared" si="93"/>
        <v>IL12B_HUMAN</v>
      </c>
      <c r="E385" s="2" t="s">
        <v>21</v>
      </c>
      <c r="F385" s="3"/>
      <c r="G385" s="4" t="str">
        <f t="shared" si="94"/>
        <v>Briakinumab</v>
      </c>
      <c r="H385" s="3" t="str">
        <f>HYPERLINK("https://www.cortellis.com/drugdiscovery/entity/biomarkers/57250","9-protein non-muscle invasive bladder cancer panel")</f>
        <v>9-protein non-muscle invasive bladder cancer panel</v>
      </c>
      <c r="I385" s="2" t="s">
        <v>18</v>
      </c>
      <c r="J385" s="2" t="s">
        <v>17</v>
      </c>
      <c r="K385" s="4" t="str">
        <f>HYPERLINK("https://www.cortellis.com/drugdiscovery/result/proxy/related-content/biomarkers/genestargets/57250","interferon gamma; interleukin 12B; tumor necrosis factor")</f>
        <v>interferon gamma; interleukin 12B; tumor necrosis factor</v>
      </c>
    </row>
    <row r="386" spans="1:11" ht="60" customHeight="1" x14ac:dyDescent="0.2">
      <c r="A386" s="2">
        <v>383</v>
      </c>
      <c r="B386" s="3" t="str">
        <f t="shared" si="91"/>
        <v>IL-23</v>
      </c>
      <c r="C386" s="3" t="str">
        <f t="shared" si="92"/>
        <v>IL12B</v>
      </c>
      <c r="D386" s="3" t="str">
        <f t="shared" si="93"/>
        <v>IL12B_HUMAN</v>
      </c>
      <c r="E386" s="2" t="s">
        <v>21</v>
      </c>
      <c r="F386" s="3"/>
      <c r="G386" s="4" t="str">
        <f t="shared" si="94"/>
        <v>Briakinumab</v>
      </c>
      <c r="H386" s="3" t="str">
        <f>HYPERLINK("https://www.cortellis.com/drugdiscovery/entity/biomarkers/62155","19-protein rhegmatogenous retinal detachment panel")</f>
        <v>19-protein rhegmatogenous retinal detachment panel</v>
      </c>
      <c r="I386" s="2" t="s">
        <v>24</v>
      </c>
      <c r="J386" s="2" t="s">
        <v>17</v>
      </c>
      <c r="K386" s="4" t="str">
        <f>HYPERLINK("https://www.cortellis.com/drugdiscovery/result/proxy/related-content/biomarkers/genestargets/62155","C-C motif chemokine ligand 2; interleukin 12B; tumor necrosis factor")</f>
        <v>C-C motif chemokine ligand 2; interleukin 12B; tumor necrosis factor</v>
      </c>
    </row>
    <row r="387" spans="1:11" ht="60" customHeight="1" x14ac:dyDescent="0.2">
      <c r="A387" s="2">
        <v>384</v>
      </c>
      <c r="B387" s="3" t="str">
        <f t="shared" si="91"/>
        <v>IL-23</v>
      </c>
      <c r="C387" s="3" t="str">
        <f t="shared" si="92"/>
        <v>IL12B</v>
      </c>
      <c r="D387" s="3" t="str">
        <f t="shared" si="93"/>
        <v>IL12B_HUMAN</v>
      </c>
      <c r="E387" s="2" t="s">
        <v>21</v>
      </c>
      <c r="F387" s="3"/>
      <c r="G387" s="4" t="str">
        <f t="shared" ref="G387:G396" si="95">HYPERLINK("https://portal.genego.com/cgi/entity_page.cgi?term=7&amp;id=2022538576","Ustekinumab")</f>
        <v>Ustekinumab</v>
      </c>
      <c r="H387" s="3" t="str">
        <f>HYPERLINK("https://www.cortellis.com/drugdiscovery/entity/biomarkers/174","Interleukin-12")</f>
        <v>Interleukin-12</v>
      </c>
      <c r="I387" s="2" t="s">
        <v>39</v>
      </c>
      <c r="J387" s="2" t="s">
        <v>15</v>
      </c>
      <c r="K387" s="4" t="str">
        <f>HYPERLINK("https://www.cortellis.com/drugdiscovery/result/proxy/related-content/biomarkers/genestargets/174","interleukin 12B")</f>
        <v>interleukin 12B</v>
      </c>
    </row>
    <row r="388" spans="1:11" ht="60" customHeight="1" x14ac:dyDescent="0.2">
      <c r="A388" s="2">
        <v>385</v>
      </c>
      <c r="B388" s="3" t="str">
        <f t="shared" si="91"/>
        <v>IL-23</v>
      </c>
      <c r="C388" s="3" t="str">
        <f t="shared" si="92"/>
        <v>IL12B</v>
      </c>
      <c r="D388" s="3" t="str">
        <f t="shared" si="93"/>
        <v>IL12B_HUMAN</v>
      </c>
      <c r="E388" s="2" t="s">
        <v>21</v>
      </c>
      <c r="F388" s="3"/>
      <c r="G388" s="4" t="str">
        <f t="shared" si="95"/>
        <v>Ustekinumab</v>
      </c>
      <c r="H388" s="3" t="str">
        <f>HYPERLINK("https://www.cortellis.com/drugdiscovery/entity/biomarkers/2420","Interleukin-12 subunit beta")</f>
        <v>Interleukin-12 subunit beta</v>
      </c>
      <c r="I388" s="2" t="s">
        <v>43</v>
      </c>
      <c r="J388" s="2" t="s">
        <v>15</v>
      </c>
      <c r="K388" s="4" t="str">
        <f>HYPERLINK("https://www.cortellis.com/drugdiscovery/result/proxy/related-content/biomarkers/genestargets/2420","interleukin 12B")</f>
        <v>interleukin 12B</v>
      </c>
    </row>
    <row r="389" spans="1:11" ht="60" customHeight="1" x14ac:dyDescent="0.2">
      <c r="A389" s="2">
        <v>386</v>
      </c>
      <c r="B389" s="3" t="str">
        <f t="shared" si="91"/>
        <v>IL-23</v>
      </c>
      <c r="C389" s="3" t="str">
        <f t="shared" si="92"/>
        <v>IL12B</v>
      </c>
      <c r="D389" s="3" t="str">
        <f t="shared" si="93"/>
        <v>IL12B_HUMAN</v>
      </c>
      <c r="E389" s="2" t="s">
        <v>21</v>
      </c>
      <c r="F389" s="3"/>
      <c r="G389" s="4" t="str">
        <f t="shared" si="95"/>
        <v>Ustekinumab</v>
      </c>
      <c r="H389" s="3" t="str">
        <f>HYPERLINK("https://www.cortellis.com/drugdiscovery/entity/biomarkers/27598","89-protein neurological alzheimer's panel")</f>
        <v>89-protein neurological alzheimer's panel</v>
      </c>
      <c r="I389" s="2" t="s">
        <v>23</v>
      </c>
      <c r="J389" s="2" t="s">
        <v>17</v>
      </c>
      <c r="K389"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390" spans="1:11" ht="60" customHeight="1" x14ac:dyDescent="0.2">
      <c r="A390" s="2">
        <v>387</v>
      </c>
      <c r="B390" s="3" t="str">
        <f t="shared" si="91"/>
        <v>IL-23</v>
      </c>
      <c r="C390" s="3" t="str">
        <f t="shared" si="92"/>
        <v>IL12B</v>
      </c>
      <c r="D390" s="3" t="str">
        <f t="shared" si="93"/>
        <v>IL12B_HUMAN</v>
      </c>
      <c r="E390" s="2" t="s">
        <v>21</v>
      </c>
      <c r="F390" s="3"/>
      <c r="G390" s="4" t="str">
        <f t="shared" si="95"/>
        <v>Ustekinumab</v>
      </c>
      <c r="H390" s="3" t="str">
        <f>HYPERLINK("https://www.cortellis.com/drugdiscovery/entity/biomarkers/30768","11-protein cardiovascular panel")</f>
        <v>11-protein cardiovascular panel</v>
      </c>
      <c r="I390" s="2" t="s">
        <v>23</v>
      </c>
      <c r="J390" s="2" t="s">
        <v>17</v>
      </c>
      <c r="K390" s="4" t="str">
        <f>HYPERLINK("https://www.cortellis.com/drugdiscovery/result/proxy/related-content/biomarkers/genestargets/30768","interferon gamma; interleukin 12B; tumor necrosis factor")</f>
        <v>interferon gamma; interleukin 12B; tumor necrosis factor</v>
      </c>
    </row>
    <row r="391" spans="1:11" ht="60" customHeight="1" x14ac:dyDescent="0.2">
      <c r="A391" s="2">
        <v>388</v>
      </c>
      <c r="B391" s="3" t="str">
        <f t="shared" si="91"/>
        <v>IL-23</v>
      </c>
      <c r="C391" s="3" t="str">
        <f t="shared" si="92"/>
        <v>IL12B</v>
      </c>
      <c r="D391" s="3" t="str">
        <f t="shared" si="93"/>
        <v>IL12B_HUMAN</v>
      </c>
      <c r="E391" s="2" t="s">
        <v>21</v>
      </c>
      <c r="F391" s="3"/>
      <c r="G391" s="4" t="str">
        <f t="shared" si="95"/>
        <v>Ustekinumab</v>
      </c>
      <c r="H391" s="3" t="str">
        <f>HYPERLINK("https://www.cortellis.com/drugdiscovery/entity/biomarkers/36097","21-protein breast cancer panel")</f>
        <v>21-protein breast cancer panel</v>
      </c>
      <c r="I391" s="2" t="s">
        <v>18</v>
      </c>
      <c r="J391" s="2" t="s">
        <v>17</v>
      </c>
      <c r="K391" s="4" t="str">
        <f>HYPERLINK("https://www.cortellis.com/drugdiscovery/result/proxy/related-content/biomarkers/genestargets/36097","C-C motif chemokine ligand 2; interleukin 12B; interleukin 7")</f>
        <v>C-C motif chemokine ligand 2; interleukin 12B; interleukin 7</v>
      </c>
    </row>
    <row r="392" spans="1:11" ht="60" customHeight="1" x14ac:dyDescent="0.2">
      <c r="A392" s="2">
        <v>389</v>
      </c>
      <c r="B392" s="3" t="str">
        <f t="shared" si="91"/>
        <v>IL-23</v>
      </c>
      <c r="C392" s="3" t="str">
        <f t="shared" si="92"/>
        <v>IL12B</v>
      </c>
      <c r="D392" s="3" t="str">
        <f t="shared" si="93"/>
        <v>IL12B_HUMAN</v>
      </c>
      <c r="E392" s="2" t="s">
        <v>21</v>
      </c>
      <c r="F392" s="3"/>
      <c r="G392" s="4" t="str">
        <f t="shared" si="95"/>
        <v>Ustekinumab</v>
      </c>
      <c r="H392" s="3" t="str">
        <f>HYPERLINK("https://www.cortellis.com/drugdiscovery/entity/biomarkers/43870","17-genomic 14-protein 3-biochemical irritable bowel syndrome panel")</f>
        <v>17-genomic 14-protein 3-biochemical irritable bowel syndrome panel</v>
      </c>
      <c r="I392" s="2" t="s">
        <v>52</v>
      </c>
      <c r="J392" s="2" t="s">
        <v>53</v>
      </c>
      <c r="K392" s="4" t="str">
        <f>HYPERLINK("https://www.cortellis.com/drugdiscovery/result/proxy/related-content/biomarkers/genestargets/43870","interleukin 12B; tumor necrosis factor")</f>
        <v>interleukin 12B; tumor necrosis factor</v>
      </c>
    </row>
    <row r="393" spans="1:11" ht="60" customHeight="1" x14ac:dyDescent="0.2">
      <c r="A393" s="2">
        <v>390</v>
      </c>
      <c r="B393" s="3" t="str">
        <f t="shared" si="91"/>
        <v>IL-23</v>
      </c>
      <c r="C393" s="3" t="str">
        <f t="shared" si="92"/>
        <v>IL12B</v>
      </c>
      <c r="D393" s="3" t="str">
        <f t="shared" si="93"/>
        <v>IL12B_HUMAN</v>
      </c>
      <c r="E393" s="2" t="s">
        <v>21</v>
      </c>
      <c r="F393" s="3"/>
      <c r="G393" s="4" t="str">
        <f t="shared" si="95"/>
        <v>Ustekinumab</v>
      </c>
      <c r="H393" s="3" t="str">
        <f>HYPERLINK("https://www.cortellis.com/drugdiscovery/entity/biomarkers/50283","14-gene polymorphism psoriasis panel")</f>
        <v>14-gene polymorphism psoriasis panel</v>
      </c>
      <c r="I393" s="2" t="s">
        <v>29</v>
      </c>
      <c r="J393" s="2" t="s">
        <v>19</v>
      </c>
      <c r="K393" s="4" t="str">
        <f>HYPERLINK("https://www.cortellis.com/drugdiscovery/result/proxy/related-content/biomarkers/genestargets/50283","interleukin 12B")</f>
        <v>interleukin 12B</v>
      </c>
    </row>
    <row r="394" spans="1:11" ht="60" customHeight="1" x14ac:dyDescent="0.2">
      <c r="A394" s="2">
        <v>391</v>
      </c>
      <c r="B394" s="3" t="str">
        <f t="shared" si="91"/>
        <v>IL-23</v>
      </c>
      <c r="C394" s="3" t="str">
        <f t="shared" si="92"/>
        <v>IL12B</v>
      </c>
      <c r="D394" s="3" t="str">
        <f t="shared" si="93"/>
        <v>IL12B_HUMAN</v>
      </c>
      <c r="E394" s="2" t="s">
        <v>21</v>
      </c>
      <c r="F394" s="3"/>
      <c r="G394" s="4" t="str">
        <f t="shared" si="95"/>
        <v>Ustekinumab</v>
      </c>
      <c r="H394" s="3" t="str">
        <f>HYPERLINK("https://www.cortellis.com/drugdiscovery/entity/biomarkers/53008","14-gene expression acute myeloid leukemia panel")</f>
        <v>14-gene expression acute myeloid leukemia panel</v>
      </c>
      <c r="I394" s="2" t="s">
        <v>25</v>
      </c>
      <c r="J394" s="2" t="s">
        <v>19</v>
      </c>
      <c r="K394" s="4" t="str">
        <f>HYPERLINK("https://www.cortellis.com/drugdiscovery/result/proxy/related-content/biomarkers/genestargets/53008","interleukin 12B")</f>
        <v>interleukin 12B</v>
      </c>
    </row>
    <row r="395" spans="1:11" ht="60" customHeight="1" x14ac:dyDescent="0.2">
      <c r="A395" s="2">
        <v>392</v>
      </c>
      <c r="B395" s="3" t="str">
        <f t="shared" si="91"/>
        <v>IL-23</v>
      </c>
      <c r="C395" s="3" t="str">
        <f t="shared" si="92"/>
        <v>IL12B</v>
      </c>
      <c r="D395" s="3" t="str">
        <f t="shared" si="93"/>
        <v>IL12B_HUMAN</v>
      </c>
      <c r="E395" s="2" t="s">
        <v>21</v>
      </c>
      <c r="F395" s="3"/>
      <c r="G395" s="4" t="str">
        <f t="shared" si="95"/>
        <v>Ustekinumab</v>
      </c>
      <c r="H395" s="3" t="str">
        <f>HYPERLINK("https://www.cortellis.com/drugdiscovery/entity/biomarkers/57250","9-protein non-muscle invasive bladder cancer panel")</f>
        <v>9-protein non-muscle invasive bladder cancer panel</v>
      </c>
      <c r="I395" s="2" t="s">
        <v>18</v>
      </c>
      <c r="J395" s="2" t="s">
        <v>17</v>
      </c>
      <c r="K395" s="4" t="str">
        <f>HYPERLINK("https://www.cortellis.com/drugdiscovery/result/proxy/related-content/biomarkers/genestargets/57250","interferon gamma; interleukin 12B; tumor necrosis factor")</f>
        <v>interferon gamma; interleukin 12B; tumor necrosis factor</v>
      </c>
    </row>
    <row r="396" spans="1:11" ht="60" customHeight="1" x14ac:dyDescent="0.2">
      <c r="A396" s="2">
        <v>393</v>
      </c>
      <c r="B396" s="3" t="str">
        <f t="shared" si="91"/>
        <v>IL-23</v>
      </c>
      <c r="C396" s="3" t="str">
        <f t="shared" si="92"/>
        <v>IL12B</v>
      </c>
      <c r="D396" s="3" t="str">
        <f t="shared" si="93"/>
        <v>IL12B_HUMAN</v>
      </c>
      <c r="E396" s="2" t="s">
        <v>21</v>
      </c>
      <c r="F396" s="3"/>
      <c r="G396" s="4" t="str">
        <f t="shared" si="95"/>
        <v>Ustekinumab</v>
      </c>
      <c r="H396" s="3" t="str">
        <f>HYPERLINK("https://www.cortellis.com/drugdiscovery/entity/biomarkers/62155","19-protein rhegmatogenous retinal detachment panel")</f>
        <v>19-protein rhegmatogenous retinal detachment panel</v>
      </c>
      <c r="I396" s="2" t="s">
        <v>24</v>
      </c>
      <c r="J396" s="2" t="s">
        <v>17</v>
      </c>
      <c r="K396" s="4" t="str">
        <f>HYPERLINK("https://www.cortellis.com/drugdiscovery/result/proxy/related-content/biomarkers/genestargets/62155","C-C motif chemokine ligand 2; interleukin 12B; tumor necrosis factor")</f>
        <v>C-C motif chemokine ligand 2; interleukin 12B; tumor necrosis factor</v>
      </c>
    </row>
    <row r="397" spans="1:11" ht="60" customHeight="1" x14ac:dyDescent="0.2">
      <c r="A397" s="2">
        <v>394</v>
      </c>
      <c r="B397" s="3" t="str">
        <f t="shared" ref="B397:B405" si="96">HYPERLINK("https://portal.genego.com/cgi/entity_page.cgi?term=100&amp;id=412","IL-7")</f>
        <v>IL-7</v>
      </c>
      <c r="C397" s="3" t="str">
        <f t="shared" ref="C397:C405" si="97">HYPERLINK("https://portal.genego.com/cgi/entity_page.cgi?term=20&amp;id=-1772611531","IL7")</f>
        <v>IL7</v>
      </c>
      <c r="D397" s="3" t="str">
        <f t="shared" ref="D397:D405" si="98">HYPERLINK("https://portal.genego.com/cgi/entity_page.cgi?term=7&amp;id=1481903024","IL7_HUMAN")</f>
        <v>IL7_HUMAN</v>
      </c>
      <c r="E397" s="2" t="s">
        <v>21</v>
      </c>
      <c r="F397" s="3" t="str">
        <f t="shared" ref="F397:F405" si="99">HYPERLINK("https://portal.genego.com/cgi/entity_page.cgi?term=100&amp;id=412","Interleukin-7")</f>
        <v>Interleukin-7</v>
      </c>
      <c r="G397" s="4"/>
      <c r="H397" s="3" t="str">
        <f>HYPERLINK("https://www.cortellis.com/drugdiscovery/entity/biomarkers/553","Interleukin-7")</f>
        <v>Interleukin-7</v>
      </c>
      <c r="I397" s="2" t="s">
        <v>54</v>
      </c>
      <c r="J397" s="2" t="s">
        <v>15</v>
      </c>
      <c r="K397" s="4" t="str">
        <f>HYPERLINK("https://www.cortellis.com/drugdiscovery/result/proxy/related-content/biomarkers/genestargets/553","interleukin 7")</f>
        <v>interleukin 7</v>
      </c>
    </row>
    <row r="398" spans="1:11" ht="60" customHeight="1" x14ac:dyDescent="0.2">
      <c r="A398" s="2">
        <v>395</v>
      </c>
      <c r="B398" s="3" t="str">
        <f t="shared" si="96"/>
        <v>IL-7</v>
      </c>
      <c r="C398" s="3" t="str">
        <f t="shared" si="97"/>
        <v>IL7</v>
      </c>
      <c r="D398" s="3" t="str">
        <f t="shared" si="98"/>
        <v>IL7_HUMAN</v>
      </c>
      <c r="E398" s="2" t="s">
        <v>21</v>
      </c>
      <c r="F398" s="3" t="str">
        <f t="shared" si="99"/>
        <v>Interleukin-7</v>
      </c>
      <c r="G398" s="4"/>
      <c r="H398" s="3" t="str">
        <f>HYPERLINK("https://www.cortellis.com/drugdiscovery/entity/biomarkers/27598","89-protein neurological alzheimer's panel")</f>
        <v>89-protein neurological alzheimer's panel</v>
      </c>
      <c r="I398" s="2" t="s">
        <v>23</v>
      </c>
      <c r="J398" s="2" t="s">
        <v>17</v>
      </c>
      <c r="K398"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399" spans="1:11" ht="60" customHeight="1" x14ac:dyDescent="0.2">
      <c r="A399" s="2">
        <v>396</v>
      </c>
      <c r="B399" s="3" t="str">
        <f t="shared" si="96"/>
        <v>IL-7</v>
      </c>
      <c r="C399" s="3" t="str">
        <f t="shared" si="97"/>
        <v>IL7</v>
      </c>
      <c r="D399" s="3" t="str">
        <f t="shared" si="98"/>
        <v>IL7_HUMAN</v>
      </c>
      <c r="E399" s="2" t="s">
        <v>21</v>
      </c>
      <c r="F399" s="3" t="str">
        <f t="shared" si="99"/>
        <v>Interleukin-7</v>
      </c>
      <c r="G399" s="4"/>
      <c r="H399" s="3" t="str">
        <f>HYPERLINK("https://www.cortellis.com/drugdiscovery/entity/biomarkers/29614","VeriPsych")</f>
        <v>VeriPsych</v>
      </c>
      <c r="I399" s="2" t="s">
        <v>23</v>
      </c>
      <c r="J399" s="2" t="s">
        <v>17</v>
      </c>
      <c r="K399" s="4" t="str">
        <f>HYPERLINK("https://www.cortellis.com/drugdiscovery/result/proxy/related-content/biomarkers/genestargets/29614","interleukin 7; matrix metallopeptidase 2")</f>
        <v>interleukin 7; matrix metallopeptidase 2</v>
      </c>
    </row>
    <row r="400" spans="1:11" ht="60" customHeight="1" x14ac:dyDescent="0.2">
      <c r="A400" s="2">
        <v>397</v>
      </c>
      <c r="B400" s="3" t="str">
        <f t="shared" si="96"/>
        <v>IL-7</v>
      </c>
      <c r="C400" s="3" t="str">
        <f t="shared" si="97"/>
        <v>IL7</v>
      </c>
      <c r="D400" s="3" t="str">
        <f t="shared" si="98"/>
        <v>IL7_HUMAN</v>
      </c>
      <c r="E400" s="2" t="s">
        <v>21</v>
      </c>
      <c r="F400" s="3" t="str">
        <f t="shared" si="99"/>
        <v>Interleukin-7</v>
      </c>
      <c r="G400" s="4"/>
      <c r="H400" s="3" t="str">
        <f>HYPERLINK("https://www.cortellis.com/drugdiscovery/entity/biomarkers/34385","30-protein alzheimer's panel")</f>
        <v>30-protein alzheimer's panel</v>
      </c>
      <c r="I400" s="2" t="s">
        <v>23</v>
      </c>
      <c r="J400" s="2" t="s">
        <v>17</v>
      </c>
      <c r="K400" s="4" t="str">
        <f>HYPERLINK("https://www.cortellis.com/drugdiscovery/result/proxy/related-content/biomarkers/genestargets/34385","C-C motif chemokine ligand 2; interleukin 7; tenascin C; tumor necrosis factor")</f>
        <v>C-C motif chemokine ligand 2; interleukin 7; tenascin C; tumor necrosis factor</v>
      </c>
    </row>
    <row r="401" spans="1:11" ht="60" customHeight="1" x14ac:dyDescent="0.2">
      <c r="A401" s="2">
        <v>398</v>
      </c>
      <c r="B401" s="3" t="str">
        <f t="shared" si="96"/>
        <v>IL-7</v>
      </c>
      <c r="C401" s="3" t="str">
        <f t="shared" si="97"/>
        <v>IL7</v>
      </c>
      <c r="D401" s="3" t="str">
        <f t="shared" si="98"/>
        <v>IL7_HUMAN</v>
      </c>
      <c r="E401" s="2" t="s">
        <v>21</v>
      </c>
      <c r="F401" s="3" t="str">
        <f t="shared" si="99"/>
        <v>Interleukin-7</v>
      </c>
      <c r="G401" s="4"/>
      <c r="H401" s="3" t="str">
        <f>HYPERLINK("https://www.cortellis.com/drugdiscovery/entity/biomarkers/36097","21-protein breast cancer panel")</f>
        <v>21-protein breast cancer panel</v>
      </c>
      <c r="I401" s="2" t="s">
        <v>18</v>
      </c>
      <c r="J401" s="2" t="s">
        <v>17</v>
      </c>
      <c r="K401" s="4" t="str">
        <f>HYPERLINK("https://www.cortellis.com/drugdiscovery/result/proxy/related-content/biomarkers/genestargets/36097","C-C motif chemokine ligand 2; interleukin 12B; interleukin 7")</f>
        <v>C-C motif chemokine ligand 2; interleukin 12B; interleukin 7</v>
      </c>
    </row>
    <row r="402" spans="1:11" ht="60" customHeight="1" x14ac:dyDescent="0.2">
      <c r="A402" s="2">
        <v>399</v>
      </c>
      <c r="B402" s="3" t="str">
        <f t="shared" si="96"/>
        <v>IL-7</v>
      </c>
      <c r="C402" s="3" t="str">
        <f t="shared" si="97"/>
        <v>IL7</v>
      </c>
      <c r="D402" s="3" t="str">
        <f t="shared" si="98"/>
        <v>IL7_HUMAN</v>
      </c>
      <c r="E402" s="2" t="s">
        <v>21</v>
      </c>
      <c r="F402" s="3" t="str">
        <f t="shared" si="99"/>
        <v>Interleukin-7</v>
      </c>
      <c r="G402" s="4"/>
      <c r="H402" s="3" t="str">
        <f>HYPERLINK("https://www.cortellis.com/drugdiscovery/entity/biomarkers/40564","5-protein autism spectrum disorder panel")</f>
        <v>5-protein autism spectrum disorder panel</v>
      </c>
      <c r="I402" s="2" t="s">
        <v>29</v>
      </c>
      <c r="J402" s="2" t="s">
        <v>17</v>
      </c>
      <c r="K402" s="4" t="str">
        <f>HYPERLINK("https://www.cortellis.com/drugdiscovery/result/proxy/related-content/biomarkers/genestargets/40564","interleukin 7")</f>
        <v>interleukin 7</v>
      </c>
    </row>
    <row r="403" spans="1:11" ht="60" customHeight="1" x14ac:dyDescent="0.2">
      <c r="A403" s="2">
        <v>400</v>
      </c>
      <c r="B403" s="3" t="str">
        <f t="shared" si="96"/>
        <v>IL-7</v>
      </c>
      <c r="C403" s="3" t="str">
        <f t="shared" si="97"/>
        <v>IL7</v>
      </c>
      <c r="D403" s="3" t="str">
        <f t="shared" si="98"/>
        <v>IL7_HUMAN</v>
      </c>
      <c r="E403" s="2" t="s">
        <v>21</v>
      </c>
      <c r="F403" s="3" t="str">
        <f t="shared" si="99"/>
        <v>Interleukin-7</v>
      </c>
      <c r="G403" s="4"/>
      <c r="H403" s="3" t="str">
        <f>HYPERLINK("https://www.cortellis.com/drugdiscovery/entity/biomarkers/43073","4-protein glioblastoma panel")</f>
        <v>4-protein glioblastoma panel</v>
      </c>
      <c r="I403" s="2" t="s">
        <v>25</v>
      </c>
      <c r="J403" s="2" t="s">
        <v>17</v>
      </c>
      <c r="K403" s="4" t="str">
        <f>HYPERLINK("https://www.cortellis.com/drugdiscovery/result/proxy/related-content/biomarkers/genestargets/43073","C-C motif chemokine ligand 2; interleukin 7")</f>
        <v>C-C motif chemokine ligand 2; interleukin 7</v>
      </c>
    </row>
    <row r="404" spans="1:11" ht="60" customHeight="1" x14ac:dyDescent="0.2">
      <c r="A404" s="2">
        <v>401</v>
      </c>
      <c r="B404" s="3" t="str">
        <f t="shared" si="96"/>
        <v>IL-7</v>
      </c>
      <c r="C404" s="3" t="str">
        <f t="shared" si="97"/>
        <v>IL7</v>
      </c>
      <c r="D404" s="3" t="str">
        <f t="shared" si="98"/>
        <v>IL7_HUMAN</v>
      </c>
      <c r="E404" s="2" t="s">
        <v>21</v>
      </c>
      <c r="F404" s="3" t="str">
        <f t="shared" si="99"/>
        <v>Interleukin-7</v>
      </c>
      <c r="G404" s="4"/>
      <c r="H404" s="3" t="str">
        <f>HYPERLINK("https://www.cortellis.com/drugdiscovery/entity/biomarkers/57224","21-protein mild cognitive impairment panel")</f>
        <v>21-protein mild cognitive impairment panel</v>
      </c>
      <c r="I404" s="2" t="s">
        <v>23</v>
      </c>
      <c r="J404" s="2" t="s">
        <v>19</v>
      </c>
      <c r="K404" s="4" t="str">
        <f>HYPERLINK("https://www.cortellis.com/drugdiscovery/result/proxy/related-content/biomarkers/genestargets/57224","interleukin 7; tenascin C; tumor necrosis factor")</f>
        <v>interleukin 7; tenascin C; tumor necrosis factor</v>
      </c>
    </row>
    <row r="405" spans="1:11" ht="60" customHeight="1" x14ac:dyDescent="0.2">
      <c r="A405" s="2">
        <v>402</v>
      </c>
      <c r="B405" s="3" t="str">
        <f t="shared" si="96"/>
        <v>IL-7</v>
      </c>
      <c r="C405" s="3" t="str">
        <f t="shared" si="97"/>
        <v>IL7</v>
      </c>
      <c r="D405" s="3" t="str">
        <f t="shared" si="98"/>
        <v>IL7_HUMAN</v>
      </c>
      <c r="E405" s="2" t="s">
        <v>21</v>
      </c>
      <c r="F405" s="3" t="str">
        <f t="shared" si="99"/>
        <v>Interleukin-7</v>
      </c>
      <c r="G405" s="4"/>
      <c r="H405" s="3" t="str">
        <f>HYPERLINK("https://www.cortellis.com/drugdiscovery/entity/biomarkers/59959","13-protein Crohn's disease panel")</f>
        <v>13-protein Crohn's disease panel</v>
      </c>
      <c r="I405" s="2" t="s">
        <v>24</v>
      </c>
      <c r="J405" s="2" t="s">
        <v>17</v>
      </c>
      <c r="K405" s="4" t="str">
        <f>HYPERLINK("https://www.cortellis.com/drugdiscovery/result/proxy/related-content/biomarkers/genestargets/59959","interleukin 7; matrix metallopeptidase 2; matrix metallopeptidase 9")</f>
        <v>interleukin 7; matrix metallopeptidase 2; matrix metallopeptidase 9</v>
      </c>
    </row>
    <row r="406" spans="1:11" ht="60" customHeight="1" x14ac:dyDescent="0.2">
      <c r="A406" s="2">
        <v>403</v>
      </c>
      <c r="B406" s="3" t="str">
        <f>HYPERLINK("https://portal.genego.com/cgi/entity_page.cgi?term=100&amp;id=-1894964023","MBL2")</f>
        <v>MBL2</v>
      </c>
      <c r="C406" s="3" t="str">
        <f>HYPERLINK("https://portal.genego.com/cgi/entity_page.cgi?term=20&amp;id=1495439859","MBL2")</f>
        <v>MBL2</v>
      </c>
      <c r="D406" s="3" t="str">
        <f>HYPERLINK("https://portal.genego.com/cgi/entity_page.cgi?term=7&amp;id=-1604545733","MBL2_HUMAN")</f>
        <v>MBL2_HUMAN</v>
      </c>
      <c r="E406" s="2" t="s">
        <v>30</v>
      </c>
      <c r="F406" s="3" t="str">
        <f>HYPERLINK("https://portal.genego.com/cgi/entity_page.cgi?term=100&amp;id=-1894964023","Mannose-binding protein C")</f>
        <v>Mannose-binding protein C</v>
      </c>
      <c r="G406" s="4"/>
      <c r="H406" s="3" t="str">
        <f>HYPERLINK("https://www.cortellis.com/drugdiscovery/entity/biomarkers/1357","Mannose-binding protein C")</f>
        <v>Mannose-binding protein C</v>
      </c>
      <c r="I406" s="2" t="s">
        <v>47</v>
      </c>
      <c r="J406" s="2" t="s">
        <v>15</v>
      </c>
      <c r="K406" s="4" t="str">
        <f>HYPERLINK("https://www.cortellis.com/drugdiscovery/result/proxy/related-content/biomarkers/genestargets/1357","mannose binding lectin 2")</f>
        <v>mannose binding lectin 2</v>
      </c>
    </row>
    <row r="407" spans="1:11" ht="60" customHeight="1" x14ac:dyDescent="0.2">
      <c r="A407" s="2">
        <v>404</v>
      </c>
      <c r="B407" s="3" t="str">
        <f t="shared" ref="B407:B413" si="100">HYPERLINK("https://portal.genego.com/cgi/entity_page.cgi?term=100&amp;id=490","MHC class II")</f>
        <v>MHC class II</v>
      </c>
      <c r="C407" s="3" t="str">
        <f t="shared" ref="C407:C420" si="101">HYPERLINK("https://portal.genego.com/cgi/entity_page.cgi?term=20&amp;id=971308478","HLA-DQB1")</f>
        <v>HLA-DQB1</v>
      </c>
      <c r="D407" s="3" t="str">
        <f t="shared" ref="D407:D420" si="102">HYPERLINK("https://portal.genego.com/cgi/entity_page.cgi?term=7&amp;id=-1608791251","DQB1_HUMAN")</f>
        <v>DQB1_HUMAN</v>
      </c>
      <c r="E407" s="2" t="s">
        <v>13</v>
      </c>
      <c r="F407" s="3"/>
      <c r="G407" s="4"/>
      <c r="H407" s="3" t="str">
        <f>HYPERLINK("https://www.cortellis.com/drugdiscovery/entity/biomarkers/456","Major histocompatibility complex, class II, DQ beta 1")</f>
        <v>Major histocompatibility complex, class II, DQ beta 1</v>
      </c>
      <c r="I407" s="2" t="s">
        <v>44</v>
      </c>
      <c r="J407" s="2" t="s">
        <v>15</v>
      </c>
      <c r="K407" s="4" t="str">
        <f>HYPERLINK("https://www.cortellis.com/drugdiscovery/result/proxy/related-content/biomarkers/genestargets/456","major histocompatibility complex, class II, DQ beta 1")</f>
        <v>major histocompatibility complex, class II, DQ beta 1</v>
      </c>
    </row>
    <row r="408" spans="1:11" ht="60" customHeight="1" x14ac:dyDescent="0.2">
      <c r="A408" s="2">
        <v>405</v>
      </c>
      <c r="B408" s="3" t="str">
        <f t="shared" si="100"/>
        <v>MHC class II</v>
      </c>
      <c r="C408" s="3" t="str">
        <f t="shared" si="101"/>
        <v>HLA-DQB1</v>
      </c>
      <c r="D408" s="3" t="str">
        <f t="shared" si="102"/>
        <v>DQB1_HUMAN</v>
      </c>
      <c r="E408" s="2" t="s">
        <v>13</v>
      </c>
      <c r="F408" s="3"/>
      <c r="G408" s="4"/>
      <c r="H408" s="3" t="str">
        <f>HYPERLINK("https://www.cortellis.com/drugdiscovery/entity/biomarkers/42247","37-gene expression multiple myeloma panel")</f>
        <v>37-gene expression multiple myeloma panel</v>
      </c>
      <c r="I408" s="2" t="s">
        <v>27</v>
      </c>
      <c r="J408" s="2" t="s">
        <v>19</v>
      </c>
      <c r="K408" s="4" t="str">
        <f>HYPERLINK("https://www.cortellis.com/drugdiscovery/result/proxy/related-content/biomarkers/genestargets/42247","major histocompatibility complex, class II, DQ beta 1")</f>
        <v>major histocompatibility complex, class II, DQ beta 1</v>
      </c>
    </row>
    <row r="409" spans="1:11" ht="60" customHeight="1" x14ac:dyDescent="0.2">
      <c r="A409" s="2">
        <v>406</v>
      </c>
      <c r="B409" s="3" t="str">
        <f t="shared" si="100"/>
        <v>MHC class II</v>
      </c>
      <c r="C409" s="3" t="str">
        <f t="shared" si="101"/>
        <v>HLA-DQB1</v>
      </c>
      <c r="D409" s="3" t="str">
        <f t="shared" si="102"/>
        <v>DQB1_HUMAN</v>
      </c>
      <c r="E409" s="2" t="s">
        <v>13</v>
      </c>
      <c r="F409" s="3"/>
      <c r="G409" s="4"/>
      <c r="H409" s="3" t="str">
        <f>HYPERLINK("https://www.cortellis.com/drugdiscovery/entity/biomarkers/44614","34-gene expression multiple myeloma panel")</f>
        <v>34-gene expression multiple myeloma panel</v>
      </c>
      <c r="I409" s="2" t="s">
        <v>18</v>
      </c>
      <c r="J409" s="2" t="s">
        <v>19</v>
      </c>
      <c r="K409" s="4" t="str">
        <f>HYPERLINK("https://www.cortellis.com/drugdiscovery/result/proxy/related-content/biomarkers/genestargets/44614","major histocompatibility complex, class II, DQ beta 1")</f>
        <v>major histocompatibility complex, class II, DQ beta 1</v>
      </c>
    </row>
    <row r="410" spans="1:11" ht="60" customHeight="1" x14ac:dyDescent="0.2">
      <c r="A410" s="2">
        <v>407</v>
      </c>
      <c r="B410" s="3" t="str">
        <f t="shared" si="100"/>
        <v>MHC class II</v>
      </c>
      <c r="C410" s="3" t="str">
        <f t="shared" si="101"/>
        <v>HLA-DQB1</v>
      </c>
      <c r="D410" s="3" t="str">
        <f t="shared" si="102"/>
        <v>DQB1_HUMAN</v>
      </c>
      <c r="E410" s="2" t="s">
        <v>13</v>
      </c>
      <c r="F410" s="3"/>
      <c r="G410" s="4"/>
      <c r="H410" s="3" t="str">
        <f>HYPERLINK("https://www.cortellis.com/drugdiscovery/entity/biomarkers/45605","53-gene expression melanoma panel")</f>
        <v>53-gene expression melanoma panel</v>
      </c>
      <c r="I410" s="2" t="s">
        <v>25</v>
      </c>
      <c r="J410" s="2" t="s">
        <v>19</v>
      </c>
      <c r="K410"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411" spans="1:11" ht="60" customHeight="1" x14ac:dyDescent="0.2">
      <c r="A411" s="2">
        <v>408</v>
      </c>
      <c r="B411" s="3" t="str">
        <f t="shared" si="100"/>
        <v>MHC class II</v>
      </c>
      <c r="C411" s="3" t="str">
        <f t="shared" si="101"/>
        <v>HLA-DQB1</v>
      </c>
      <c r="D411" s="3" t="str">
        <f t="shared" si="102"/>
        <v>DQB1_HUMAN</v>
      </c>
      <c r="E411" s="2" t="s">
        <v>13</v>
      </c>
      <c r="F411" s="3"/>
      <c r="G411" s="4"/>
      <c r="H411" s="3" t="str">
        <f>HYPERLINK("https://www.cortellis.com/drugdiscovery/entity/biomarkers/50251","96-gene methylation food allergy panel")</f>
        <v>96-gene methylation food allergy panel</v>
      </c>
      <c r="I411" s="2" t="s">
        <v>23</v>
      </c>
      <c r="J411" s="2" t="s">
        <v>19</v>
      </c>
      <c r="K411" s="4" t="str">
        <f>HYPERLINK("https://www.cortellis.com/drugdiscovery/result/proxy/related-content/biomarkers/genestargets/50251","major histocompatibility complex, class II, DQ beta 1")</f>
        <v>major histocompatibility complex, class II, DQ beta 1</v>
      </c>
    </row>
    <row r="412" spans="1:11" ht="60" customHeight="1" x14ac:dyDescent="0.2">
      <c r="A412" s="2">
        <v>409</v>
      </c>
      <c r="B412" s="3" t="str">
        <f t="shared" si="100"/>
        <v>MHC class II</v>
      </c>
      <c r="C412" s="3" t="str">
        <f t="shared" si="101"/>
        <v>HLA-DQB1</v>
      </c>
      <c r="D412" s="3" t="str">
        <f t="shared" si="102"/>
        <v>DQB1_HUMAN</v>
      </c>
      <c r="E412" s="2" t="s">
        <v>13</v>
      </c>
      <c r="F412" s="3"/>
      <c r="G412" s="4"/>
      <c r="H412" s="3" t="str">
        <f>HYPERLINK("https://www.cortellis.com/drugdiscovery/entity/biomarkers/51354","223-gene expression diffuse B-cell lymphoma panel")</f>
        <v>223-gene expression diffuse B-cell lymphoma panel</v>
      </c>
      <c r="I412" s="2" t="s">
        <v>25</v>
      </c>
      <c r="J412" s="2" t="s">
        <v>15</v>
      </c>
      <c r="K412" s="4" t="str">
        <f>HYPERLINK("https://www.cortellis.com/drugdiscovery/result/proxy/related-content/biomarkers/genestargets/51354","major histocompatibility complex, class II, DQ beta 1")</f>
        <v>major histocompatibility complex, class II, DQ beta 1</v>
      </c>
    </row>
    <row r="413" spans="1:11" ht="60" customHeight="1" x14ac:dyDescent="0.2">
      <c r="A413" s="2">
        <v>410</v>
      </c>
      <c r="B413" s="3" t="str">
        <f t="shared" si="100"/>
        <v>MHC class II</v>
      </c>
      <c r="C413" s="3" t="str">
        <f t="shared" si="101"/>
        <v>HLA-DQB1</v>
      </c>
      <c r="D413" s="3" t="str">
        <f t="shared" si="102"/>
        <v>DQB1_HUMAN</v>
      </c>
      <c r="E413" s="2" t="s">
        <v>13</v>
      </c>
      <c r="F413" s="3"/>
      <c r="G413" s="4"/>
      <c r="H413" s="3" t="str">
        <f>HYPERLINK("https://www.cortellis.com/drugdiscovery/entity/biomarkers/62595","19-gene expression lung adenocarcinoma panel")</f>
        <v>19-gene expression lung adenocarcinoma panel</v>
      </c>
      <c r="I413" s="2" t="s">
        <v>25</v>
      </c>
      <c r="J413" s="2" t="s">
        <v>19</v>
      </c>
      <c r="K413" s="4" t="str">
        <f>HYPERLINK("https://www.cortellis.com/drugdiscovery/result/proxy/related-content/biomarkers/genestargets/62595","major histocompatibility complex, class II, DQ beta 1")</f>
        <v>major histocompatibility complex, class II, DQ beta 1</v>
      </c>
    </row>
    <row r="414" spans="1:11" ht="60" customHeight="1" x14ac:dyDescent="0.2">
      <c r="A414" s="2">
        <v>411</v>
      </c>
      <c r="B414" s="3" t="str">
        <f t="shared" ref="B414:B420" si="103">HYPERLINK("https://portal.genego.com/cgi/entity_page.cgi?term=100&amp;id=-109885917","MHC class II beta chain")</f>
        <v>MHC class II beta chain</v>
      </c>
      <c r="C414" s="3" t="str">
        <f t="shared" si="101"/>
        <v>HLA-DQB1</v>
      </c>
      <c r="D414" s="3" t="str">
        <f t="shared" si="102"/>
        <v>DQB1_HUMAN</v>
      </c>
      <c r="E414" s="2" t="s">
        <v>13</v>
      </c>
      <c r="F414" s="3"/>
      <c r="G414" s="4"/>
      <c r="H414" s="3" t="str">
        <f>HYPERLINK("https://www.cortellis.com/drugdiscovery/entity/biomarkers/456","Major histocompatibility complex, class II, DQ beta 1")</f>
        <v>Major histocompatibility complex, class II, DQ beta 1</v>
      </c>
      <c r="I414" s="2" t="s">
        <v>44</v>
      </c>
      <c r="J414" s="2" t="s">
        <v>15</v>
      </c>
      <c r="K414" s="4" t="str">
        <f>HYPERLINK("https://www.cortellis.com/drugdiscovery/result/proxy/related-content/biomarkers/genestargets/456","major histocompatibility complex, class II, DQ beta 1")</f>
        <v>major histocompatibility complex, class II, DQ beta 1</v>
      </c>
    </row>
    <row r="415" spans="1:11" ht="60" customHeight="1" x14ac:dyDescent="0.2">
      <c r="A415" s="2">
        <v>412</v>
      </c>
      <c r="B415" s="3" t="str">
        <f t="shared" si="103"/>
        <v>MHC class II beta chain</v>
      </c>
      <c r="C415" s="3" t="str">
        <f t="shared" si="101"/>
        <v>HLA-DQB1</v>
      </c>
      <c r="D415" s="3" t="str">
        <f t="shared" si="102"/>
        <v>DQB1_HUMAN</v>
      </c>
      <c r="E415" s="2" t="s">
        <v>13</v>
      </c>
      <c r="F415" s="3"/>
      <c r="G415" s="4"/>
      <c r="H415" s="3" t="str">
        <f>HYPERLINK("https://www.cortellis.com/drugdiscovery/entity/biomarkers/42247","37-gene expression multiple myeloma panel")</f>
        <v>37-gene expression multiple myeloma panel</v>
      </c>
      <c r="I415" s="2" t="s">
        <v>27</v>
      </c>
      <c r="J415" s="2" t="s">
        <v>19</v>
      </c>
      <c r="K415" s="4" t="str">
        <f>HYPERLINK("https://www.cortellis.com/drugdiscovery/result/proxy/related-content/biomarkers/genestargets/42247","major histocompatibility complex, class II, DQ beta 1")</f>
        <v>major histocompatibility complex, class II, DQ beta 1</v>
      </c>
    </row>
    <row r="416" spans="1:11" ht="60" customHeight="1" x14ac:dyDescent="0.2">
      <c r="A416" s="2">
        <v>413</v>
      </c>
      <c r="B416" s="3" t="str">
        <f t="shared" si="103"/>
        <v>MHC class II beta chain</v>
      </c>
      <c r="C416" s="3" t="str">
        <f t="shared" si="101"/>
        <v>HLA-DQB1</v>
      </c>
      <c r="D416" s="3" t="str">
        <f t="shared" si="102"/>
        <v>DQB1_HUMAN</v>
      </c>
      <c r="E416" s="2" t="s">
        <v>13</v>
      </c>
      <c r="F416" s="3"/>
      <c r="G416" s="4"/>
      <c r="H416" s="3" t="str">
        <f>HYPERLINK("https://www.cortellis.com/drugdiscovery/entity/biomarkers/44614","34-gene expression multiple myeloma panel")</f>
        <v>34-gene expression multiple myeloma panel</v>
      </c>
      <c r="I416" s="2" t="s">
        <v>18</v>
      </c>
      <c r="J416" s="2" t="s">
        <v>19</v>
      </c>
      <c r="K416" s="4" t="str">
        <f>HYPERLINK("https://www.cortellis.com/drugdiscovery/result/proxy/related-content/biomarkers/genestargets/44614","major histocompatibility complex, class II, DQ beta 1")</f>
        <v>major histocompatibility complex, class II, DQ beta 1</v>
      </c>
    </row>
    <row r="417" spans="1:11" ht="60" customHeight="1" x14ac:dyDescent="0.2">
      <c r="A417" s="2">
        <v>414</v>
      </c>
      <c r="B417" s="3" t="str">
        <f t="shared" si="103"/>
        <v>MHC class II beta chain</v>
      </c>
      <c r="C417" s="3" t="str">
        <f t="shared" si="101"/>
        <v>HLA-DQB1</v>
      </c>
      <c r="D417" s="3" t="str">
        <f t="shared" si="102"/>
        <v>DQB1_HUMAN</v>
      </c>
      <c r="E417" s="2" t="s">
        <v>13</v>
      </c>
      <c r="F417" s="3"/>
      <c r="G417" s="4"/>
      <c r="H417" s="3" t="str">
        <f>HYPERLINK("https://www.cortellis.com/drugdiscovery/entity/biomarkers/45605","53-gene expression melanoma panel")</f>
        <v>53-gene expression melanoma panel</v>
      </c>
      <c r="I417" s="2" t="s">
        <v>25</v>
      </c>
      <c r="J417" s="2" t="s">
        <v>19</v>
      </c>
      <c r="K417"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418" spans="1:11" ht="60" customHeight="1" x14ac:dyDescent="0.2">
      <c r="A418" s="2">
        <v>415</v>
      </c>
      <c r="B418" s="3" t="str">
        <f t="shared" si="103"/>
        <v>MHC class II beta chain</v>
      </c>
      <c r="C418" s="3" t="str">
        <f t="shared" si="101"/>
        <v>HLA-DQB1</v>
      </c>
      <c r="D418" s="3" t="str">
        <f t="shared" si="102"/>
        <v>DQB1_HUMAN</v>
      </c>
      <c r="E418" s="2" t="s">
        <v>13</v>
      </c>
      <c r="F418" s="3"/>
      <c r="G418" s="4"/>
      <c r="H418" s="3" t="str">
        <f>HYPERLINK("https://www.cortellis.com/drugdiscovery/entity/biomarkers/50251","96-gene methylation food allergy panel")</f>
        <v>96-gene methylation food allergy panel</v>
      </c>
      <c r="I418" s="2" t="s">
        <v>23</v>
      </c>
      <c r="J418" s="2" t="s">
        <v>19</v>
      </c>
      <c r="K418" s="4" t="str">
        <f>HYPERLINK("https://www.cortellis.com/drugdiscovery/result/proxy/related-content/biomarkers/genestargets/50251","major histocompatibility complex, class II, DQ beta 1")</f>
        <v>major histocompatibility complex, class II, DQ beta 1</v>
      </c>
    </row>
    <row r="419" spans="1:11" ht="60" customHeight="1" x14ac:dyDescent="0.2">
      <c r="A419" s="2">
        <v>416</v>
      </c>
      <c r="B419" s="3" t="str">
        <f t="shared" si="103"/>
        <v>MHC class II beta chain</v>
      </c>
      <c r="C419" s="3" t="str">
        <f t="shared" si="101"/>
        <v>HLA-DQB1</v>
      </c>
      <c r="D419" s="3" t="str">
        <f t="shared" si="102"/>
        <v>DQB1_HUMAN</v>
      </c>
      <c r="E419" s="2" t="s">
        <v>13</v>
      </c>
      <c r="F419" s="3"/>
      <c r="G419" s="4"/>
      <c r="H419" s="3" t="str">
        <f>HYPERLINK("https://www.cortellis.com/drugdiscovery/entity/biomarkers/51354","223-gene expression diffuse B-cell lymphoma panel")</f>
        <v>223-gene expression diffuse B-cell lymphoma panel</v>
      </c>
      <c r="I419" s="2" t="s">
        <v>25</v>
      </c>
      <c r="J419" s="2" t="s">
        <v>15</v>
      </c>
      <c r="K419" s="4" t="str">
        <f>HYPERLINK("https://www.cortellis.com/drugdiscovery/result/proxy/related-content/biomarkers/genestargets/51354","major histocompatibility complex, class II, DQ beta 1")</f>
        <v>major histocompatibility complex, class II, DQ beta 1</v>
      </c>
    </row>
    <row r="420" spans="1:11" ht="60" customHeight="1" x14ac:dyDescent="0.2">
      <c r="A420" s="2">
        <v>417</v>
      </c>
      <c r="B420" s="3" t="str">
        <f t="shared" si="103"/>
        <v>MHC class II beta chain</v>
      </c>
      <c r="C420" s="3" t="str">
        <f t="shared" si="101"/>
        <v>HLA-DQB1</v>
      </c>
      <c r="D420" s="3" t="str">
        <f t="shared" si="102"/>
        <v>DQB1_HUMAN</v>
      </c>
      <c r="E420" s="2" t="s">
        <v>13</v>
      </c>
      <c r="F420" s="3"/>
      <c r="G420" s="4"/>
      <c r="H420" s="3" t="str">
        <f>HYPERLINK("https://www.cortellis.com/drugdiscovery/entity/biomarkers/62595","19-gene expression lung adenocarcinoma panel")</f>
        <v>19-gene expression lung adenocarcinoma panel</v>
      </c>
      <c r="I420" s="2" t="s">
        <v>25</v>
      </c>
      <c r="J420" s="2" t="s">
        <v>19</v>
      </c>
      <c r="K420" s="4" t="str">
        <f>HYPERLINK("https://www.cortellis.com/drugdiscovery/result/proxy/related-content/biomarkers/genestargets/62595","major histocompatibility complex, class II, DQ beta 1")</f>
        <v>major histocompatibility complex, class II, DQ beta 1</v>
      </c>
    </row>
    <row r="421" spans="1:11" ht="60" customHeight="1" x14ac:dyDescent="0.2">
      <c r="A421" s="2">
        <v>418</v>
      </c>
      <c r="B421" s="3" t="str">
        <f t="shared" ref="B421:B484" si="104">HYPERLINK("https://portal.genego.com/cgi/entity_page.cgi?term=100&amp;id=499","MMP-2")</f>
        <v>MMP-2</v>
      </c>
      <c r="C421" s="3" t="str">
        <f t="shared" ref="C421:C484" si="105">HYPERLINK("https://portal.genego.com/cgi/entity_page.cgi?term=20&amp;id=-2123498703","MMP2")</f>
        <v>MMP2</v>
      </c>
      <c r="D421" s="3" t="str">
        <f t="shared" ref="D421:D484" si="106">HYPERLINK("https://portal.genego.com/cgi/entity_page.cgi?term=7&amp;id=144264266","MMP2_HUMAN")</f>
        <v>MMP2_HUMAN</v>
      </c>
      <c r="E421" s="2" t="s">
        <v>55</v>
      </c>
      <c r="F421" s="3" t="str">
        <f t="shared" ref="F421:F484" si="107">HYPERLINK("https://portal.genego.com/cgi/entity_page.cgi?term=100&amp;id=499","72 kDa type IV collagenase")</f>
        <v>72 kDa type IV collagenase</v>
      </c>
      <c r="G421" s="4" t="str">
        <f t="shared" ref="G421:G437" si="108">HYPERLINK("https://portal.genego.com/cgi/entity_page.cgi?term=7&amp;id=-1941735817","Halofuginone")</f>
        <v>Halofuginone</v>
      </c>
      <c r="H421" s="3" t="str">
        <f>HYPERLINK("https://www.cortellis.com/drugdiscovery/entity/biomarkers/286","72 kDa type IV collagenase")</f>
        <v>72 kDa type IV collagenase</v>
      </c>
      <c r="I421" s="2" t="s">
        <v>56</v>
      </c>
      <c r="J421" s="2" t="s">
        <v>15</v>
      </c>
      <c r="K421" s="4" t="str">
        <f>HYPERLINK("https://www.cortellis.com/drugdiscovery/result/proxy/related-content/biomarkers/genestargets/286","matrix metallopeptidase 2")</f>
        <v>matrix metallopeptidase 2</v>
      </c>
    </row>
    <row r="422" spans="1:11" ht="60" customHeight="1" x14ac:dyDescent="0.2">
      <c r="A422" s="2">
        <v>419</v>
      </c>
      <c r="B422" s="3" t="str">
        <f t="shared" si="104"/>
        <v>MMP-2</v>
      </c>
      <c r="C422" s="3" t="str">
        <f t="shared" si="105"/>
        <v>MMP2</v>
      </c>
      <c r="D422" s="3" t="str">
        <f t="shared" si="106"/>
        <v>MMP2_HUMAN</v>
      </c>
      <c r="E422" s="2" t="s">
        <v>55</v>
      </c>
      <c r="F422" s="3" t="str">
        <f t="shared" si="107"/>
        <v>72 kDa type IV collagenase</v>
      </c>
      <c r="G422" s="4" t="str">
        <f t="shared" si="108"/>
        <v>Halofuginone</v>
      </c>
      <c r="H422" s="3" t="str">
        <f>HYPERLINK("https://www.cortellis.com/drugdiscovery/entity/biomarkers/653","MMP-2-TIMP-2 complex")</f>
        <v>MMP-2-TIMP-2 complex</v>
      </c>
      <c r="I422" s="2" t="s">
        <v>57</v>
      </c>
      <c r="J422" s="2" t="s">
        <v>15</v>
      </c>
      <c r="K422" s="4" t="str">
        <f>HYPERLINK("https://www.cortellis.com/drugdiscovery/result/proxy/related-content/biomarkers/genestargets/653","matrix metallopeptidase 2")</f>
        <v>matrix metallopeptidase 2</v>
      </c>
    </row>
    <row r="423" spans="1:11" ht="60" customHeight="1" x14ac:dyDescent="0.2">
      <c r="A423" s="2">
        <v>420</v>
      </c>
      <c r="B423" s="3" t="str">
        <f t="shared" si="104"/>
        <v>MMP-2</v>
      </c>
      <c r="C423" s="3" t="str">
        <f t="shared" si="105"/>
        <v>MMP2</v>
      </c>
      <c r="D423" s="3" t="str">
        <f t="shared" si="106"/>
        <v>MMP2_HUMAN</v>
      </c>
      <c r="E423" s="2" t="s">
        <v>55</v>
      </c>
      <c r="F423" s="3" t="str">
        <f t="shared" si="107"/>
        <v>72 kDa type IV collagenase</v>
      </c>
      <c r="G423" s="4" t="str">
        <f t="shared" si="108"/>
        <v>Halofuginone</v>
      </c>
      <c r="H423" s="3" t="str">
        <f>HYPERLINK("https://www.cortellis.com/drugdiscovery/entity/biomarkers/26503","3-gene polymorphism cardia cancer panel")</f>
        <v>3-gene polymorphism cardia cancer panel</v>
      </c>
      <c r="I423" s="2" t="s">
        <v>29</v>
      </c>
      <c r="J423" s="2" t="s">
        <v>19</v>
      </c>
      <c r="K423" s="4" t="str">
        <f>HYPERLINK("https://www.cortellis.com/drugdiscovery/result/proxy/related-content/biomarkers/genestargets/26503","matrix metallopeptidase 2")</f>
        <v>matrix metallopeptidase 2</v>
      </c>
    </row>
    <row r="424" spans="1:11" ht="60" customHeight="1" x14ac:dyDescent="0.2">
      <c r="A424" s="2">
        <v>421</v>
      </c>
      <c r="B424" s="3" t="str">
        <f t="shared" si="104"/>
        <v>MMP-2</v>
      </c>
      <c r="C424" s="3" t="str">
        <f t="shared" si="105"/>
        <v>MMP2</v>
      </c>
      <c r="D424" s="3" t="str">
        <f t="shared" si="106"/>
        <v>MMP2_HUMAN</v>
      </c>
      <c r="E424" s="2" t="s">
        <v>55</v>
      </c>
      <c r="F424" s="3" t="str">
        <f t="shared" si="107"/>
        <v>72 kDa type IV collagenase</v>
      </c>
      <c r="G424" s="4" t="str">
        <f t="shared" si="108"/>
        <v>Halofuginone</v>
      </c>
      <c r="H424" s="3" t="str">
        <f>HYPERLINK("https://www.cortellis.com/drugdiscovery/entity/biomarkers/26754","5-protein breast cancer panel")</f>
        <v>5-protein breast cancer panel</v>
      </c>
      <c r="I424" s="2" t="s">
        <v>18</v>
      </c>
      <c r="J424" s="2" t="s">
        <v>17</v>
      </c>
      <c r="K424" s="4" t="str">
        <f>HYPERLINK("https://www.cortellis.com/drugdiscovery/result/proxy/related-content/biomarkers/genestargets/26754","matrix metallopeptidase 2")</f>
        <v>matrix metallopeptidase 2</v>
      </c>
    </row>
    <row r="425" spans="1:11" ht="60" customHeight="1" x14ac:dyDescent="0.2">
      <c r="A425" s="2">
        <v>422</v>
      </c>
      <c r="B425" s="3" t="str">
        <f t="shared" si="104"/>
        <v>MMP-2</v>
      </c>
      <c r="C425" s="3" t="str">
        <f t="shared" si="105"/>
        <v>MMP2</v>
      </c>
      <c r="D425" s="3" t="str">
        <f t="shared" si="106"/>
        <v>MMP2_HUMAN</v>
      </c>
      <c r="E425" s="2" t="s">
        <v>55</v>
      </c>
      <c r="F425" s="3" t="str">
        <f t="shared" si="107"/>
        <v>72 kDa type IV collagenase</v>
      </c>
      <c r="G425" s="4" t="str">
        <f t="shared" si="108"/>
        <v>Halofuginone</v>
      </c>
      <c r="H425" s="3" t="str">
        <f>HYPERLINK("https://www.cortellis.com/drugdiscovery/entity/biomarkers/27598","89-protein neurological alzheimer's panel")</f>
        <v>89-protein neurological alzheimer's panel</v>
      </c>
      <c r="I425" s="2" t="s">
        <v>23</v>
      </c>
      <c r="J425" s="2" t="s">
        <v>17</v>
      </c>
      <c r="K425"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426" spans="1:11" ht="60" customHeight="1" x14ac:dyDescent="0.2">
      <c r="A426" s="2">
        <v>423</v>
      </c>
      <c r="B426" s="3" t="str">
        <f t="shared" si="104"/>
        <v>MMP-2</v>
      </c>
      <c r="C426" s="3" t="str">
        <f t="shared" si="105"/>
        <v>MMP2</v>
      </c>
      <c r="D426" s="3" t="str">
        <f t="shared" si="106"/>
        <v>MMP2_HUMAN</v>
      </c>
      <c r="E426" s="2" t="s">
        <v>55</v>
      </c>
      <c r="F426" s="3" t="str">
        <f t="shared" si="107"/>
        <v>72 kDa type IV collagenase</v>
      </c>
      <c r="G426" s="4" t="str">
        <f t="shared" si="108"/>
        <v>Halofuginone</v>
      </c>
      <c r="H426" s="3" t="str">
        <f>HYPERLINK("https://www.cortellis.com/drugdiscovery/entity/biomarkers/28165","8-gene expression colorectal cancer panel")</f>
        <v>8-gene expression colorectal cancer panel</v>
      </c>
      <c r="I426" s="2" t="s">
        <v>18</v>
      </c>
      <c r="J426" s="2" t="s">
        <v>19</v>
      </c>
      <c r="K426" s="4" t="str">
        <f>HYPERLINK("https://www.cortellis.com/drugdiscovery/result/proxy/related-content/biomarkers/genestargets/28165","matrix metallopeptidase 2")</f>
        <v>matrix metallopeptidase 2</v>
      </c>
    </row>
    <row r="427" spans="1:11" ht="60" customHeight="1" x14ac:dyDescent="0.2">
      <c r="A427" s="2">
        <v>424</v>
      </c>
      <c r="B427" s="3" t="str">
        <f t="shared" si="104"/>
        <v>MMP-2</v>
      </c>
      <c r="C427" s="3" t="str">
        <f t="shared" si="105"/>
        <v>MMP2</v>
      </c>
      <c r="D427" s="3" t="str">
        <f t="shared" si="106"/>
        <v>MMP2_HUMAN</v>
      </c>
      <c r="E427" s="2" t="s">
        <v>55</v>
      </c>
      <c r="F427" s="3" t="str">
        <f t="shared" si="107"/>
        <v>72 kDa type IV collagenase</v>
      </c>
      <c r="G427" s="4" t="str">
        <f t="shared" si="108"/>
        <v>Halofuginone</v>
      </c>
      <c r="H427" s="3" t="str">
        <f>HYPERLINK("https://www.cortellis.com/drugdiscovery/entity/biomarkers/28451","3-protein nasopharyngeal cancer panel")</f>
        <v>3-protein nasopharyngeal cancer panel</v>
      </c>
      <c r="I427" s="2" t="s">
        <v>23</v>
      </c>
      <c r="J427" s="2" t="s">
        <v>17</v>
      </c>
      <c r="K427" s="4" t="str">
        <f>HYPERLINK("https://www.cortellis.com/drugdiscovery/result/proxy/related-content/biomarkers/genestargets/28451","matrix metallopeptidase 2")</f>
        <v>matrix metallopeptidase 2</v>
      </c>
    </row>
    <row r="428" spans="1:11" ht="60" customHeight="1" x14ac:dyDescent="0.2">
      <c r="A428" s="2">
        <v>425</v>
      </c>
      <c r="B428" s="3" t="str">
        <f t="shared" si="104"/>
        <v>MMP-2</v>
      </c>
      <c r="C428" s="3" t="str">
        <f t="shared" si="105"/>
        <v>MMP2</v>
      </c>
      <c r="D428" s="3" t="str">
        <f t="shared" si="106"/>
        <v>MMP2_HUMAN</v>
      </c>
      <c r="E428" s="2" t="s">
        <v>55</v>
      </c>
      <c r="F428" s="3" t="str">
        <f t="shared" si="107"/>
        <v>72 kDa type IV collagenase</v>
      </c>
      <c r="G428" s="4" t="str">
        <f t="shared" si="108"/>
        <v>Halofuginone</v>
      </c>
      <c r="H428" s="3" t="str">
        <f>HYPERLINK("https://www.cortellis.com/drugdiscovery/entity/biomarkers/29614","VeriPsych")</f>
        <v>VeriPsych</v>
      </c>
      <c r="I428" s="2" t="s">
        <v>23</v>
      </c>
      <c r="J428" s="2" t="s">
        <v>17</v>
      </c>
      <c r="K428" s="4" t="str">
        <f>HYPERLINK("https://www.cortellis.com/drugdiscovery/result/proxy/related-content/biomarkers/genestargets/29614","interleukin 7; matrix metallopeptidase 2")</f>
        <v>interleukin 7; matrix metallopeptidase 2</v>
      </c>
    </row>
    <row r="429" spans="1:11" ht="60" customHeight="1" x14ac:dyDescent="0.2">
      <c r="A429" s="2">
        <v>426</v>
      </c>
      <c r="B429" s="3" t="str">
        <f t="shared" si="104"/>
        <v>MMP-2</v>
      </c>
      <c r="C429" s="3" t="str">
        <f t="shared" si="105"/>
        <v>MMP2</v>
      </c>
      <c r="D429" s="3" t="str">
        <f t="shared" si="106"/>
        <v>MMP2_HUMAN</v>
      </c>
      <c r="E429" s="2" t="s">
        <v>55</v>
      </c>
      <c r="F429" s="3" t="str">
        <f t="shared" si="107"/>
        <v>72 kDa type IV collagenase</v>
      </c>
      <c r="G429" s="4" t="str">
        <f t="shared" si="108"/>
        <v>Halofuginone</v>
      </c>
      <c r="H429" s="3" t="str">
        <f>HYPERLINK("https://www.cortellis.com/drugdiscovery/entity/biomarkers/39112","50-gene expression breast cancer panel")</f>
        <v>50-gene expression breast cancer panel</v>
      </c>
      <c r="I429" s="2" t="s">
        <v>18</v>
      </c>
      <c r="J429" s="2" t="s">
        <v>19</v>
      </c>
      <c r="K429" s="4" t="str">
        <f>HYPERLINK("https://www.cortellis.com/drugdiscovery/result/proxy/related-content/biomarkers/genestargets/39112","matrix metallopeptidase 2")</f>
        <v>matrix metallopeptidase 2</v>
      </c>
    </row>
    <row r="430" spans="1:11" ht="60" customHeight="1" x14ac:dyDescent="0.2">
      <c r="A430" s="2">
        <v>427</v>
      </c>
      <c r="B430" s="3" t="str">
        <f t="shared" si="104"/>
        <v>MMP-2</v>
      </c>
      <c r="C430" s="3" t="str">
        <f t="shared" si="105"/>
        <v>MMP2</v>
      </c>
      <c r="D430" s="3" t="str">
        <f t="shared" si="106"/>
        <v>MMP2_HUMAN</v>
      </c>
      <c r="E430" s="2" t="s">
        <v>55</v>
      </c>
      <c r="F430" s="3" t="str">
        <f t="shared" si="107"/>
        <v>72 kDa type IV collagenase</v>
      </c>
      <c r="G430" s="4" t="str">
        <f t="shared" si="108"/>
        <v>Halofuginone</v>
      </c>
      <c r="H430" s="3" t="str">
        <f>HYPERLINK("https://www.cortellis.com/drugdiscovery/entity/biomarkers/43882","530-gene methylation leukemia panel")</f>
        <v>530-gene methylation leukemia panel</v>
      </c>
      <c r="I430" s="2" t="s">
        <v>25</v>
      </c>
      <c r="J430" s="2" t="s">
        <v>19</v>
      </c>
      <c r="K430" s="4" t="str">
        <f>HYPERLINK("https://www.cortellis.com/drugdiscovery/result/proxy/related-content/biomarkers/genestargets/43882","matrix metallopeptidase 2; ribonuclease A family member 3")</f>
        <v>matrix metallopeptidase 2; ribonuclease A family member 3</v>
      </c>
    </row>
    <row r="431" spans="1:11" ht="60" customHeight="1" x14ac:dyDescent="0.2">
      <c r="A431" s="2">
        <v>428</v>
      </c>
      <c r="B431" s="3" t="str">
        <f t="shared" si="104"/>
        <v>MMP-2</v>
      </c>
      <c r="C431" s="3" t="str">
        <f t="shared" si="105"/>
        <v>MMP2</v>
      </c>
      <c r="D431" s="3" t="str">
        <f t="shared" si="106"/>
        <v>MMP2_HUMAN</v>
      </c>
      <c r="E431" s="2" t="s">
        <v>55</v>
      </c>
      <c r="F431" s="3" t="str">
        <f t="shared" si="107"/>
        <v>72 kDa type IV collagenase</v>
      </c>
      <c r="G431" s="4" t="str">
        <f t="shared" si="108"/>
        <v>Halofuginone</v>
      </c>
      <c r="H431" s="3" t="str">
        <f>HYPERLINK("https://www.cortellis.com/drugdiscovery/entity/biomarkers/45762","37-protein metastatic colon cancer panel")</f>
        <v>37-protein metastatic colon cancer panel</v>
      </c>
      <c r="I431" s="2" t="s">
        <v>20</v>
      </c>
      <c r="J431" s="2" t="s">
        <v>17</v>
      </c>
      <c r="K431" s="4" t="str">
        <f>HYPERLINK("https://www.cortellis.com/drugdiscovery/result/proxy/related-content/biomarkers/genestargets/45762","matrix metallopeptidase 2; matrix metallopeptidase 9")</f>
        <v>matrix metallopeptidase 2; matrix metallopeptidase 9</v>
      </c>
    </row>
    <row r="432" spans="1:11" ht="60" customHeight="1" x14ac:dyDescent="0.2">
      <c r="A432" s="2">
        <v>429</v>
      </c>
      <c r="B432" s="3" t="str">
        <f t="shared" si="104"/>
        <v>MMP-2</v>
      </c>
      <c r="C432" s="3" t="str">
        <f t="shared" si="105"/>
        <v>MMP2</v>
      </c>
      <c r="D432" s="3" t="str">
        <f t="shared" si="106"/>
        <v>MMP2_HUMAN</v>
      </c>
      <c r="E432" s="2" t="s">
        <v>55</v>
      </c>
      <c r="F432" s="3" t="str">
        <f t="shared" si="107"/>
        <v>72 kDa type IV collagenase</v>
      </c>
      <c r="G432" s="4" t="str">
        <f t="shared" si="108"/>
        <v>Halofuginone</v>
      </c>
      <c r="H432" s="3" t="str">
        <f>HYPERLINK("https://www.cortellis.com/drugdiscovery/entity/biomarkers/51682","Multiplex biomarker panel")</f>
        <v>Multiplex biomarker panel</v>
      </c>
      <c r="I432" s="2" t="s">
        <v>23</v>
      </c>
      <c r="J432" s="2" t="s">
        <v>15</v>
      </c>
      <c r="K432" s="4" t="str">
        <f>HYPERLINK("https://www.cortellis.com/drugdiscovery/result/proxy/related-content/biomarkers/genestargets/51682","matrix metallopeptidase 2; matrix metallopeptidase 9")</f>
        <v>matrix metallopeptidase 2; matrix metallopeptidase 9</v>
      </c>
    </row>
    <row r="433" spans="1:11" ht="60" customHeight="1" x14ac:dyDescent="0.2">
      <c r="A433" s="2">
        <v>430</v>
      </c>
      <c r="B433" s="3" t="str">
        <f t="shared" si="104"/>
        <v>MMP-2</v>
      </c>
      <c r="C433" s="3" t="str">
        <f t="shared" si="105"/>
        <v>MMP2</v>
      </c>
      <c r="D433" s="3" t="str">
        <f t="shared" si="106"/>
        <v>MMP2_HUMAN</v>
      </c>
      <c r="E433" s="2" t="s">
        <v>55</v>
      </c>
      <c r="F433" s="3" t="str">
        <f t="shared" si="107"/>
        <v>72 kDa type IV collagenase</v>
      </c>
      <c r="G433" s="4" t="str">
        <f t="shared" si="108"/>
        <v>Halofuginone</v>
      </c>
      <c r="H433" s="3" t="str">
        <f>HYPERLINK("https://www.cortellis.com/drugdiscovery/entity/biomarkers/53787","111-gene expression ovarian cancer panel")</f>
        <v>111-gene expression ovarian cancer panel</v>
      </c>
      <c r="I433" s="2" t="s">
        <v>25</v>
      </c>
      <c r="J433" s="2" t="s">
        <v>19</v>
      </c>
      <c r="K433" s="4" t="str">
        <f>HYPERLINK("https://www.cortellis.com/drugdiscovery/result/proxy/related-content/biomarkers/genestargets/53787","matrix metallopeptidase 2")</f>
        <v>matrix metallopeptidase 2</v>
      </c>
    </row>
    <row r="434" spans="1:11" ht="60" customHeight="1" x14ac:dyDescent="0.2">
      <c r="A434" s="2">
        <v>431</v>
      </c>
      <c r="B434" s="3" t="str">
        <f t="shared" si="104"/>
        <v>MMP-2</v>
      </c>
      <c r="C434" s="3" t="str">
        <f t="shared" si="105"/>
        <v>MMP2</v>
      </c>
      <c r="D434" s="3" t="str">
        <f t="shared" si="106"/>
        <v>MMP2_HUMAN</v>
      </c>
      <c r="E434" s="2" t="s">
        <v>55</v>
      </c>
      <c r="F434" s="3" t="str">
        <f t="shared" si="107"/>
        <v>72 kDa type IV collagenase</v>
      </c>
      <c r="G434" s="4" t="str">
        <f t="shared" si="108"/>
        <v>Halofuginone</v>
      </c>
      <c r="H434" s="3" t="str">
        <f>HYPERLINK("https://www.cortellis.com/drugdiscovery/entity/biomarkers/56620","45-gene expression cancer panel")</f>
        <v>45-gene expression cancer panel</v>
      </c>
      <c r="I434" s="2" t="s">
        <v>18</v>
      </c>
      <c r="J434" s="2" t="s">
        <v>19</v>
      </c>
      <c r="K434" s="4" t="str">
        <f>HYPERLINK("https://www.cortellis.com/drugdiscovery/result/proxy/related-content/biomarkers/genestargets/56620","matrix metallopeptidase 2")</f>
        <v>matrix metallopeptidase 2</v>
      </c>
    </row>
    <row r="435" spans="1:11" ht="60" customHeight="1" x14ac:dyDescent="0.2">
      <c r="A435" s="2">
        <v>432</v>
      </c>
      <c r="B435" s="3" t="str">
        <f t="shared" si="104"/>
        <v>MMP-2</v>
      </c>
      <c r="C435" s="3" t="str">
        <f t="shared" si="105"/>
        <v>MMP2</v>
      </c>
      <c r="D435" s="3" t="str">
        <f t="shared" si="106"/>
        <v>MMP2_HUMAN</v>
      </c>
      <c r="E435" s="2" t="s">
        <v>55</v>
      </c>
      <c r="F435" s="3" t="str">
        <f t="shared" si="107"/>
        <v>72 kDa type IV collagenase</v>
      </c>
      <c r="G435" s="4" t="str">
        <f t="shared" si="108"/>
        <v>Halofuginone</v>
      </c>
      <c r="H435" s="3" t="str">
        <f>HYPERLINK("https://www.cortellis.com/drugdiscovery/entity/biomarkers/57361","36-gene expression soft tissue sarcoma panel")</f>
        <v>36-gene expression soft tissue sarcoma panel</v>
      </c>
      <c r="I435" s="2" t="s">
        <v>25</v>
      </c>
      <c r="J435" s="2" t="s">
        <v>19</v>
      </c>
      <c r="K435" s="4" t="str">
        <f>HYPERLINK("https://www.cortellis.com/drugdiscovery/result/proxy/related-content/biomarkers/genestargets/57361","matrix metallopeptidase 2")</f>
        <v>matrix metallopeptidase 2</v>
      </c>
    </row>
    <row r="436" spans="1:11" ht="60" customHeight="1" x14ac:dyDescent="0.2">
      <c r="A436" s="2">
        <v>433</v>
      </c>
      <c r="B436" s="3" t="str">
        <f t="shared" si="104"/>
        <v>MMP-2</v>
      </c>
      <c r="C436" s="3" t="str">
        <f t="shared" si="105"/>
        <v>MMP2</v>
      </c>
      <c r="D436" s="3" t="str">
        <f t="shared" si="106"/>
        <v>MMP2_HUMAN</v>
      </c>
      <c r="E436" s="2" t="s">
        <v>55</v>
      </c>
      <c r="F436" s="3" t="str">
        <f t="shared" si="107"/>
        <v>72 kDa type IV collagenase</v>
      </c>
      <c r="G436" s="4" t="str">
        <f t="shared" si="108"/>
        <v>Halofuginone</v>
      </c>
      <c r="H436" s="3" t="str">
        <f>HYPERLINK("https://www.cortellis.com/drugdiscovery/entity/biomarkers/59959","13-protein Crohn's disease panel")</f>
        <v>13-protein Crohn's disease panel</v>
      </c>
      <c r="I436" s="2" t="s">
        <v>24</v>
      </c>
      <c r="J436" s="2" t="s">
        <v>17</v>
      </c>
      <c r="K436" s="4" t="str">
        <f>HYPERLINK("https://www.cortellis.com/drugdiscovery/result/proxy/related-content/biomarkers/genestargets/59959","interleukin 7; matrix metallopeptidase 2; matrix metallopeptidase 9")</f>
        <v>interleukin 7; matrix metallopeptidase 2; matrix metallopeptidase 9</v>
      </c>
    </row>
    <row r="437" spans="1:11" ht="60" customHeight="1" x14ac:dyDescent="0.2">
      <c r="A437" s="2">
        <v>434</v>
      </c>
      <c r="B437" s="3" t="str">
        <f t="shared" si="104"/>
        <v>MMP-2</v>
      </c>
      <c r="C437" s="3" t="str">
        <f t="shared" si="105"/>
        <v>MMP2</v>
      </c>
      <c r="D437" s="3" t="str">
        <f t="shared" si="106"/>
        <v>MMP2_HUMAN</v>
      </c>
      <c r="E437" s="2" t="s">
        <v>55</v>
      </c>
      <c r="F437" s="3" t="str">
        <f t="shared" si="107"/>
        <v>72 kDa type IV collagenase</v>
      </c>
      <c r="G437" s="4" t="str">
        <f t="shared" si="108"/>
        <v>Halofuginone</v>
      </c>
      <c r="H437" s="3" t="str">
        <f>HYPERLINK("https://www.cortellis.com/drugdiscovery/entity/biomarkers/64358","6-triple negative breast cancer panel")</f>
        <v>6-triple negative breast cancer panel</v>
      </c>
      <c r="I437" s="2" t="s">
        <v>18</v>
      </c>
      <c r="J437" s="2" t="s">
        <v>19</v>
      </c>
      <c r="K437" s="4" t="str">
        <f>HYPERLINK("https://www.cortellis.com/drugdiscovery/result/proxy/related-content/biomarkers/genestargets/64358","matrix metallopeptidase 2")</f>
        <v>matrix metallopeptidase 2</v>
      </c>
    </row>
    <row r="438" spans="1:11" ht="60" customHeight="1" x14ac:dyDescent="0.2">
      <c r="A438" s="2">
        <v>435</v>
      </c>
      <c r="B438" s="3" t="str">
        <f t="shared" si="104"/>
        <v>MMP-2</v>
      </c>
      <c r="C438" s="3" t="str">
        <f t="shared" si="105"/>
        <v>MMP2</v>
      </c>
      <c r="D438" s="3" t="str">
        <f t="shared" si="106"/>
        <v>MMP2_HUMAN</v>
      </c>
      <c r="E438" s="2" t="s">
        <v>55</v>
      </c>
      <c r="F438" s="3" t="str">
        <f t="shared" si="107"/>
        <v>72 kDa type IV collagenase</v>
      </c>
      <c r="G438" s="4" t="str">
        <f t="shared" ref="G438:G454" si="109">HYPERLINK("https://portal.genego.com/cgi/entity_page.cgi?term=7&amp;id=-1203985680","Marimastat")</f>
        <v>Marimastat</v>
      </c>
      <c r="H438" s="3" t="str">
        <f>HYPERLINK("https://www.cortellis.com/drugdiscovery/entity/biomarkers/286","72 kDa type IV collagenase")</f>
        <v>72 kDa type IV collagenase</v>
      </c>
      <c r="I438" s="2" t="s">
        <v>56</v>
      </c>
      <c r="J438" s="2" t="s">
        <v>15</v>
      </c>
      <c r="K438" s="4" t="str">
        <f>HYPERLINK("https://www.cortellis.com/drugdiscovery/result/proxy/related-content/biomarkers/genestargets/286","matrix metallopeptidase 2")</f>
        <v>matrix metallopeptidase 2</v>
      </c>
    </row>
    <row r="439" spans="1:11" ht="60" customHeight="1" x14ac:dyDescent="0.2">
      <c r="A439" s="2">
        <v>436</v>
      </c>
      <c r="B439" s="3" t="str">
        <f t="shared" si="104"/>
        <v>MMP-2</v>
      </c>
      <c r="C439" s="3" t="str">
        <f t="shared" si="105"/>
        <v>MMP2</v>
      </c>
      <c r="D439" s="3" t="str">
        <f t="shared" si="106"/>
        <v>MMP2_HUMAN</v>
      </c>
      <c r="E439" s="2" t="s">
        <v>55</v>
      </c>
      <c r="F439" s="3" t="str">
        <f t="shared" si="107"/>
        <v>72 kDa type IV collagenase</v>
      </c>
      <c r="G439" s="4" t="str">
        <f t="shared" si="109"/>
        <v>Marimastat</v>
      </c>
      <c r="H439" s="3" t="str">
        <f>HYPERLINK("https://www.cortellis.com/drugdiscovery/entity/biomarkers/653","MMP-2-TIMP-2 complex")</f>
        <v>MMP-2-TIMP-2 complex</v>
      </c>
      <c r="I439" s="2" t="s">
        <v>57</v>
      </c>
      <c r="J439" s="2" t="s">
        <v>15</v>
      </c>
      <c r="K439" s="4" t="str">
        <f>HYPERLINK("https://www.cortellis.com/drugdiscovery/result/proxy/related-content/biomarkers/genestargets/653","matrix metallopeptidase 2")</f>
        <v>matrix metallopeptidase 2</v>
      </c>
    </row>
    <row r="440" spans="1:11" ht="60" customHeight="1" x14ac:dyDescent="0.2">
      <c r="A440" s="2">
        <v>437</v>
      </c>
      <c r="B440" s="3" t="str">
        <f t="shared" si="104"/>
        <v>MMP-2</v>
      </c>
      <c r="C440" s="3" t="str">
        <f t="shared" si="105"/>
        <v>MMP2</v>
      </c>
      <c r="D440" s="3" t="str">
        <f t="shared" si="106"/>
        <v>MMP2_HUMAN</v>
      </c>
      <c r="E440" s="2" t="s">
        <v>55</v>
      </c>
      <c r="F440" s="3" t="str">
        <f t="shared" si="107"/>
        <v>72 kDa type IV collagenase</v>
      </c>
      <c r="G440" s="4" t="str">
        <f t="shared" si="109"/>
        <v>Marimastat</v>
      </c>
      <c r="H440" s="3" t="str">
        <f>HYPERLINK("https://www.cortellis.com/drugdiscovery/entity/biomarkers/26503","3-gene polymorphism cardia cancer panel")</f>
        <v>3-gene polymorphism cardia cancer panel</v>
      </c>
      <c r="I440" s="2" t="s">
        <v>29</v>
      </c>
      <c r="J440" s="2" t="s">
        <v>19</v>
      </c>
      <c r="K440" s="4" t="str">
        <f>HYPERLINK("https://www.cortellis.com/drugdiscovery/result/proxy/related-content/biomarkers/genestargets/26503","matrix metallopeptidase 2")</f>
        <v>matrix metallopeptidase 2</v>
      </c>
    </row>
    <row r="441" spans="1:11" ht="60" customHeight="1" x14ac:dyDescent="0.2">
      <c r="A441" s="2">
        <v>438</v>
      </c>
      <c r="B441" s="3" t="str">
        <f t="shared" si="104"/>
        <v>MMP-2</v>
      </c>
      <c r="C441" s="3" t="str">
        <f t="shared" si="105"/>
        <v>MMP2</v>
      </c>
      <c r="D441" s="3" t="str">
        <f t="shared" si="106"/>
        <v>MMP2_HUMAN</v>
      </c>
      <c r="E441" s="2" t="s">
        <v>55</v>
      </c>
      <c r="F441" s="3" t="str">
        <f t="shared" si="107"/>
        <v>72 kDa type IV collagenase</v>
      </c>
      <c r="G441" s="4" t="str">
        <f t="shared" si="109"/>
        <v>Marimastat</v>
      </c>
      <c r="H441" s="3" t="str">
        <f>HYPERLINK("https://www.cortellis.com/drugdiscovery/entity/biomarkers/26754","5-protein breast cancer panel")</f>
        <v>5-protein breast cancer panel</v>
      </c>
      <c r="I441" s="2" t="s">
        <v>18</v>
      </c>
      <c r="J441" s="2" t="s">
        <v>17</v>
      </c>
      <c r="K441" s="4" t="str">
        <f>HYPERLINK("https://www.cortellis.com/drugdiscovery/result/proxy/related-content/biomarkers/genestargets/26754","matrix metallopeptidase 2")</f>
        <v>matrix metallopeptidase 2</v>
      </c>
    </row>
    <row r="442" spans="1:11" ht="60" customHeight="1" x14ac:dyDescent="0.2">
      <c r="A442" s="2">
        <v>439</v>
      </c>
      <c r="B442" s="3" t="str">
        <f t="shared" si="104"/>
        <v>MMP-2</v>
      </c>
      <c r="C442" s="3" t="str">
        <f t="shared" si="105"/>
        <v>MMP2</v>
      </c>
      <c r="D442" s="3" t="str">
        <f t="shared" si="106"/>
        <v>MMP2_HUMAN</v>
      </c>
      <c r="E442" s="2" t="s">
        <v>55</v>
      </c>
      <c r="F442" s="3" t="str">
        <f t="shared" si="107"/>
        <v>72 kDa type IV collagenase</v>
      </c>
      <c r="G442" s="4" t="str">
        <f t="shared" si="109"/>
        <v>Marimastat</v>
      </c>
      <c r="H442" s="3" t="str">
        <f>HYPERLINK("https://www.cortellis.com/drugdiscovery/entity/biomarkers/27598","89-protein neurological alzheimer's panel")</f>
        <v>89-protein neurological alzheimer's panel</v>
      </c>
      <c r="I442" s="2" t="s">
        <v>23</v>
      </c>
      <c r="J442" s="2" t="s">
        <v>17</v>
      </c>
      <c r="K442"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443" spans="1:11" ht="60" customHeight="1" x14ac:dyDescent="0.2">
      <c r="A443" s="2">
        <v>440</v>
      </c>
      <c r="B443" s="3" t="str">
        <f t="shared" si="104"/>
        <v>MMP-2</v>
      </c>
      <c r="C443" s="3" t="str">
        <f t="shared" si="105"/>
        <v>MMP2</v>
      </c>
      <c r="D443" s="3" t="str">
        <f t="shared" si="106"/>
        <v>MMP2_HUMAN</v>
      </c>
      <c r="E443" s="2" t="s">
        <v>55</v>
      </c>
      <c r="F443" s="3" t="str">
        <f t="shared" si="107"/>
        <v>72 kDa type IV collagenase</v>
      </c>
      <c r="G443" s="4" t="str">
        <f t="shared" si="109"/>
        <v>Marimastat</v>
      </c>
      <c r="H443" s="3" t="str">
        <f>HYPERLINK("https://www.cortellis.com/drugdiscovery/entity/biomarkers/28165","8-gene expression colorectal cancer panel")</f>
        <v>8-gene expression colorectal cancer panel</v>
      </c>
      <c r="I443" s="2" t="s">
        <v>18</v>
      </c>
      <c r="J443" s="2" t="s">
        <v>19</v>
      </c>
      <c r="K443" s="4" t="str">
        <f>HYPERLINK("https://www.cortellis.com/drugdiscovery/result/proxy/related-content/biomarkers/genestargets/28165","matrix metallopeptidase 2")</f>
        <v>matrix metallopeptidase 2</v>
      </c>
    </row>
    <row r="444" spans="1:11" ht="60" customHeight="1" x14ac:dyDescent="0.2">
      <c r="A444" s="2">
        <v>441</v>
      </c>
      <c r="B444" s="3" t="str">
        <f t="shared" si="104"/>
        <v>MMP-2</v>
      </c>
      <c r="C444" s="3" t="str">
        <f t="shared" si="105"/>
        <v>MMP2</v>
      </c>
      <c r="D444" s="3" t="str">
        <f t="shared" si="106"/>
        <v>MMP2_HUMAN</v>
      </c>
      <c r="E444" s="2" t="s">
        <v>55</v>
      </c>
      <c r="F444" s="3" t="str">
        <f t="shared" si="107"/>
        <v>72 kDa type IV collagenase</v>
      </c>
      <c r="G444" s="4" t="str">
        <f t="shared" si="109"/>
        <v>Marimastat</v>
      </c>
      <c r="H444" s="3" t="str">
        <f>HYPERLINK("https://www.cortellis.com/drugdiscovery/entity/biomarkers/28451","3-protein nasopharyngeal cancer panel")</f>
        <v>3-protein nasopharyngeal cancer panel</v>
      </c>
      <c r="I444" s="2" t="s">
        <v>23</v>
      </c>
      <c r="J444" s="2" t="s">
        <v>17</v>
      </c>
      <c r="K444" s="4" t="str">
        <f>HYPERLINK("https://www.cortellis.com/drugdiscovery/result/proxy/related-content/biomarkers/genestargets/28451","matrix metallopeptidase 2")</f>
        <v>matrix metallopeptidase 2</v>
      </c>
    </row>
    <row r="445" spans="1:11" ht="60" customHeight="1" x14ac:dyDescent="0.2">
      <c r="A445" s="2">
        <v>442</v>
      </c>
      <c r="B445" s="3" t="str">
        <f t="shared" si="104"/>
        <v>MMP-2</v>
      </c>
      <c r="C445" s="3" t="str">
        <f t="shared" si="105"/>
        <v>MMP2</v>
      </c>
      <c r="D445" s="3" t="str">
        <f t="shared" si="106"/>
        <v>MMP2_HUMAN</v>
      </c>
      <c r="E445" s="2" t="s">
        <v>55</v>
      </c>
      <c r="F445" s="3" t="str">
        <f t="shared" si="107"/>
        <v>72 kDa type IV collagenase</v>
      </c>
      <c r="G445" s="4" t="str">
        <f t="shared" si="109"/>
        <v>Marimastat</v>
      </c>
      <c r="H445" s="3" t="str">
        <f>HYPERLINK("https://www.cortellis.com/drugdiscovery/entity/biomarkers/29614","VeriPsych")</f>
        <v>VeriPsych</v>
      </c>
      <c r="I445" s="2" t="s">
        <v>23</v>
      </c>
      <c r="J445" s="2" t="s">
        <v>17</v>
      </c>
      <c r="K445" s="4" t="str">
        <f>HYPERLINK("https://www.cortellis.com/drugdiscovery/result/proxy/related-content/biomarkers/genestargets/29614","interleukin 7; matrix metallopeptidase 2")</f>
        <v>interleukin 7; matrix metallopeptidase 2</v>
      </c>
    </row>
    <row r="446" spans="1:11" ht="60" customHeight="1" x14ac:dyDescent="0.2">
      <c r="A446" s="2">
        <v>443</v>
      </c>
      <c r="B446" s="3" t="str">
        <f t="shared" si="104"/>
        <v>MMP-2</v>
      </c>
      <c r="C446" s="3" t="str">
        <f t="shared" si="105"/>
        <v>MMP2</v>
      </c>
      <c r="D446" s="3" t="str">
        <f t="shared" si="106"/>
        <v>MMP2_HUMAN</v>
      </c>
      <c r="E446" s="2" t="s">
        <v>55</v>
      </c>
      <c r="F446" s="3" t="str">
        <f t="shared" si="107"/>
        <v>72 kDa type IV collagenase</v>
      </c>
      <c r="G446" s="4" t="str">
        <f t="shared" si="109"/>
        <v>Marimastat</v>
      </c>
      <c r="H446" s="3" t="str">
        <f>HYPERLINK("https://www.cortellis.com/drugdiscovery/entity/biomarkers/39112","50-gene expression breast cancer panel")</f>
        <v>50-gene expression breast cancer panel</v>
      </c>
      <c r="I446" s="2" t="s">
        <v>18</v>
      </c>
      <c r="J446" s="2" t="s">
        <v>19</v>
      </c>
      <c r="K446" s="4" t="str">
        <f>HYPERLINK("https://www.cortellis.com/drugdiscovery/result/proxy/related-content/biomarkers/genestargets/39112","matrix metallopeptidase 2")</f>
        <v>matrix metallopeptidase 2</v>
      </c>
    </row>
    <row r="447" spans="1:11" ht="60" customHeight="1" x14ac:dyDescent="0.2">
      <c r="A447" s="2">
        <v>444</v>
      </c>
      <c r="B447" s="3" t="str">
        <f t="shared" si="104"/>
        <v>MMP-2</v>
      </c>
      <c r="C447" s="3" t="str">
        <f t="shared" si="105"/>
        <v>MMP2</v>
      </c>
      <c r="D447" s="3" t="str">
        <f t="shared" si="106"/>
        <v>MMP2_HUMAN</v>
      </c>
      <c r="E447" s="2" t="s">
        <v>55</v>
      </c>
      <c r="F447" s="3" t="str">
        <f t="shared" si="107"/>
        <v>72 kDa type IV collagenase</v>
      </c>
      <c r="G447" s="4" t="str">
        <f t="shared" si="109"/>
        <v>Marimastat</v>
      </c>
      <c r="H447" s="3" t="str">
        <f>HYPERLINK("https://www.cortellis.com/drugdiscovery/entity/biomarkers/43882","530-gene methylation leukemia panel")</f>
        <v>530-gene methylation leukemia panel</v>
      </c>
      <c r="I447" s="2" t="s">
        <v>25</v>
      </c>
      <c r="J447" s="2" t="s">
        <v>19</v>
      </c>
      <c r="K447" s="4" t="str">
        <f>HYPERLINK("https://www.cortellis.com/drugdiscovery/result/proxy/related-content/biomarkers/genestargets/43882","matrix metallopeptidase 2; ribonuclease A family member 3")</f>
        <v>matrix metallopeptidase 2; ribonuclease A family member 3</v>
      </c>
    </row>
    <row r="448" spans="1:11" ht="60" customHeight="1" x14ac:dyDescent="0.2">
      <c r="A448" s="2">
        <v>445</v>
      </c>
      <c r="B448" s="3" t="str">
        <f t="shared" si="104"/>
        <v>MMP-2</v>
      </c>
      <c r="C448" s="3" t="str">
        <f t="shared" si="105"/>
        <v>MMP2</v>
      </c>
      <c r="D448" s="3" t="str">
        <f t="shared" si="106"/>
        <v>MMP2_HUMAN</v>
      </c>
      <c r="E448" s="2" t="s">
        <v>55</v>
      </c>
      <c r="F448" s="3" t="str">
        <f t="shared" si="107"/>
        <v>72 kDa type IV collagenase</v>
      </c>
      <c r="G448" s="4" t="str">
        <f t="shared" si="109"/>
        <v>Marimastat</v>
      </c>
      <c r="H448" s="3" t="str">
        <f>HYPERLINK("https://www.cortellis.com/drugdiscovery/entity/biomarkers/45762","37-protein metastatic colon cancer panel")</f>
        <v>37-protein metastatic colon cancer panel</v>
      </c>
      <c r="I448" s="2" t="s">
        <v>20</v>
      </c>
      <c r="J448" s="2" t="s">
        <v>17</v>
      </c>
      <c r="K448" s="4" t="str">
        <f>HYPERLINK("https://www.cortellis.com/drugdiscovery/result/proxy/related-content/biomarkers/genestargets/45762","matrix metallopeptidase 2; matrix metallopeptidase 9")</f>
        <v>matrix metallopeptidase 2; matrix metallopeptidase 9</v>
      </c>
    </row>
    <row r="449" spans="1:11" ht="60" customHeight="1" x14ac:dyDescent="0.2">
      <c r="A449" s="2">
        <v>446</v>
      </c>
      <c r="B449" s="3" t="str">
        <f t="shared" si="104"/>
        <v>MMP-2</v>
      </c>
      <c r="C449" s="3" t="str">
        <f t="shared" si="105"/>
        <v>MMP2</v>
      </c>
      <c r="D449" s="3" t="str">
        <f t="shared" si="106"/>
        <v>MMP2_HUMAN</v>
      </c>
      <c r="E449" s="2" t="s">
        <v>55</v>
      </c>
      <c r="F449" s="3" t="str">
        <f t="shared" si="107"/>
        <v>72 kDa type IV collagenase</v>
      </c>
      <c r="G449" s="4" t="str">
        <f t="shared" si="109"/>
        <v>Marimastat</v>
      </c>
      <c r="H449" s="3" t="str">
        <f>HYPERLINK("https://www.cortellis.com/drugdiscovery/entity/biomarkers/51682","Multiplex biomarker panel")</f>
        <v>Multiplex biomarker panel</v>
      </c>
      <c r="I449" s="2" t="s">
        <v>23</v>
      </c>
      <c r="J449" s="2" t="s">
        <v>15</v>
      </c>
      <c r="K449" s="4" t="str">
        <f>HYPERLINK("https://www.cortellis.com/drugdiscovery/result/proxy/related-content/biomarkers/genestargets/51682","matrix metallopeptidase 2; matrix metallopeptidase 9")</f>
        <v>matrix metallopeptidase 2; matrix metallopeptidase 9</v>
      </c>
    </row>
    <row r="450" spans="1:11" ht="60" customHeight="1" x14ac:dyDescent="0.2">
      <c r="A450" s="2">
        <v>447</v>
      </c>
      <c r="B450" s="3" t="str">
        <f t="shared" si="104"/>
        <v>MMP-2</v>
      </c>
      <c r="C450" s="3" t="str">
        <f t="shared" si="105"/>
        <v>MMP2</v>
      </c>
      <c r="D450" s="3" t="str">
        <f t="shared" si="106"/>
        <v>MMP2_HUMAN</v>
      </c>
      <c r="E450" s="2" t="s">
        <v>55</v>
      </c>
      <c r="F450" s="3" t="str">
        <f t="shared" si="107"/>
        <v>72 kDa type IV collagenase</v>
      </c>
      <c r="G450" s="4" t="str">
        <f t="shared" si="109"/>
        <v>Marimastat</v>
      </c>
      <c r="H450" s="3" t="str">
        <f>HYPERLINK("https://www.cortellis.com/drugdiscovery/entity/biomarkers/53787","111-gene expression ovarian cancer panel")</f>
        <v>111-gene expression ovarian cancer panel</v>
      </c>
      <c r="I450" s="2" t="s">
        <v>25</v>
      </c>
      <c r="J450" s="2" t="s">
        <v>19</v>
      </c>
      <c r="K450" s="4" t="str">
        <f>HYPERLINK("https://www.cortellis.com/drugdiscovery/result/proxy/related-content/biomarkers/genestargets/53787","matrix metallopeptidase 2")</f>
        <v>matrix metallopeptidase 2</v>
      </c>
    </row>
    <row r="451" spans="1:11" ht="60" customHeight="1" x14ac:dyDescent="0.2">
      <c r="A451" s="2">
        <v>448</v>
      </c>
      <c r="B451" s="3" t="str">
        <f t="shared" si="104"/>
        <v>MMP-2</v>
      </c>
      <c r="C451" s="3" t="str">
        <f t="shared" si="105"/>
        <v>MMP2</v>
      </c>
      <c r="D451" s="3" t="str">
        <f t="shared" si="106"/>
        <v>MMP2_HUMAN</v>
      </c>
      <c r="E451" s="2" t="s">
        <v>55</v>
      </c>
      <c r="F451" s="3" t="str">
        <f t="shared" si="107"/>
        <v>72 kDa type IV collagenase</v>
      </c>
      <c r="G451" s="4" t="str">
        <f t="shared" si="109"/>
        <v>Marimastat</v>
      </c>
      <c r="H451" s="3" t="str">
        <f>HYPERLINK("https://www.cortellis.com/drugdiscovery/entity/biomarkers/56620","45-gene expression cancer panel")</f>
        <v>45-gene expression cancer panel</v>
      </c>
      <c r="I451" s="2" t="s">
        <v>18</v>
      </c>
      <c r="J451" s="2" t="s">
        <v>19</v>
      </c>
      <c r="K451" s="4" t="str">
        <f>HYPERLINK("https://www.cortellis.com/drugdiscovery/result/proxy/related-content/biomarkers/genestargets/56620","matrix metallopeptidase 2")</f>
        <v>matrix metallopeptidase 2</v>
      </c>
    </row>
    <row r="452" spans="1:11" ht="60" customHeight="1" x14ac:dyDescent="0.2">
      <c r="A452" s="2">
        <v>449</v>
      </c>
      <c r="B452" s="3" t="str">
        <f t="shared" si="104"/>
        <v>MMP-2</v>
      </c>
      <c r="C452" s="3" t="str">
        <f t="shared" si="105"/>
        <v>MMP2</v>
      </c>
      <c r="D452" s="3" t="str">
        <f t="shared" si="106"/>
        <v>MMP2_HUMAN</v>
      </c>
      <c r="E452" s="2" t="s">
        <v>55</v>
      </c>
      <c r="F452" s="3" t="str">
        <f t="shared" si="107"/>
        <v>72 kDa type IV collagenase</v>
      </c>
      <c r="G452" s="4" t="str">
        <f t="shared" si="109"/>
        <v>Marimastat</v>
      </c>
      <c r="H452" s="3" t="str">
        <f>HYPERLINK("https://www.cortellis.com/drugdiscovery/entity/biomarkers/57361","36-gene expression soft tissue sarcoma panel")</f>
        <v>36-gene expression soft tissue sarcoma panel</v>
      </c>
      <c r="I452" s="2" t="s">
        <v>25</v>
      </c>
      <c r="J452" s="2" t="s">
        <v>19</v>
      </c>
      <c r="K452" s="4" t="str">
        <f>HYPERLINK("https://www.cortellis.com/drugdiscovery/result/proxy/related-content/biomarkers/genestargets/57361","matrix metallopeptidase 2")</f>
        <v>matrix metallopeptidase 2</v>
      </c>
    </row>
    <row r="453" spans="1:11" ht="60" customHeight="1" x14ac:dyDescent="0.2">
      <c r="A453" s="2">
        <v>450</v>
      </c>
      <c r="B453" s="3" t="str">
        <f t="shared" si="104"/>
        <v>MMP-2</v>
      </c>
      <c r="C453" s="3" t="str">
        <f t="shared" si="105"/>
        <v>MMP2</v>
      </c>
      <c r="D453" s="3" t="str">
        <f t="shared" si="106"/>
        <v>MMP2_HUMAN</v>
      </c>
      <c r="E453" s="2" t="s">
        <v>55</v>
      </c>
      <c r="F453" s="3" t="str">
        <f t="shared" si="107"/>
        <v>72 kDa type IV collagenase</v>
      </c>
      <c r="G453" s="4" t="str">
        <f t="shared" si="109"/>
        <v>Marimastat</v>
      </c>
      <c r="H453" s="3" t="str">
        <f>HYPERLINK("https://www.cortellis.com/drugdiscovery/entity/biomarkers/59959","13-protein Crohn's disease panel")</f>
        <v>13-protein Crohn's disease panel</v>
      </c>
      <c r="I453" s="2" t="s">
        <v>24</v>
      </c>
      <c r="J453" s="2" t="s">
        <v>17</v>
      </c>
      <c r="K453" s="4" t="str">
        <f>HYPERLINK("https://www.cortellis.com/drugdiscovery/result/proxy/related-content/biomarkers/genestargets/59959","interleukin 7; matrix metallopeptidase 2; matrix metallopeptidase 9")</f>
        <v>interleukin 7; matrix metallopeptidase 2; matrix metallopeptidase 9</v>
      </c>
    </row>
    <row r="454" spans="1:11" ht="60" customHeight="1" x14ac:dyDescent="0.2">
      <c r="A454" s="2">
        <v>451</v>
      </c>
      <c r="B454" s="3" t="str">
        <f t="shared" si="104"/>
        <v>MMP-2</v>
      </c>
      <c r="C454" s="3" t="str">
        <f t="shared" si="105"/>
        <v>MMP2</v>
      </c>
      <c r="D454" s="3" t="str">
        <f t="shared" si="106"/>
        <v>MMP2_HUMAN</v>
      </c>
      <c r="E454" s="2" t="s">
        <v>55</v>
      </c>
      <c r="F454" s="3" t="str">
        <f t="shared" si="107"/>
        <v>72 kDa type IV collagenase</v>
      </c>
      <c r="G454" s="4" t="str">
        <f t="shared" si="109"/>
        <v>Marimastat</v>
      </c>
      <c r="H454" s="3" t="str">
        <f>HYPERLINK("https://www.cortellis.com/drugdiscovery/entity/biomarkers/64358","6-triple negative breast cancer panel")</f>
        <v>6-triple negative breast cancer panel</v>
      </c>
      <c r="I454" s="2" t="s">
        <v>18</v>
      </c>
      <c r="J454" s="2" t="s">
        <v>19</v>
      </c>
      <c r="K454" s="4" t="str">
        <f>HYPERLINK("https://www.cortellis.com/drugdiscovery/result/proxy/related-content/biomarkers/genestargets/64358","matrix metallopeptidase 2")</f>
        <v>matrix metallopeptidase 2</v>
      </c>
    </row>
    <row r="455" spans="1:11" ht="60" customHeight="1" x14ac:dyDescent="0.2">
      <c r="A455" s="2">
        <v>452</v>
      </c>
      <c r="B455" s="3" t="str">
        <f t="shared" si="104"/>
        <v>MMP-2</v>
      </c>
      <c r="C455" s="3" t="str">
        <f t="shared" si="105"/>
        <v>MMP2</v>
      </c>
      <c r="D455" s="3" t="str">
        <f t="shared" si="106"/>
        <v>MMP2_HUMAN</v>
      </c>
      <c r="E455" s="2" t="s">
        <v>55</v>
      </c>
      <c r="F455" s="3" t="str">
        <f t="shared" si="107"/>
        <v>72 kDa type IV collagenase</v>
      </c>
      <c r="G455" s="4" t="str">
        <f t="shared" ref="G455:G471" si="110">HYPERLINK("https://portal.genego.com/cgi/entity_page.cgi?term=7&amp;id=-978910055","Tanomastat")</f>
        <v>Tanomastat</v>
      </c>
      <c r="H455" s="3" t="str">
        <f>HYPERLINK("https://www.cortellis.com/drugdiscovery/entity/biomarkers/286","72 kDa type IV collagenase")</f>
        <v>72 kDa type IV collagenase</v>
      </c>
      <c r="I455" s="2" t="s">
        <v>56</v>
      </c>
      <c r="J455" s="2" t="s">
        <v>15</v>
      </c>
      <c r="K455" s="4" t="str">
        <f>HYPERLINK("https://www.cortellis.com/drugdiscovery/result/proxy/related-content/biomarkers/genestargets/286","matrix metallopeptidase 2")</f>
        <v>matrix metallopeptidase 2</v>
      </c>
    </row>
    <row r="456" spans="1:11" ht="60" customHeight="1" x14ac:dyDescent="0.2">
      <c r="A456" s="2">
        <v>453</v>
      </c>
      <c r="B456" s="3" t="str">
        <f t="shared" si="104"/>
        <v>MMP-2</v>
      </c>
      <c r="C456" s="3" t="str">
        <f t="shared" si="105"/>
        <v>MMP2</v>
      </c>
      <c r="D456" s="3" t="str">
        <f t="shared" si="106"/>
        <v>MMP2_HUMAN</v>
      </c>
      <c r="E456" s="2" t="s">
        <v>55</v>
      </c>
      <c r="F456" s="3" t="str">
        <f t="shared" si="107"/>
        <v>72 kDa type IV collagenase</v>
      </c>
      <c r="G456" s="4" t="str">
        <f t="shared" si="110"/>
        <v>Tanomastat</v>
      </c>
      <c r="H456" s="3" t="str">
        <f>HYPERLINK("https://www.cortellis.com/drugdiscovery/entity/biomarkers/653","MMP-2-TIMP-2 complex")</f>
        <v>MMP-2-TIMP-2 complex</v>
      </c>
      <c r="I456" s="2" t="s">
        <v>57</v>
      </c>
      <c r="J456" s="2" t="s">
        <v>15</v>
      </c>
      <c r="K456" s="4" t="str">
        <f>HYPERLINK("https://www.cortellis.com/drugdiscovery/result/proxy/related-content/biomarkers/genestargets/653","matrix metallopeptidase 2")</f>
        <v>matrix metallopeptidase 2</v>
      </c>
    </row>
    <row r="457" spans="1:11" ht="60" customHeight="1" x14ac:dyDescent="0.2">
      <c r="A457" s="2">
        <v>454</v>
      </c>
      <c r="B457" s="3" t="str">
        <f t="shared" si="104"/>
        <v>MMP-2</v>
      </c>
      <c r="C457" s="3" t="str">
        <f t="shared" si="105"/>
        <v>MMP2</v>
      </c>
      <c r="D457" s="3" t="str">
        <f t="shared" si="106"/>
        <v>MMP2_HUMAN</v>
      </c>
      <c r="E457" s="2" t="s">
        <v>55</v>
      </c>
      <c r="F457" s="3" t="str">
        <f t="shared" si="107"/>
        <v>72 kDa type IV collagenase</v>
      </c>
      <c r="G457" s="4" t="str">
        <f t="shared" si="110"/>
        <v>Tanomastat</v>
      </c>
      <c r="H457" s="3" t="str">
        <f>HYPERLINK("https://www.cortellis.com/drugdiscovery/entity/biomarkers/26503","3-gene polymorphism cardia cancer panel")</f>
        <v>3-gene polymorphism cardia cancer panel</v>
      </c>
      <c r="I457" s="2" t="s">
        <v>29</v>
      </c>
      <c r="J457" s="2" t="s">
        <v>19</v>
      </c>
      <c r="K457" s="4" t="str">
        <f>HYPERLINK("https://www.cortellis.com/drugdiscovery/result/proxy/related-content/biomarkers/genestargets/26503","matrix metallopeptidase 2")</f>
        <v>matrix metallopeptidase 2</v>
      </c>
    </row>
    <row r="458" spans="1:11" ht="60" customHeight="1" x14ac:dyDescent="0.2">
      <c r="A458" s="2">
        <v>455</v>
      </c>
      <c r="B458" s="3" t="str">
        <f t="shared" si="104"/>
        <v>MMP-2</v>
      </c>
      <c r="C458" s="3" t="str">
        <f t="shared" si="105"/>
        <v>MMP2</v>
      </c>
      <c r="D458" s="3" t="str">
        <f t="shared" si="106"/>
        <v>MMP2_HUMAN</v>
      </c>
      <c r="E458" s="2" t="s">
        <v>55</v>
      </c>
      <c r="F458" s="3" t="str">
        <f t="shared" si="107"/>
        <v>72 kDa type IV collagenase</v>
      </c>
      <c r="G458" s="4" t="str">
        <f t="shared" si="110"/>
        <v>Tanomastat</v>
      </c>
      <c r="H458" s="3" t="str">
        <f>HYPERLINK("https://www.cortellis.com/drugdiscovery/entity/biomarkers/26754","5-protein breast cancer panel")</f>
        <v>5-protein breast cancer panel</v>
      </c>
      <c r="I458" s="2" t="s">
        <v>18</v>
      </c>
      <c r="J458" s="2" t="s">
        <v>17</v>
      </c>
      <c r="K458" s="4" t="str">
        <f>HYPERLINK("https://www.cortellis.com/drugdiscovery/result/proxy/related-content/biomarkers/genestargets/26754","matrix metallopeptidase 2")</f>
        <v>matrix metallopeptidase 2</v>
      </c>
    </row>
    <row r="459" spans="1:11" ht="60" customHeight="1" x14ac:dyDescent="0.2">
      <c r="A459" s="2">
        <v>456</v>
      </c>
      <c r="B459" s="3" t="str">
        <f t="shared" si="104"/>
        <v>MMP-2</v>
      </c>
      <c r="C459" s="3" t="str">
        <f t="shared" si="105"/>
        <v>MMP2</v>
      </c>
      <c r="D459" s="3" t="str">
        <f t="shared" si="106"/>
        <v>MMP2_HUMAN</v>
      </c>
      <c r="E459" s="2" t="s">
        <v>55</v>
      </c>
      <c r="F459" s="3" t="str">
        <f t="shared" si="107"/>
        <v>72 kDa type IV collagenase</v>
      </c>
      <c r="G459" s="4" t="str">
        <f t="shared" si="110"/>
        <v>Tanomastat</v>
      </c>
      <c r="H459" s="3" t="str">
        <f>HYPERLINK("https://www.cortellis.com/drugdiscovery/entity/biomarkers/27598","89-protein neurological alzheimer's panel")</f>
        <v>89-protein neurological alzheimer's panel</v>
      </c>
      <c r="I459" s="2" t="s">
        <v>23</v>
      </c>
      <c r="J459" s="2" t="s">
        <v>17</v>
      </c>
      <c r="K459"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460" spans="1:11" ht="60" customHeight="1" x14ac:dyDescent="0.2">
      <c r="A460" s="2">
        <v>457</v>
      </c>
      <c r="B460" s="3" t="str">
        <f t="shared" si="104"/>
        <v>MMP-2</v>
      </c>
      <c r="C460" s="3" t="str">
        <f t="shared" si="105"/>
        <v>MMP2</v>
      </c>
      <c r="D460" s="3" t="str">
        <f t="shared" si="106"/>
        <v>MMP2_HUMAN</v>
      </c>
      <c r="E460" s="2" t="s">
        <v>55</v>
      </c>
      <c r="F460" s="3" t="str">
        <f t="shared" si="107"/>
        <v>72 kDa type IV collagenase</v>
      </c>
      <c r="G460" s="4" t="str">
        <f t="shared" si="110"/>
        <v>Tanomastat</v>
      </c>
      <c r="H460" s="3" t="str">
        <f>HYPERLINK("https://www.cortellis.com/drugdiscovery/entity/biomarkers/28165","8-gene expression colorectal cancer panel")</f>
        <v>8-gene expression colorectal cancer panel</v>
      </c>
      <c r="I460" s="2" t="s">
        <v>18</v>
      </c>
      <c r="J460" s="2" t="s">
        <v>19</v>
      </c>
      <c r="K460" s="4" t="str">
        <f>HYPERLINK("https://www.cortellis.com/drugdiscovery/result/proxy/related-content/biomarkers/genestargets/28165","matrix metallopeptidase 2")</f>
        <v>matrix metallopeptidase 2</v>
      </c>
    </row>
    <row r="461" spans="1:11" ht="60" customHeight="1" x14ac:dyDescent="0.2">
      <c r="A461" s="2">
        <v>458</v>
      </c>
      <c r="B461" s="3" t="str">
        <f t="shared" si="104"/>
        <v>MMP-2</v>
      </c>
      <c r="C461" s="3" t="str">
        <f t="shared" si="105"/>
        <v>MMP2</v>
      </c>
      <c r="D461" s="3" t="str">
        <f t="shared" si="106"/>
        <v>MMP2_HUMAN</v>
      </c>
      <c r="E461" s="2" t="s">
        <v>55</v>
      </c>
      <c r="F461" s="3" t="str">
        <f t="shared" si="107"/>
        <v>72 kDa type IV collagenase</v>
      </c>
      <c r="G461" s="4" t="str">
        <f t="shared" si="110"/>
        <v>Tanomastat</v>
      </c>
      <c r="H461" s="3" t="str">
        <f>HYPERLINK("https://www.cortellis.com/drugdiscovery/entity/biomarkers/28451","3-protein nasopharyngeal cancer panel")</f>
        <v>3-protein nasopharyngeal cancer panel</v>
      </c>
      <c r="I461" s="2" t="s">
        <v>23</v>
      </c>
      <c r="J461" s="2" t="s">
        <v>17</v>
      </c>
      <c r="K461" s="4" t="str">
        <f>HYPERLINK("https://www.cortellis.com/drugdiscovery/result/proxy/related-content/biomarkers/genestargets/28451","matrix metallopeptidase 2")</f>
        <v>matrix metallopeptidase 2</v>
      </c>
    </row>
    <row r="462" spans="1:11" ht="60" customHeight="1" x14ac:dyDescent="0.2">
      <c r="A462" s="2">
        <v>459</v>
      </c>
      <c r="B462" s="3" t="str">
        <f t="shared" si="104"/>
        <v>MMP-2</v>
      </c>
      <c r="C462" s="3" t="str">
        <f t="shared" si="105"/>
        <v>MMP2</v>
      </c>
      <c r="D462" s="3" t="str">
        <f t="shared" si="106"/>
        <v>MMP2_HUMAN</v>
      </c>
      <c r="E462" s="2" t="s">
        <v>55</v>
      </c>
      <c r="F462" s="3" t="str">
        <f t="shared" si="107"/>
        <v>72 kDa type IV collagenase</v>
      </c>
      <c r="G462" s="4" t="str">
        <f t="shared" si="110"/>
        <v>Tanomastat</v>
      </c>
      <c r="H462" s="3" t="str">
        <f>HYPERLINK("https://www.cortellis.com/drugdiscovery/entity/biomarkers/29614","VeriPsych")</f>
        <v>VeriPsych</v>
      </c>
      <c r="I462" s="2" t="s">
        <v>23</v>
      </c>
      <c r="J462" s="2" t="s">
        <v>17</v>
      </c>
      <c r="K462" s="4" t="str">
        <f>HYPERLINK("https://www.cortellis.com/drugdiscovery/result/proxy/related-content/biomarkers/genestargets/29614","interleukin 7; matrix metallopeptidase 2")</f>
        <v>interleukin 7; matrix metallopeptidase 2</v>
      </c>
    </row>
    <row r="463" spans="1:11" ht="60" customHeight="1" x14ac:dyDescent="0.2">
      <c r="A463" s="2">
        <v>460</v>
      </c>
      <c r="B463" s="3" t="str">
        <f t="shared" si="104"/>
        <v>MMP-2</v>
      </c>
      <c r="C463" s="3" t="str">
        <f t="shared" si="105"/>
        <v>MMP2</v>
      </c>
      <c r="D463" s="3" t="str">
        <f t="shared" si="106"/>
        <v>MMP2_HUMAN</v>
      </c>
      <c r="E463" s="2" t="s">
        <v>55</v>
      </c>
      <c r="F463" s="3" t="str">
        <f t="shared" si="107"/>
        <v>72 kDa type IV collagenase</v>
      </c>
      <c r="G463" s="4" t="str">
        <f t="shared" si="110"/>
        <v>Tanomastat</v>
      </c>
      <c r="H463" s="3" t="str">
        <f>HYPERLINK("https://www.cortellis.com/drugdiscovery/entity/biomarkers/39112","50-gene expression breast cancer panel")</f>
        <v>50-gene expression breast cancer panel</v>
      </c>
      <c r="I463" s="2" t="s">
        <v>18</v>
      </c>
      <c r="J463" s="2" t="s">
        <v>19</v>
      </c>
      <c r="K463" s="4" t="str">
        <f>HYPERLINK("https://www.cortellis.com/drugdiscovery/result/proxy/related-content/biomarkers/genestargets/39112","matrix metallopeptidase 2")</f>
        <v>matrix metallopeptidase 2</v>
      </c>
    </row>
    <row r="464" spans="1:11" ht="60" customHeight="1" x14ac:dyDescent="0.2">
      <c r="A464" s="2">
        <v>461</v>
      </c>
      <c r="B464" s="3" t="str">
        <f t="shared" si="104"/>
        <v>MMP-2</v>
      </c>
      <c r="C464" s="3" t="str">
        <f t="shared" si="105"/>
        <v>MMP2</v>
      </c>
      <c r="D464" s="3" t="str">
        <f t="shared" si="106"/>
        <v>MMP2_HUMAN</v>
      </c>
      <c r="E464" s="2" t="s">
        <v>55</v>
      </c>
      <c r="F464" s="3" t="str">
        <f t="shared" si="107"/>
        <v>72 kDa type IV collagenase</v>
      </c>
      <c r="G464" s="4" t="str">
        <f t="shared" si="110"/>
        <v>Tanomastat</v>
      </c>
      <c r="H464" s="3" t="str">
        <f>HYPERLINK("https://www.cortellis.com/drugdiscovery/entity/biomarkers/43882","530-gene methylation leukemia panel")</f>
        <v>530-gene methylation leukemia panel</v>
      </c>
      <c r="I464" s="2" t="s">
        <v>25</v>
      </c>
      <c r="J464" s="2" t="s">
        <v>19</v>
      </c>
      <c r="K464" s="4" t="str">
        <f>HYPERLINK("https://www.cortellis.com/drugdiscovery/result/proxy/related-content/biomarkers/genestargets/43882","matrix metallopeptidase 2; ribonuclease A family member 3")</f>
        <v>matrix metallopeptidase 2; ribonuclease A family member 3</v>
      </c>
    </row>
    <row r="465" spans="1:11" ht="60" customHeight="1" x14ac:dyDescent="0.2">
      <c r="A465" s="2">
        <v>462</v>
      </c>
      <c r="B465" s="3" t="str">
        <f t="shared" si="104"/>
        <v>MMP-2</v>
      </c>
      <c r="C465" s="3" t="str">
        <f t="shared" si="105"/>
        <v>MMP2</v>
      </c>
      <c r="D465" s="3" t="str">
        <f t="shared" si="106"/>
        <v>MMP2_HUMAN</v>
      </c>
      <c r="E465" s="2" t="s">
        <v>55</v>
      </c>
      <c r="F465" s="3" t="str">
        <f t="shared" si="107"/>
        <v>72 kDa type IV collagenase</v>
      </c>
      <c r="G465" s="4" t="str">
        <f t="shared" si="110"/>
        <v>Tanomastat</v>
      </c>
      <c r="H465" s="3" t="str">
        <f>HYPERLINK("https://www.cortellis.com/drugdiscovery/entity/biomarkers/45762","37-protein metastatic colon cancer panel")</f>
        <v>37-protein metastatic colon cancer panel</v>
      </c>
      <c r="I465" s="2" t="s">
        <v>20</v>
      </c>
      <c r="J465" s="2" t="s">
        <v>17</v>
      </c>
      <c r="K465" s="4" t="str">
        <f>HYPERLINK("https://www.cortellis.com/drugdiscovery/result/proxy/related-content/biomarkers/genestargets/45762","matrix metallopeptidase 2; matrix metallopeptidase 9")</f>
        <v>matrix metallopeptidase 2; matrix metallopeptidase 9</v>
      </c>
    </row>
    <row r="466" spans="1:11" ht="60" customHeight="1" x14ac:dyDescent="0.2">
      <c r="A466" s="2">
        <v>463</v>
      </c>
      <c r="B466" s="3" t="str">
        <f t="shared" si="104"/>
        <v>MMP-2</v>
      </c>
      <c r="C466" s="3" t="str">
        <f t="shared" si="105"/>
        <v>MMP2</v>
      </c>
      <c r="D466" s="3" t="str">
        <f t="shared" si="106"/>
        <v>MMP2_HUMAN</v>
      </c>
      <c r="E466" s="2" t="s">
        <v>55</v>
      </c>
      <c r="F466" s="3" t="str">
        <f t="shared" si="107"/>
        <v>72 kDa type IV collagenase</v>
      </c>
      <c r="G466" s="4" t="str">
        <f t="shared" si="110"/>
        <v>Tanomastat</v>
      </c>
      <c r="H466" s="3" t="str">
        <f>HYPERLINK("https://www.cortellis.com/drugdiscovery/entity/biomarkers/51682","Multiplex biomarker panel")</f>
        <v>Multiplex biomarker panel</v>
      </c>
      <c r="I466" s="2" t="s">
        <v>23</v>
      </c>
      <c r="J466" s="2" t="s">
        <v>15</v>
      </c>
      <c r="K466" s="4" t="str">
        <f>HYPERLINK("https://www.cortellis.com/drugdiscovery/result/proxy/related-content/biomarkers/genestargets/51682","matrix metallopeptidase 2; matrix metallopeptidase 9")</f>
        <v>matrix metallopeptidase 2; matrix metallopeptidase 9</v>
      </c>
    </row>
    <row r="467" spans="1:11" ht="60" customHeight="1" x14ac:dyDescent="0.2">
      <c r="A467" s="2">
        <v>464</v>
      </c>
      <c r="B467" s="3" t="str">
        <f t="shared" si="104"/>
        <v>MMP-2</v>
      </c>
      <c r="C467" s="3" t="str">
        <f t="shared" si="105"/>
        <v>MMP2</v>
      </c>
      <c r="D467" s="3" t="str">
        <f t="shared" si="106"/>
        <v>MMP2_HUMAN</v>
      </c>
      <c r="E467" s="2" t="s">
        <v>55</v>
      </c>
      <c r="F467" s="3" t="str">
        <f t="shared" si="107"/>
        <v>72 kDa type IV collagenase</v>
      </c>
      <c r="G467" s="4" t="str">
        <f t="shared" si="110"/>
        <v>Tanomastat</v>
      </c>
      <c r="H467" s="3" t="str">
        <f>HYPERLINK("https://www.cortellis.com/drugdiscovery/entity/biomarkers/53787","111-gene expression ovarian cancer panel")</f>
        <v>111-gene expression ovarian cancer panel</v>
      </c>
      <c r="I467" s="2" t="s">
        <v>25</v>
      </c>
      <c r="J467" s="2" t="s">
        <v>19</v>
      </c>
      <c r="K467" s="4" t="str">
        <f>HYPERLINK("https://www.cortellis.com/drugdiscovery/result/proxy/related-content/biomarkers/genestargets/53787","matrix metallopeptidase 2")</f>
        <v>matrix metallopeptidase 2</v>
      </c>
    </row>
    <row r="468" spans="1:11" ht="60" customHeight="1" x14ac:dyDescent="0.2">
      <c r="A468" s="2">
        <v>465</v>
      </c>
      <c r="B468" s="3" t="str">
        <f t="shared" si="104"/>
        <v>MMP-2</v>
      </c>
      <c r="C468" s="3" t="str">
        <f t="shared" si="105"/>
        <v>MMP2</v>
      </c>
      <c r="D468" s="3" t="str">
        <f t="shared" si="106"/>
        <v>MMP2_HUMAN</v>
      </c>
      <c r="E468" s="2" t="s">
        <v>55</v>
      </c>
      <c r="F468" s="3" t="str">
        <f t="shared" si="107"/>
        <v>72 kDa type IV collagenase</v>
      </c>
      <c r="G468" s="4" t="str">
        <f t="shared" si="110"/>
        <v>Tanomastat</v>
      </c>
      <c r="H468" s="3" t="str">
        <f>HYPERLINK("https://www.cortellis.com/drugdiscovery/entity/biomarkers/56620","45-gene expression cancer panel")</f>
        <v>45-gene expression cancer panel</v>
      </c>
      <c r="I468" s="2" t="s">
        <v>18</v>
      </c>
      <c r="J468" s="2" t="s">
        <v>19</v>
      </c>
      <c r="K468" s="4" t="str">
        <f>HYPERLINK("https://www.cortellis.com/drugdiscovery/result/proxy/related-content/biomarkers/genestargets/56620","matrix metallopeptidase 2")</f>
        <v>matrix metallopeptidase 2</v>
      </c>
    </row>
    <row r="469" spans="1:11" ht="60" customHeight="1" x14ac:dyDescent="0.2">
      <c r="A469" s="2">
        <v>466</v>
      </c>
      <c r="B469" s="3" t="str">
        <f t="shared" si="104"/>
        <v>MMP-2</v>
      </c>
      <c r="C469" s="3" t="str">
        <f t="shared" si="105"/>
        <v>MMP2</v>
      </c>
      <c r="D469" s="3" t="str">
        <f t="shared" si="106"/>
        <v>MMP2_HUMAN</v>
      </c>
      <c r="E469" s="2" t="s">
        <v>55</v>
      </c>
      <c r="F469" s="3" t="str">
        <f t="shared" si="107"/>
        <v>72 kDa type IV collagenase</v>
      </c>
      <c r="G469" s="4" t="str">
        <f t="shared" si="110"/>
        <v>Tanomastat</v>
      </c>
      <c r="H469" s="3" t="str">
        <f>HYPERLINK("https://www.cortellis.com/drugdiscovery/entity/biomarkers/57361","36-gene expression soft tissue sarcoma panel")</f>
        <v>36-gene expression soft tissue sarcoma panel</v>
      </c>
      <c r="I469" s="2" t="s">
        <v>25</v>
      </c>
      <c r="J469" s="2" t="s">
        <v>19</v>
      </c>
      <c r="K469" s="4" t="str">
        <f>HYPERLINK("https://www.cortellis.com/drugdiscovery/result/proxy/related-content/biomarkers/genestargets/57361","matrix metallopeptidase 2")</f>
        <v>matrix metallopeptidase 2</v>
      </c>
    </row>
    <row r="470" spans="1:11" ht="60" customHeight="1" x14ac:dyDescent="0.2">
      <c r="A470" s="2">
        <v>467</v>
      </c>
      <c r="B470" s="3" t="str">
        <f t="shared" si="104"/>
        <v>MMP-2</v>
      </c>
      <c r="C470" s="3" t="str">
        <f t="shared" si="105"/>
        <v>MMP2</v>
      </c>
      <c r="D470" s="3" t="str">
        <f t="shared" si="106"/>
        <v>MMP2_HUMAN</v>
      </c>
      <c r="E470" s="2" t="s">
        <v>55</v>
      </c>
      <c r="F470" s="3" t="str">
        <f t="shared" si="107"/>
        <v>72 kDa type IV collagenase</v>
      </c>
      <c r="G470" s="4" t="str">
        <f t="shared" si="110"/>
        <v>Tanomastat</v>
      </c>
      <c r="H470" s="3" t="str">
        <f>HYPERLINK("https://www.cortellis.com/drugdiscovery/entity/biomarkers/59959","13-protein Crohn's disease panel")</f>
        <v>13-protein Crohn's disease panel</v>
      </c>
      <c r="I470" s="2" t="s">
        <v>24</v>
      </c>
      <c r="J470" s="2" t="s">
        <v>17</v>
      </c>
      <c r="K470" s="4" t="str">
        <f>HYPERLINK("https://www.cortellis.com/drugdiscovery/result/proxy/related-content/biomarkers/genestargets/59959","interleukin 7; matrix metallopeptidase 2; matrix metallopeptidase 9")</f>
        <v>interleukin 7; matrix metallopeptidase 2; matrix metallopeptidase 9</v>
      </c>
    </row>
    <row r="471" spans="1:11" ht="60" customHeight="1" x14ac:dyDescent="0.2">
      <c r="A471" s="2">
        <v>468</v>
      </c>
      <c r="B471" s="3" t="str">
        <f t="shared" si="104"/>
        <v>MMP-2</v>
      </c>
      <c r="C471" s="3" t="str">
        <f t="shared" si="105"/>
        <v>MMP2</v>
      </c>
      <c r="D471" s="3" t="str">
        <f t="shared" si="106"/>
        <v>MMP2_HUMAN</v>
      </c>
      <c r="E471" s="2" t="s">
        <v>55</v>
      </c>
      <c r="F471" s="3" t="str">
        <f t="shared" si="107"/>
        <v>72 kDa type IV collagenase</v>
      </c>
      <c r="G471" s="4" t="str">
        <f t="shared" si="110"/>
        <v>Tanomastat</v>
      </c>
      <c r="H471" s="3" t="str">
        <f>HYPERLINK("https://www.cortellis.com/drugdiscovery/entity/biomarkers/64358","6-triple negative breast cancer panel")</f>
        <v>6-triple negative breast cancer panel</v>
      </c>
      <c r="I471" s="2" t="s">
        <v>18</v>
      </c>
      <c r="J471" s="2" t="s">
        <v>19</v>
      </c>
      <c r="K471" s="4" t="str">
        <f>HYPERLINK("https://www.cortellis.com/drugdiscovery/result/proxy/related-content/biomarkers/genestargets/64358","matrix metallopeptidase 2")</f>
        <v>matrix metallopeptidase 2</v>
      </c>
    </row>
    <row r="472" spans="1:11" ht="60" customHeight="1" x14ac:dyDescent="0.2">
      <c r="A472" s="2">
        <v>469</v>
      </c>
      <c r="B472" s="3" t="str">
        <f t="shared" si="104"/>
        <v>MMP-2</v>
      </c>
      <c r="C472" s="3" t="str">
        <f t="shared" si="105"/>
        <v>MMP2</v>
      </c>
      <c r="D472" s="3" t="str">
        <f t="shared" si="106"/>
        <v>MMP2_HUMAN</v>
      </c>
      <c r="E472" s="2" t="s">
        <v>55</v>
      </c>
      <c r="F472" s="3" t="str">
        <f t="shared" si="107"/>
        <v>72 kDa type IV collagenase</v>
      </c>
      <c r="G472" s="4" t="str">
        <f t="shared" ref="G472:G488" si="111">HYPERLINK("https://portal.genego.com/cgi/entity_page.cgi?term=7&amp;id=-961546559","Batimastat")</f>
        <v>Batimastat</v>
      </c>
      <c r="H472" s="3" t="str">
        <f>HYPERLINK("https://www.cortellis.com/drugdiscovery/entity/biomarkers/286","72 kDa type IV collagenase")</f>
        <v>72 kDa type IV collagenase</v>
      </c>
      <c r="I472" s="2" t="s">
        <v>56</v>
      </c>
      <c r="J472" s="2" t="s">
        <v>15</v>
      </c>
      <c r="K472" s="4" t="str">
        <f>HYPERLINK("https://www.cortellis.com/drugdiscovery/result/proxy/related-content/biomarkers/genestargets/286","matrix metallopeptidase 2")</f>
        <v>matrix metallopeptidase 2</v>
      </c>
    </row>
    <row r="473" spans="1:11" ht="60" customHeight="1" x14ac:dyDescent="0.2">
      <c r="A473" s="2">
        <v>470</v>
      </c>
      <c r="B473" s="3" t="str">
        <f t="shared" si="104"/>
        <v>MMP-2</v>
      </c>
      <c r="C473" s="3" t="str">
        <f t="shared" si="105"/>
        <v>MMP2</v>
      </c>
      <c r="D473" s="3" t="str">
        <f t="shared" si="106"/>
        <v>MMP2_HUMAN</v>
      </c>
      <c r="E473" s="2" t="s">
        <v>55</v>
      </c>
      <c r="F473" s="3" t="str">
        <f t="shared" si="107"/>
        <v>72 kDa type IV collagenase</v>
      </c>
      <c r="G473" s="4" t="str">
        <f t="shared" si="111"/>
        <v>Batimastat</v>
      </c>
      <c r="H473" s="3" t="str">
        <f>HYPERLINK("https://www.cortellis.com/drugdiscovery/entity/biomarkers/653","MMP-2-TIMP-2 complex")</f>
        <v>MMP-2-TIMP-2 complex</v>
      </c>
      <c r="I473" s="2" t="s">
        <v>57</v>
      </c>
      <c r="J473" s="2" t="s">
        <v>15</v>
      </c>
      <c r="K473" s="4" t="str">
        <f>HYPERLINK("https://www.cortellis.com/drugdiscovery/result/proxy/related-content/biomarkers/genestargets/653","matrix metallopeptidase 2")</f>
        <v>matrix metallopeptidase 2</v>
      </c>
    </row>
    <row r="474" spans="1:11" ht="60" customHeight="1" x14ac:dyDescent="0.2">
      <c r="A474" s="2">
        <v>471</v>
      </c>
      <c r="B474" s="3" t="str">
        <f t="shared" si="104"/>
        <v>MMP-2</v>
      </c>
      <c r="C474" s="3" t="str">
        <f t="shared" si="105"/>
        <v>MMP2</v>
      </c>
      <c r="D474" s="3" t="str">
        <f t="shared" si="106"/>
        <v>MMP2_HUMAN</v>
      </c>
      <c r="E474" s="2" t="s">
        <v>55</v>
      </c>
      <c r="F474" s="3" t="str">
        <f t="shared" si="107"/>
        <v>72 kDa type IV collagenase</v>
      </c>
      <c r="G474" s="4" t="str">
        <f t="shared" si="111"/>
        <v>Batimastat</v>
      </c>
      <c r="H474" s="3" t="str">
        <f>HYPERLINK("https://www.cortellis.com/drugdiscovery/entity/biomarkers/26503","3-gene polymorphism cardia cancer panel")</f>
        <v>3-gene polymorphism cardia cancer panel</v>
      </c>
      <c r="I474" s="2" t="s">
        <v>29</v>
      </c>
      <c r="J474" s="2" t="s">
        <v>19</v>
      </c>
      <c r="K474" s="4" t="str">
        <f>HYPERLINK("https://www.cortellis.com/drugdiscovery/result/proxy/related-content/biomarkers/genestargets/26503","matrix metallopeptidase 2")</f>
        <v>matrix metallopeptidase 2</v>
      </c>
    </row>
    <row r="475" spans="1:11" ht="60" customHeight="1" x14ac:dyDescent="0.2">
      <c r="A475" s="2">
        <v>472</v>
      </c>
      <c r="B475" s="3" t="str">
        <f t="shared" si="104"/>
        <v>MMP-2</v>
      </c>
      <c r="C475" s="3" t="str">
        <f t="shared" si="105"/>
        <v>MMP2</v>
      </c>
      <c r="D475" s="3" t="str">
        <f t="shared" si="106"/>
        <v>MMP2_HUMAN</v>
      </c>
      <c r="E475" s="2" t="s">
        <v>55</v>
      </c>
      <c r="F475" s="3" t="str">
        <f t="shared" si="107"/>
        <v>72 kDa type IV collagenase</v>
      </c>
      <c r="G475" s="4" t="str">
        <f t="shared" si="111"/>
        <v>Batimastat</v>
      </c>
      <c r="H475" s="3" t="str">
        <f>HYPERLINK("https://www.cortellis.com/drugdiscovery/entity/biomarkers/26754","5-protein breast cancer panel")</f>
        <v>5-protein breast cancer panel</v>
      </c>
      <c r="I475" s="2" t="s">
        <v>18</v>
      </c>
      <c r="J475" s="2" t="s">
        <v>17</v>
      </c>
      <c r="K475" s="4" t="str">
        <f>HYPERLINK("https://www.cortellis.com/drugdiscovery/result/proxy/related-content/biomarkers/genestargets/26754","matrix metallopeptidase 2")</f>
        <v>matrix metallopeptidase 2</v>
      </c>
    </row>
    <row r="476" spans="1:11" ht="60" customHeight="1" x14ac:dyDescent="0.2">
      <c r="A476" s="2">
        <v>473</v>
      </c>
      <c r="B476" s="3" t="str">
        <f t="shared" si="104"/>
        <v>MMP-2</v>
      </c>
      <c r="C476" s="3" t="str">
        <f t="shared" si="105"/>
        <v>MMP2</v>
      </c>
      <c r="D476" s="3" t="str">
        <f t="shared" si="106"/>
        <v>MMP2_HUMAN</v>
      </c>
      <c r="E476" s="2" t="s">
        <v>55</v>
      </c>
      <c r="F476" s="3" t="str">
        <f t="shared" si="107"/>
        <v>72 kDa type IV collagenase</v>
      </c>
      <c r="G476" s="4" t="str">
        <f t="shared" si="111"/>
        <v>Batimastat</v>
      </c>
      <c r="H476" s="3" t="str">
        <f>HYPERLINK("https://www.cortellis.com/drugdiscovery/entity/biomarkers/27598","89-protein neurological alzheimer's panel")</f>
        <v>89-protein neurological alzheimer's panel</v>
      </c>
      <c r="I476" s="2" t="s">
        <v>23</v>
      </c>
      <c r="J476" s="2" t="s">
        <v>17</v>
      </c>
      <c r="K476"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477" spans="1:11" ht="60" customHeight="1" x14ac:dyDescent="0.2">
      <c r="A477" s="2">
        <v>474</v>
      </c>
      <c r="B477" s="3" t="str">
        <f t="shared" si="104"/>
        <v>MMP-2</v>
      </c>
      <c r="C477" s="3" t="str">
        <f t="shared" si="105"/>
        <v>MMP2</v>
      </c>
      <c r="D477" s="3" t="str">
        <f t="shared" si="106"/>
        <v>MMP2_HUMAN</v>
      </c>
      <c r="E477" s="2" t="s">
        <v>55</v>
      </c>
      <c r="F477" s="3" t="str">
        <f t="shared" si="107"/>
        <v>72 kDa type IV collagenase</v>
      </c>
      <c r="G477" s="4" t="str">
        <f t="shared" si="111"/>
        <v>Batimastat</v>
      </c>
      <c r="H477" s="3" t="str">
        <f>HYPERLINK("https://www.cortellis.com/drugdiscovery/entity/biomarkers/28165","8-gene expression colorectal cancer panel")</f>
        <v>8-gene expression colorectal cancer panel</v>
      </c>
      <c r="I477" s="2" t="s">
        <v>18</v>
      </c>
      <c r="J477" s="2" t="s">
        <v>19</v>
      </c>
      <c r="K477" s="4" t="str">
        <f>HYPERLINK("https://www.cortellis.com/drugdiscovery/result/proxy/related-content/biomarkers/genestargets/28165","matrix metallopeptidase 2")</f>
        <v>matrix metallopeptidase 2</v>
      </c>
    </row>
    <row r="478" spans="1:11" ht="60" customHeight="1" x14ac:dyDescent="0.2">
      <c r="A478" s="2">
        <v>475</v>
      </c>
      <c r="B478" s="3" t="str">
        <f t="shared" si="104"/>
        <v>MMP-2</v>
      </c>
      <c r="C478" s="3" t="str">
        <f t="shared" si="105"/>
        <v>MMP2</v>
      </c>
      <c r="D478" s="3" t="str">
        <f t="shared" si="106"/>
        <v>MMP2_HUMAN</v>
      </c>
      <c r="E478" s="2" t="s">
        <v>55</v>
      </c>
      <c r="F478" s="3" t="str">
        <f t="shared" si="107"/>
        <v>72 kDa type IV collagenase</v>
      </c>
      <c r="G478" s="4" t="str">
        <f t="shared" si="111"/>
        <v>Batimastat</v>
      </c>
      <c r="H478" s="3" t="str">
        <f>HYPERLINK("https://www.cortellis.com/drugdiscovery/entity/biomarkers/28451","3-protein nasopharyngeal cancer panel")</f>
        <v>3-protein nasopharyngeal cancer panel</v>
      </c>
      <c r="I478" s="2" t="s">
        <v>23</v>
      </c>
      <c r="J478" s="2" t="s">
        <v>17</v>
      </c>
      <c r="K478" s="4" t="str">
        <f>HYPERLINK("https://www.cortellis.com/drugdiscovery/result/proxy/related-content/biomarkers/genestargets/28451","matrix metallopeptidase 2")</f>
        <v>matrix metallopeptidase 2</v>
      </c>
    </row>
    <row r="479" spans="1:11" ht="60" customHeight="1" x14ac:dyDescent="0.2">
      <c r="A479" s="2">
        <v>476</v>
      </c>
      <c r="B479" s="3" t="str">
        <f t="shared" si="104"/>
        <v>MMP-2</v>
      </c>
      <c r="C479" s="3" t="str">
        <f t="shared" si="105"/>
        <v>MMP2</v>
      </c>
      <c r="D479" s="3" t="str">
        <f t="shared" si="106"/>
        <v>MMP2_HUMAN</v>
      </c>
      <c r="E479" s="2" t="s">
        <v>55</v>
      </c>
      <c r="F479" s="3" t="str">
        <f t="shared" si="107"/>
        <v>72 kDa type IV collagenase</v>
      </c>
      <c r="G479" s="4" t="str">
        <f t="shared" si="111"/>
        <v>Batimastat</v>
      </c>
      <c r="H479" s="3" t="str">
        <f>HYPERLINK("https://www.cortellis.com/drugdiscovery/entity/biomarkers/29614","VeriPsych")</f>
        <v>VeriPsych</v>
      </c>
      <c r="I479" s="2" t="s">
        <v>23</v>
      </c>
      <c r="J479" s="2" t="s">
        <v>17</v>
      </c>
      <c r="K479" s="4" t="str">
        <f>HYPERLINK("https://www.cortellis.com/drugdiscovery/result/proxy/related-content/biomarkers/genestargets/29614","interleukin 7; matrix metallopeptidase 2")</f>
        <v>interleukin 7; matrix metallopeptidase 2</v>
      </c>
    </row>
    <row r="480" spans="1:11" ht="60" customHeight="1" x14ac:dyDescent="0.2">
      <c r="A480" s="2">
        <v>477</v>
      </c>
      <c r="B480" s="3" t="str">
        <f t="shared" si="104"/>
        <v>MMP-2</v>
      </c>
      <c r="C480" s="3" t="str">
        <f t="shared" si="105"/>
        <v>MMP2</v>
      </c>
      <c r="D480" s="3" t="str">
        <f t="shared" si="106"/>
        <v>MMP2_HUMAN</v>
      </c>
      <c r="E480" s="2" t="s">
        <v>55</v>
      </c>
      <c r="F480" s="3" t="str">
        <f t="shared" si="107"/>
        <v>72 kDa type IV collagenase</v>
      </c>
      <c r="G480" s="4" t="str">
        <f t="shared" si="111"/>
        <v>Batimastat</v>
      </c>
      <c r="H480" s="3" t="str">
        <f>HYPERLINK("https://www.cortellis.com/drugdiscovery/entity/biomarkers/39112","50-gene expression breast cancer panel")</f>
        <v>50-gene expression breast cancer panel</v>
      </c>
      <c r="I480" s="2" t="s">
        <v>18</v>
      </c>
      <c r="J480" s="2" t="s">
        <v>19</v>
      </c>
      <c r="K480" s="4" t="str">
        <f>HYPERLINK("https://www.cortellis.com/drugdiscovery/result/proxy/related-content/biomarkers/genestargets/39112","matrix metallopeptidase 2")</f>
        <v>matrix metallopeptidase 2</v>
      </c>
    </row>
    <row r="481" spans="1:11" ht="60" customHeight="1" x14ac:dyDescent="0.2">
      <c r="A481" s="2">
        <v>478</v>
      </c>
      <c r="B481" s="3" t="str">
        <f t="shared" si="104"/>
        <v>MMP-2</v>
      </c>
      <c r="C481" s="3" t="str">
        <f t="shared" si="105"/>
        <v>MMP2</v>
      </c>
      <c r="D481" s="3" t="str">
        <f t="shared" si="106"/>
        <v>MMP2_HUMAN</v>
      </c>
      <c r="E481" s="2" t="s">
        <v>55</v>
      </c>
      <c r="F481" s="3" t="str">
        <f t="shared" si="107"/>
        <v>72 kDa type IV collagenase</v>
      </c>
      <c r="G481" s="4" t="str">
        <f t="shared" si="111"/>
        <v>Batimastat</v>
      </c>
      <c r="H481" s="3" t="str">
        <f>HYPERLINK("https://www.cortellis.com/drugdiscovery/entity/biomarkers/43882","530-gene methylation leukemia panel")</f>
        <v>530-gene methylation leukemia panel</v>
      </c>
      <c r="I481" s="2" t="s">
        <v>25</v>
      </c>
      <c r="J481" s="2" t="s">
        <v>19</v>
      </c>
      <c r="K481" s="4" t="str">
        <f>HYPERLINK("https://www.cortellis.com/drugdiscovery/result/proxy/related-content/biomarkers/genestargets/43882","matrix metallopeptidase 2; ribonuclease A family member 3")</f>
        <v>matrix metallopeptidase 2; ribonuclease A family member 3</v>
      </c>
    </row>
    <row r="482" spans="1:11" ht="60" customHeight="1" x14ac:dyDescent="0.2">
      <c r="A482" s="2">
        <v>479</v>
      </c>
      <c r="B482" s="3" t="str">
        <f t="shared" si="104"/>
        <v>MMP-2</v>
      </c>
      <c r="C482" s="3" t="str">
        <f t="shared" si="105"/>
        <v>MMP2</v>
      </c>
      <c r="D482" s="3" t="str">
        <f t="shared" si="106"/>
        <v>MMP2_HUMAN</v>
      </c>
      <c r="E482" s="2" t="s">
        <v>55</v>
      </c>
      <c r="F482" s="3" t="str">
        <f t="shared" si="107"/>
        <v>72 kDa type IV collagenase</v>
      </c>
      <c r="G482" s="4" t="str">
        <f t="shared" si="111"/>
        <v>Batimastat</v>
      </c>
      <c r="H482" s="3" t="str">
        <f>HYPERLINK("https://www.cortellis.com/drugdiscovery/entity/biomarkers/45762","37-protein metastatic colon cancer panel")</f>
        <v>37-protein metastatic colon cancer panel</v>
      </c>
      <c r="I482" s="2" t="s">
        <v>20</v>
      </c>
      <c r="J482" s="2" t="s">
        <v>17</v>
      </c>
      <c r="K482" s="4" t="str">
        <f>HYPERLINK("https://www.cortellis.com/drugdiscovery/result/proxy/related-content/biomarkers/genestargets/45762","matrix metallopeptidase 2; matrix metallopeptidase 9")</f>
        <v>matrix metallopeptidase 2; matrix metallopeptidase 9</v>
      </c>
    </row>
    <row r="483" spans="1:11" ht="60" customHeight="1" x14ac:dyDescent="0.2">
      <c r="A483" s="2">
        <v>480</v>
      </c>
      <c r="B483" s="3" t="str">
        <f t="shared" si="104"/>
        <v>MMP-2</v>
      </c>
      <c r="C483" s="3" t="str">
        <f t="shared" si="105"/>
        <v>MMP2</v>
      </c>
      <c r="D483" s="3" t="str">
        <f t="shared" si="106"/>
        <v>MMP2_HUMAN</v>
      </c>
      <c r="E483" s="2" t="s">
        <v>55</v>
      </c>
      <c r="F483" s="3" t="str">
        <f t="shared" si="107"/>
        <v>72 kDa type IV collagenase</v>
      </c>
      <c r="G483" s="4" t="str">
        <f t="shared" si="111"/>
        <v>Batimastat</v>
      </c>
      <c r="H483" s="3" t="str">
        <f>HYPERLINK("https://www.cortellis.com/drugdiscovery/entity/biomarkers/51682","Multiplex biomarker panel")</f>
        <v>Multiplex biomarker panel</v>
      </c>
      <c r="I483" s="2" t="s">
        <v>23</v>
      </c>
      <c r="J483" s="2" t="s">
        <v>15</v>
      </c>
      <c r="K483" s="4" t="str">
        <f>HYPERLINK("https://www.cortellis.com/drugdiscovery/result/proxy/related-content/biomarkers/genestargets/51682","matrix metallopeptidase 2; matrix metallopeptidase 9")</f>
        <v>matrix metallopeptidase 2; matrix metallopeptidase 9</v>
      </c>
    </row>
    <row r="484" spans="1:11" ht="60" customHeight="1" x14ac:dyDescent="0.2">
      <c r="A484" s="2">
        <v>481</v>
      </c>
      <c r="B484" s="3" t="str">
        <f t="shared" si="104"/>
        <v>MMP-2</v>
      </c>
      <c r="C484" s="3" t="str">
        <f t="shared" si="105"/>
        <v>MMP2</v>
      </c>
      <c r="D484" s="3" t="str">
        <f t="shared" si="106"/>
        <v>MMP2_HUMAN</v>
      </c>
      <c r="E484" s="2" t="s">
        <v>55</v>
      </c>
      <c r="F484" s="3" t="str">
        <f t="shared" si="107"/>
        <v>72 kDa type IV collagenase</v>
      </c>
      <c r="G484" s="4" t="str">
        <f t="shared" si="111"/>
        <v>Batimastat</v>
      </c>
      <c r="H484" s="3" t="str">
        <f>HYPERLINK("https://www.cortellis.com/drugdiscovery/entity/biomarkers/53787","111-gene expression ovarian cancer panel")</f>
        <v>111-gene expression ovarian cancer panel</v>
      </c>
      <c r="I484" s="2" t="s">
        <v>25</v>
      </c>
      <c r="J484" s="2" t="s">
        <v>19</v>
      </c>
      <c r="K484" s="4" t="str">
        <f>HYPERLINK("https://www.cortellis.com/drugdiscovery/result/proxy/related-content/biomarkers/genestargets/53787","matrix metallopeptidase 2")</f>
        <v>matrix metallopeptidase 2</v>
      </c>
    </row>
    <row r="485" spans="1:11" ht="60" customHeight="1" x14ac:dyDescent="0.2">
      <c r="A485" s="2">
        <v>482</v>
      </c>
      <c r="B485" s="3" t="str">
        <f t="shared" ref="B485:B548" si="112">HYPERLINK("https://portal.genego.com/cgi/entity_page.cgi?term=100&amp;id=499","MMP-2")</f>
        <v>MMP-2</v>
      </c>
      <c r="C485" s="3" t="str">
        <f t="shared" ref="C485:C548" si="113">HYPERLINK("https://portal.genego.com/cgi/entity_page.cgi?term=20&amp;id=-2123498703","MMP2")</f>
        <v>MMP2</v>
      </c>
      <c r="D485" s="3" t="str">
        <f t="shared" ref="D485:D548" si="114">HYPERLINK("https://portal.genego.com/cgi/entity_page.cgi?term=7&amp;id=144264266","MMP2_HUMAN")</f>
        <v>MMP2_HUMAN</v>
      </c>
      <c r="E485" s="2" t="s">
        <v>55</v>
      </c>
      <c r="F485" s="3" t="str">
        <f t="shared" ref="F485:F548" si="115">HYPERLINK("https://portal.genego.com/cgi/entity_page.cgi?term=100&amp;id=499","72 kDa type IV collagenase")</f>
        <v>72 kDa type IV collagenase</v>
      </c>
      <c r="G485" s="4" t="str">
        <f t="shared" si="111"/>
        <v>Batimastat</v>
      </c>
      <c r="H485" s="3" t="str">
        <f>HYPERLINK("https://www.cortellis.com/drugdiscovery/entity/biomarkers/56620","45-gene expression cancer panel")</f>
        <v>45-gene expression cancer panel</v>
      </c>
      <c r="I485" s="2" t="s">
        <v>18</v>
      </c>
      <c r="J485" s="2" t="s">
        <v>19</v>
      </c>
      <c r="K485" s="4" t="str">
        <f>HYPERLINK("https://www.cortellis.com/drugdiscovery/result/proxy/related-content/biomarkers/genestargets/56620","matrix metallopeptidase 2")</f>
        <v>matrix metallopeptidase 2</v>
      </c>
    </row>
    <row r="486" spans="1:11" ht="60" customHeight="1" x14ac:dyDescent="0.2">
      <c r="A486" s="2">
        <v>483</v>
      </c>
      <c r="B486" s="3" t="str">
        <f t="shared" si="112"/>
        <v>MMP-2</v>
      </c>
      <c r="C486" s="3" t="str">
        <f t="shared" si="113"/>
        <v>MMP2</v>
      </c>
      <c r="D486" s="3" t="str">
        <f t="shared" si="114"/>
        <v>MMP2_HUMAN</v>
      </c>
      <c r="E486" s="2" t="s">
        <v>55</v>
      </c>
      <c r="F486" s="3" t="str">
        <f t="shared" si="115"/>
        <v>72 kDa type IV collagenase</v>
      </c>
      <c r="G486" s="4" t="str">
        <f t="shared" si="111"/>
        <v>Batimastat</v>
      </c>
      <c r="H486" s="3" t="str">
        <f>HYPERLINK("https://www.cortellis.com/drugdiscovery/entity/biomarkers/57361","36-gene expression soft tissue sarcoma panel")</f>
        <v>36-gene expression soft tissue sarcoma panel</v>
      </c>
      <c r="I486" s="2" t="s">
        <v>25</v>
      </c>
      <c r="J486" s="2" t="s">
        <v>19</v>
      </c>
      <c r="K486" s="4" t="str">
        <f>HYPERLINK("https://www.cortellis.com/drugdiscovery/result/proxy/related-content/biomarkers/genestargets/57361","matrix metallopeptidase 2")</f>
        <v>matrix metallopeptidase 2</v>
      </c>
    </row>
    <row r="487" spans="1:11" ht="60" customHeight="1" x14ac:dyDescent="0.2">
      <c r="A487" s="2">
        <v>484</v>
      </c>
      <c r="B487" s="3" t="str">
        <f t="shared" si="112"/>
        <v>MMP-2</v>
      </c>
      <c r="C487" s="3" t="str">
        <f t="shared" si="113"/>
        <v>MMP2</v>
      </c>
      <c r="D487" s="3" t="str">
        <f t="shared" si="114"/>
        <v>MMP2_HUMAN</v>
      </c>
      <c r="E487" s="2" t="s">
        <v>55</v>
      </c>
      <c r="F487" s="3" t="str">
        <f t="shared" si="115"/>
        <v>72 kDa type IV collagenase</v>
      </c>
      <c r="G487" s="4" t="str">
        <f t="shared" si="111"/>
        <v>Batimastat</v>
      </c>
      <c r="H487" s="3" t="str">
        <f>HYPERLINK("https://www.cortellis.com/drugdiscovery/entity/biomarkers/59959","13-protein Crohn's disease panel")</f>
        <v>13-protein Crohn's disease panel</v>
      </c>
      <c r="I487" s="2" t="s">
        <v>24</v>
      </c>
      <c r="J487" s="2" t="s">
        <v>17</v>
      </c>
      <c r="K487" s="4" t="str">
        <f>HYPERLINK("https://www.cortellis.com/drugdiscovery/result/proxy/related-content/biomarkers/genestargets/59959","interleukin 7; matrix metallopeptidase 2; matrix metallopeptidase 9")</f>
        <v>interleukin 7; matrix metallopeptidase 2; matrix metallopeptidase 9</v>
      </c>
    </row>
    <row r="488" spans="1:11" ht="60" customHeight="1" x14ac:dyDescent="0.2">
      <c r="A488" s="2">
        <v>485</v>
      </c>
      <c r="B488" s="3" t="str">
        <f t="shared" si="112"/>
        <v>MMP-2</v>
      </c>
      <c r="C488" s="3" t="str">
        <f t="shared" si="113"/>
        <v>MMP2</v>
      </c>
      <c r="D488" s="3" t="str">
        <f t="shared" si="114"/>
        <v>MMP2_HUMAN</v>
      </c>
      <c r="E488" s="2" t="s">
        <v>55</v>
      </c>
      <c r="F488" s="3" t="str">
        <f t="shared" si="115"/>
        <v>72 kDa type IV collagenase</v>
      </c>
      <c r="G488" s="4" t="str">
        <f t="shared" si="111"/>
        <v>Batimastat</v>
      </c>
      <c r="H488" s="3" t="str">
        <f>HYPERLINK("https://www.cortellis.com/drugdiscovery/entity/biomarkers/64358","6-triple negative breast cancer panel")</f>
        <v>6-triple negative breast cancer panel</v>
      </c>
      <c r="I488" s="2" t="s">
        <v>18</v>
      </c>
      <c r="J488" s="2" t="s">
        <v>19</v>
      </c>
      <c r="K488" s="4" t="str">
        <f>HYPERLINK("https://www.cortellis.com/drugdiscovery/result/proxy/related-content/biomarkers/genestargets/64358","matrix metallopeptidase 2")</f>
        <v>matrix metallopeptidase 2</v>
      </c>
    </row>
    <row r="489" spans="1:11" ht="60" customHeight="1" x14ac:dyDescent="0.2">
      <c r="A489" s="2">
        <v>486</v>
      </c>
      <c r="B489" s="3" t="str">
        <f t="shared" si="112"/>
        <v>MMP-2</v>
      </c>
      <c r="C489" s="3" t="str">
        <f t="shared" si="113"/>
        <v>MMP2</v>
      </c>
      <c r="D489" s="3" t="str">
        <f t="shared" si="114"/>
        <v>MMP2_HUMAN</v>
      </c>
      <c r="E489" s="2" t="s">
        <v>55</v>
      </c>
      <c r="F489" s="3" t="str">
        <f t="shared" si="115"/>
        <v>72 kDa type IV collagenase</v>
      </c>
      <c r="G489" s="4" t="str">
        <f t="shared" ref="G489:G505" si="116">HYPERLINK("https://portal.genego.com/cgi/entity_page.cgi?term=7&amp;id=-64267433","Thalidomide")</f>
        <v>Thalidomide</v>
      </c>
      <c r="H489" s="3" t="str">
        <f>HYPERLINK("https://www.cortellis.com/drugdiscovery/entity/biomarkers/286","72 kDa type IV collagenase")</f>
        <v>72 kDa type IV collagenase</v>
      </c>
      <c r="I489" s="2" t="s">
        <v>56</v>
      </c>
      <c r="J489" s="2" t="s">
        <v>15</v>
      </c>
      <c r="K489" s="4" t="str">
        <f>HYPERLINK("https://www.cortellis.com/drugdiscovery/result/proxy/related-content/biomarkers/genestargets/286","matrix metallopeptidase 2")</f>
        <v>matrix metallopeptidase 2</v>
      </c>
    </row>
    <row r="490" spans="1:11" ht="60" customHeight="1" x14ac:dyDescent="0.2">
      <c r="A490" s="2">
        <v>487</v>
      </c>
      <c r="B490" s="3" t="str">
        <f t="shared" si="112"/>
        <v>MMP-2</v>
      </c>
      <c r="C490" s="3" t="str">
        <f t="shared" si="113"/>
        <v>MMP2</v>
      </c>
      <c r="D490" s="3" t="str">
        <f t="shared" si="114"/>
        <v>MMP2_HUMAN</v>
      </c>
      <c r="E490" s="2" t="s">
        <v>55</v>
      </c>
      <c r="F490" s="3" t="str">
        <f t="shared" si="115"/>
        <v>72 kDa type IV collagenase</v>
      </c>
      <c r="G490" s="4" t="str">
        <f t="shared" si="116"/>
        <v>Thalidomide</v>
      </c>
      <c r="H490" s="3" t="str">
        <f>HYPERLINK("https://www.cortellis.com/drugdiscovery/entity/biomarkers/653","MMP-2-TIMP-2 complex")</f>
        <v>MMP-2-TIMP-2 complex</v>
      </c>
      <c r="I490" s="2" t="s">
        <v>57</v>
      </c>
      <c r="J490" s="2" t="s">
        <v>15</v>
      </c>
      <c r="K490" s="4" t="str">
        <f>HYPERLINK("https://www.cortellis.com/drugdiscovery/result/proxy/related-content/biomarkers/genestargets/653","matrix metallopeptidase 2")</f>
        <v>matrix metallopeptidase 2</v>
      </c>
    </row>
    <row r="491" spans="1:11" ht="60" customHeight="1" x14ac:dyDescent="0.2">
      <c r="A491" s="2">
        <v>488</v>
      </c>
      <c r="B491" s="3" t="str">
        <f t="shared" si="112"/>
        <v>MMP-2</v>
      </c>
      <c r="C491" s="3" t="str">
        <f t="shared" si="113"/>
        <v>MMP2</v>
      </c>
      <c r="D491" s="3" t="str">
        <f t="shared" si="114"/>
        <v>MMP2_HUMAN</v>
      </c>
      <c r="E491" s="2" t="s">
        <v>55</v>
      </c>
      <c r="F491" s="3" t="str">
        <f t="shared" si="115"/>
        <v>72 kDa type IV collagenase</v>
      </c>
      <c r="G491" s="4" t="str">
        <f t="shared" si="116"/>
        <v>Thalidomide</v>
      </c>
      <c r="H491" s="3" t="str">
        <f>HYPERLINK("https://www.cortellis.com/drugdiscovery/entity/biomarkers/26503","3-gene polymorphism cardia cancer panel")</f>
        <v>3-gene polymorphism cardia cancer panel</v>
      </c>
      <c r="I491" s="2" t="s">
        <v>29</v>
      </c>
      <c r="J491" s="2" t="s">
        <v>19</v>
      </c>
      <c r="K491" s="4" t="str">
        <f>HYPERLINK("https://www.cortellis.com/drugdiscovery/result/proxy/related-content/biomarkers/genestargets/26503","matrix metallopeptidase 2")</f>
        <v>matrix metallopeptidase 2</v>
      </c>
    </row>
    <row r="492" spans="1:11" ht="60" customHeight="1" x14ac:dyDescent="0.2">
      <c r="A492" s="2">
        <v>489</v>
      </c>
      <c r="B492" s="3" t="str">
        <f t="shared" si="112"/>
        <v>MMP-2</v>
      </c>
      <c r="C492" s="3" t="str">
        <f t="shared" si="113"/>
        <v>MMP2</v>
      </c>
      <c r="D492" s="3" t="str">
        <f t="shared" si="114"/>
        <v>MMP2_HUMAN</v>
      </c>
      <c r="E492" s="2" t="s">
        <v>55</v>
      </c>
      <c r="F492" s="3" t="str">
        <f t="shared" si="115"/>
        <v>72 kDa type IV collagenase</v>
      </c>
      <c r="G492" s="4" t="str">
        <f t="shared" si="116"/>
        <v>Thalidomide</v>
      </c>
      <c r="H492" s="3" t="str">
        <f>HYPERLINK("https://www.cortellis.com/drugdiscovery/entity/biomarkers/26754","5-protein breast cancer panel")</f>
        <v>5-protein breast cancer panel</v>
      </c>
      <c r="I492" s="2" t="s">
        <v>18</v>
      </c>
      <c r="J492" s="2" t="s">
        <v>17</v>
      </c>
      <c r="K492" s="4" t="str">
        <f>HYPERLINK("https://www.cortellis.com/drugdiscovery/result/proxy/related-content/biomarkers/genestargets/26754","matrix metallopeptidase 2")</f>
        <v>matrix metallopeptidase 2</v>
      </c>
    </row>
    <row r="493" spans="1:11" ht="60" customHeight="1" x14ac:dyDescent="0.2">
      <c r="A493" s="2">
        <v>490</v>
      </c>
      <c r="B493" s="3" t="str">
        <f t="shared" si="112"/>
        <v>MMP-2</v>
      </c>
      <c r="C493" s="3" t="str">
        <f t="shared" si="113"/>
        <v>MMP2</v>
      </c>
      <c r="D493" s="3" t="str">
        <f t="shared" si="114"/>
        <v>MMP2_HUMAN</v>
      </c>
      <c r="E493" s="2" t="s">
        <v>55</v>
      </c>
      <c r="F493" s="3" t="str">
        <f t="shared" si="115"/>
        <v>72 kDa type IV collagenase</v>
      </c>
      <c r="G493" s="4" t="str">
        <f t="shared" si="116"/>
        <v>Thalidomide</v>
      </c>
      <c r="H493" s="3" t="str">
        <f>HYPERLINK("https://www.cortellis.com/drugdiscovery/entity/biomarkers/27598","89-protein neurological alzheimer's panel")</f>
        <v>89-protein neurological alzheimer's panel</v>
      </c>
      <c r="I493" s="2" t="s">
        <v>23</v>
      </c>
      <c r="J493" s="2" t="s">
        <v>17</v>
      </c>
      <c r="K493"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494" spans="1:11" ht="60" customHeight="1" x14ac:dyDescent="0.2">
      <c r="A494" s="2">
        <v>491</v>
      </c>
      <c r="B494" s="3" t="str">
        <f t="shared" si="112"/>
        <v>MMP-2</v>
      </c>
      <c r="C494" s="3" t="str">
        <f t="shared" si="113"/>
        <v>MMP2</v>
      </c>
      <c r="D494" s="3" t="str">
        <f t="shared" si="114"/>
        <v>MMP2_HUMAN</v>
      </c>
      <c r="E494" s="2" t="s">
        <v>55</v>
      </c>
      <c r="F494" s="3" t="str">
        <f t="shared" si="115"/>
        <v>72 kDa type IV collagenase</v>
      </c>
      <c r="G494" s="4" t="str">
        <f t="shared" si="116"/>
        <v>Thalidomide</v>
      </c>
      <c r="H494" s="3" t="str">
        <f>HYPERLINK("https://www.cortellis.com/drugdiscovery/entity/biomarkers/28165","8-gene expression colorectal cancer panel")</f>
        <v>8-gene expression colorectal cancer panel</v>
      </c>
      <c r="I494" s="2" t="s">
        <v>18</v>
      </c>
      <c r="J494" s="2" t="s">
        <v>19</v>
      </c>
      <c r="K494" s="4" t="str">
        <f>HYPERLINK("https://www.cortellis.com/drugdiscovery/result/proxy/related-content/biomarkers/genestargets/28165","matrix metallopeptidase 2")</f>
        <v>matrix metallopeptidase 2</v>
      </c>
    </row>
    <row r="495" spans="1:11" ht="60" customHeight="1" x14ac:dyDescent="0.2">
      <c r="A495" s="2">
        <v>492</v>
      </c>
      <c r="B495" s="3" t="str">
        <f t="shared" si="112"/>
        <v>MMP-2</v>
      </c>
      <c r="C495" s="3" t="str">
        <f t="shared" si="113"/>
        <v>MMP2</v>
      </c>
      <c r="D495" s="3" t="str">
        <f t="shared" si="114"/>
        <v>MMP2_HUMAN</v>
      </c>
      <c r="E495" s="2" t="s">
        <v>55</v>
      </c>
      <c r="F495" s="3" t="str">
        <f t="shared" si="115"/>
        <v>72 kDa type IV collagenase</v>
      </c>
      <c r="G495" s="4" t="str">
        <f t="shared" si="116"/>
        <v>Thalidomide</v>
      </c>
      <c r="H495" s="3" t="str">
        <f>HYPERLINK("https://www.cortellis.com/drugdiscovery/entity/biomarkers/28451","3-protein nasopharyngeal cancer panel")</f>
        <v>3-protein nasopharyngeal cancer panel</v>
      </c>
      <c r="I495" s="2" t="s">
        <v>23</v>
      </c>
      <c r="J495" s="2" t="s">
        <v>17</v>
      </c>
      <c r="K495" s="4" t="str">
        <f>HYPERLINK("https://www.cortellis.com/drugdiscovery/result/proxy/related-content/biomarkers/genestargets/28451","matrix metallopeptidase 2")</f>
        <v>matrix metallopeptidase 2</v>
      </c>
    </row>
    <row r="496" spans="1:11" ht="60" customHeight="1" x14ac:dyDescent="0.2">
      <c r="A496" s="2">
        <v>493</v>
      </c>
      <c r="B496" s="3" t="str">
        <f t="shared" si="112"/>
        <v>MMP-2</v>
      </c>
      <c r="C496" s="3" t="str">
        <f t="shared" si="113"/>
        <v>MMP2</v>
      </c>
      <c r="D496" s="3" t="str">
        <f t="shared" si="114"/>
        <v>MMP2_HUMAN</v>
      </c>
      <c r="E496" s="2" t="s">
        <v>55</v>
      </c>
      <c r="F496" s="3" t="str">
        <f t="shared" si="115"/>
        <v>72 kDa type IV collagenase</v>
      </c>
      <c r="G496" s="4" t="str">
        <f t="shared" si="116"/>
        <v>Thalidomide</v>
      </c>
      <c r="H496" s="3" t="str">
        <f>HYPERLINK("https://www.cortellis.com/drugdiscovery/entity/biomarkers/29614","VeriPsych")</f>
        <v>VeriPsych</v>
      </c>
      <c r="I496" s="2" t="s">
        <v>23</v>
      </c>
      <c r="J496" s="2" t="s">
        <v>17</v>
      </c>
      <c r="K496" s="4" t="str">
        <f>HYPERLINK("https://www.cortellis.com/drugdiscovery/result/proxy/related-content/biomarkers/genestargets/29614","interleukin 7; matrix metallopeptidase 2")</f>
        <v>interleukin 7; matrix metallopeptidase 2</v>
      </c>
    </row>
    <row r="497" spans="1:11" ht="60" customHeight="1" x14ac:dyDescent="0.2">
      <c r="A497" s="2">
        <v>494</v>
      </c>
      <c r="B497" s="3" t="str">
        <f t="shared" si="112"/>
        <v>MMP-2</v>
      </c>
      <c r="C497" s="3" t="str">
        <f t="shared" si="113"/>
        <v>MMP2</v>
      </c>
      <c r="D497" s="3" t="str">
        <f t="shared" si="114"/>
        <v>MMP2_HUMAN</v>
      </c>
      <c r="E497" s="2" t="s">
        <v>55</v>
      </c>
      <c r="F497" s="3" t="str">
        <f t="shared" si="115"/>
        <v>72 kDa type IV collagenase</v>
      </c>
      <c r="G497" s="4" t="str">
        <f t="shared" si="116"/>
        <v>Thalidomide</v>
      </c>
      <c r="H497" s="3" t="str">
        <f>HYPERLINK("https://www.cortellis.com/drugdiscovery/entity/biomarkers/39112","50-gene expression breast cancer panel")</f>
        <v>50-gene expression breast cancer panel</v>
      </c>
      <c r="I497" s="2" t="s">
        <v>18</v>
      </c>
      <c r="J497" s="2" t="s">
        <v>19</v>
      </c>
      <c r="K497" s="4" t="str">
        <f>HYPERLINK("https://www.cortellis.com/drugdiscovery/result/proxy/related-content/biomarkers/genestargets/39112","matrix metallopeptidase 2")</f>
        <v>matrix metallopeptidase 2</v>
      </c>
    </row>
    <row r="498" spans="1:11" ht="60" customHeight="1" x14ac:dyDescent="0.2">
      <c r="A498" s="2">
        <v>495</v>
      </c>
      <c r="B498" s="3" t="str">
        <f t="shared" si="112"/>
        <v>MMP-2</v>
      </c>
      <c r="C498" s="3" t="str">
        <f t="shared" si="113"/>
        <v>MMP2</v>
      </c>
      <c r="D498" s="3" t="str">
        <f t="shared" si="114"/>
        <v>MMP2_HUMAN</v>
      </c>
      <c r="E498" s="2" t="s">
        <v>55</v>
      </c>
      <c r="F498" s="3" t="str">
        <f t="shared" si="115"/>
        <v>72 kDa type IV collagenase</v>
      </c>
      <c r="G498" s="4" t="str">
        <f t="shared" si="116"/>
        <v>Thalidomide</v>
      </c>
      <c r="H498" s="3" t="str">
        <f>HYPERLINK("https://www.cortellis.com/drugdiscovery/entity/biomarkers/43882","530-gene methylation leukemia panel")</f>
        <v>530-gene methylation leukemia panel</v>
      </c>
      <c r="I498" s="2" t="s">
        <v>25</v>
      </c>
      <c r="J498" s="2" t="s">
        <v>19</v>
      </c>
      <c r="K498" s="4" t="str">
        <f>HYPERLINK("https://www.cortellis.com/drugdiscovery/result/proxy/related-content/biomarkers/genestargets/43882","matrix metallopeptidase 2; ribonuclease A family member 3")</f>
        <v>matrix metallopeptidase 2; ribonuclease A family member 3</v>
      </c>
    </row>
    <row r="499" spans="1:11" ht="60" customHeight="1" x14ac:dyDescent="0.2">
      <c r="A499" s="2">
        <v>496</v>
      </c>
      <c r="B499" s="3" t="str">
        <f t="shared" si="112"/>
        <v>MMP-2</v>
      </c>
      <c r="C499" s="3" t="str">
        <f t="shared" si="113"/>
        <v>MMP2</v>
      </c>
      <c r="D499" s="3" t="str">
        <f t="shared" si="114"/>
        <v>MMP2_HUMAN</v>
      </c>
      <c r="E499" s="2" t="s">
        <v>55</v>
      </c>
      <c r="F499" s="3" t="str">
        <f t="shared" si="115"/>
        <v>72 kDa type IV collagenase</v>
      </c>
      <c r="G499" s="4" t="str">
        <f t="shared" si="116"/>
        <v>Thalidomide</v>
      </c>
      <c r="H499" s="3" t="str">
        <f>HYPERLINK("https://www.cortellis.com/drugdiscovery/entity/biomarkers/45762","37-protein metastatic colon cancer panel")</f>
        <v>37-protein metastatic colon cancer panel</v>
      </c>
      <c r="I499" s="2" t="s">
        <v>20</v>
      </c>
      <c r="J499" s="2" t="s">
        <v>17</v>
      </c>
      <c r="K499" s="4" t="str">
        <f>HYPERLINK("https://www.cortellis.com/drugdiscovery/result/proxy/related-content/biomarkers/genestargets/45762","matrix metallopeptidase 2; matrix metallopeptidase 9")</f>
        <v>matrix metallopeptidase 2; matrix metallopeptidase 9</v>
      </c>
    </row>
    <row r="500" spans="1:11" ht="60" customHeight="1" x14ac:dyDescent="0.2">
      <c r="A500" s="2">
        <v>497</v>
      </c>
      <c r="B500" s="3" t="str">
        <f t="shared" si="112"/>
        <v>MMP-2</v>
      </c>
      <c r="C500" s="3" t="str">
        <f t="shared" si="113"/>
        <v>MMP2</v>
      </c>
      <c r="D500" s="3" t="str">
        <f t="shared" si="114"/>
        <v>MMP2_HUMAN</v>
      </c>
      <c r="E500" s="2" t="s">
        <v>55</v>
      </c>
      <c r="F500" s="3" t="str">
        <f t="shared" si="115"/>
        <v>72 kDa type IV collagenase</v>
      </c>
      <c r="G500" s="4" t="str">
        <f t="shared" si="116"/>
        <v>Thalidomide</v>
      </c>
      <c r="H500" s="3" t="str">
        <f>HYPERLINK("https://www.cortellis.com/drugdiscovery/entity/biomarkers/51682","Multiplex biomarker panel")</f>
        <v>Multiplex biomarker panel</v>
      </c>
      <c r="I500" s="2" t="s">
        <v>23</v>
      </c>
      <c r="J500" s="2" t="s">
        <v>15</v>
      </c>
      <c r="K500" s="4" t="str">
        <f>HYPERLINK("https://www.cortellis.com/drugdiscovery/result/proxy/related-content/biomarkers/genestargets/51682","matrix metallopeptidase 2; matrix metallopeptidase 9")</f>
        <v>matrix metallopeptidase 2; matrix metallopeptidase 9</v>
      </c>
    </row>
    <row r="501" spans="1:11" ht="60" customHeight="1" x14ac:dyDescent="0.2">
      <c r="A501" s="2">
        <v>498</v>
      </c>
      <c r="B501" s="3" t="str">
        <f t="shared" si="112"/>
        <v>MMP-2</v>
      </c>
      <c r="C501" s="3" t="str">
        <f t="shared" si="113"/>
        <v>MMP2</v>
      </c>
      <c r="D501" s="3" t="str">
        <f t="shared" si="114"/>
        <v>MMP2_HUMAN</v>
      </c>
      <c r="E501" s="2" t="s">
        <v>55</v>
      </c>
      <c r="F501" s="3" t="str">
        <f t="shared" si="115"/>
        <v>72 kDa type IV collagenase</v>
      </c>
      <c r="G501" s="4" t="str">
        <f t="shared" si="116"/>
        <v>Thalidomide</v>
      </c>
      <c r="H501" s="3" t="str">
        <f>HYPERLINK("https://www.cortellis.com/drugdiscovery/entity/biomarkers/53787","111-gene expression ovarian cancer panel")</f>
        <v>111-gene expression ovarian cancer panel</v>
      </c>
      <c r="I501" s="2" t="s">
        <v>25</v>
      </c>
      <c r="J501" s="2" t="s">
        <v>19</v>
      </c>
      <c r="K501" s="4" t="str">
        <f>HYPERLINK("https://www.cortellis.com/drugdiscovery/result/proxy/related-content/biomarkers/genestargets/53787","matrix metallopeptidase 2")</f>
        <v>matrix metallopeptidase 2</v>
      </c>
    </row>
    <row r="502" spans="1:11" ht="60" customHeight="1" x14ac:dyDescent="0.2">
      <c r="A502" s="2">
        <v>499</v>
      </c>
      <c r="B502" s="3" t="str">
        <f t="shared" si="112"/>
        <v>MMP-2</v>
      </c>
      <c r="C502" s="3" t="str">
        <f t="shared" si="113"/>
        <v>MMP2</v>
      </c>
      <c r="D502" s="3" t="str">
        <f t="shared" si="114"/>
        <v>MMP2_HUMAN</v>
      </c>
      <c r="E502" s="2" t="s">
        <v>55</v>
      </c>
      <c r="F502" s="3" t="str">
        <f t="shared" si="115"/>
        <v>72 kDa type IV collagenase</v>
      </c>
      <c r="G502" s="4" t="str">
        <f t="shared" si="116"/>
        <v>Thalidomide</v>
      </c>
      <c r="H502" s="3" t="str">
        <f>HYPERLINK("https://www.cortellis.com/drugdiscovery/entity/biomarkers/56620","45-gene expression cancer panel")</f>
        <v>45-gene expression cancer panel</v>
      </c>
      <c r="I502" s="2" t="s">
        <v>18</v>
      </c>
      <c r="J502" s="2" t="s">
        <v>19</v>
      </c>
      <c r="K502" s="4" t="str">
        <f>HYPERLINK("https://www.cortellis.com/drugdiscovery/result/proxy/related-content/biomarkers/genestargets/56620","matrix metallopeptidase 2")</f>
        <v>matrix metallopeptidase 2</v>
      </c>
    </row>
    <row r="503" spans="1:11" ht="60" customHeight="1" x14ac:dyDescent="0.2">
      <c r="A503" s="2">
        <v>500</v>
      </c>
      <c r="B503" s="3" t="str">
        <f t="shared" si="112"/>
        <v>MMP-2</v>
      </c>
      <c r="C503" s="3" t="str">
        <f t="shared" si="113"/>
        <v>MMP2</v>
      </c>
      <c r="D503" s="3" t="str">
        <f t="shared" si="114"/>
        <v>MMP2_HUMAN</v>
      </c>
      <c r="E503" s="2" t="s">
        <v>55</v>
      </c>
      <c r="F503" s="3" t="str">
        <f t="shared" si="115"/>
        <v>72 kDa type IV collagenase</v>
      </c>
      <c r="G503" s="4" t="str">
        <f t="shared" si="116"/>
        <v>Thalidomide</v>
      </c>
      <c r="H503" s="3" t="str">
        <f>HYPERLINK("https://www.cortellis.com/drugdiscovery/entity/biomarkers/57361","36-gene expression soft tissue sarcoma panel")</f>
        <v>36-gene expression soft tissue sarcoma panel</v>
      </c>
      <c r="I503" s="2" t="s">
        <v>25</v>
      </c>
      <c r="J503" s="2" t="s">
        <v>19</v>
      </c>
      <c r="K503" s="4" t="str">
        <f>HYPERLINK("https://www.cortellis.com/drugdiscovery/result/proxy/related-content/biomarkers/genestargets/57361","matrix metallopeptidase 2")</f>
        <v>matrix metallopeptidase 2</v>
      </c>
    </row>
    <row r="504" spans="1:11" ht="60" customHeight="1" x14ac:dyDescent="0.2">
      <c r="A504" s="2">
        <v>501</v>
      </c>
      <c r="B504" s="3" t="str">
        <f t="shared" si="112"/>
        <v>MMP-2</v>
      </c>
      <c r="C504" s="3" t="str">
        <f t="shared" si="113"/>
        <v>MMP2</v>
      </c>
      <c r="D504" s="3" t="str">
        <f t="shared" si="114"/>
        <v>MMP2_HUMAN</v>
      </c>
      <c r="E504" s="2" t="s">
        <v>55</v>
      </c>
      <c r="F504" s="3" t="str">
        <f t="shared" si="115"/>
        <v>72 kDa type IV collagenase</v>
      </c>
      <c r="G504" s="4" t="str">
        <f t="shared" si="116"/>
        <v>Thalidomide</v>
      </c>
      <c r="H504" s="3" t="str">
        <f>HYPERLINK("https://www.cortellis.com/drugdiscovery/entity/biomarkers/59959","13-protein Crohn's disease panel")</f>
        <v>13-protein Crohn's disease panel</v>
      </c>
      <c r="I504" s="2" t="s">
        <v>24</v>
      </c>
      <c r="J504" s="2" t="s">
        <v>17</v>
      </c>
      <c r="K504" s="4" t="str">
        <f>HYPERLINK("https://www.cortellis.com/drugdiscovery/result/proxy/related-content/biomarkers/genestargets/59959","interleukin 7; matrix metallopeptidase 2; matrix metallopeptidase 9")</f>
        <v>interleukin 7; matrix metallopeptidase 2; matrix metallopeptidase 9</v>
      </c>
    </row>
    <row r="505" spans="1:11" ht="60" customHeight="1" x14ac:dyDescent="0.2">
      <c r="A505" s="2">
        <v>502</v>
      </c>
      <c r="B505" s="3" t="str">
        <f t="shared" si="112"/>
        <v>MMP-2</v>
      </c>
      <c r="C505" s="3" t="str">
        <f t="shared" si="113"/>
        <v>MMP2</v>
      </c>
      <c r="D505" s="3" t="str">
        <f t="shared" si="114"/>
        <v>MMP2_HUMAN</v>
      </c>
      <c r="E505" s="2" t="s">
        <v>55</v>
      </c>
      <c r="F505" s="3" t="str">
        <f t="shared" si="115"/>
        <v>72 kDa type IV collagenase</v>
      </c>
      <c r="G505" s="4" t="str">
        <f t="shared" si="116"/>
        <v>Thalidomide</v>
      </c>
      <c r="H505" s="3" t="str">
        <f>HYPERLINK("https://www.cortellis.com/drugdiscovery/entity/biomarkers/64358","6-triple negative breast cancer panel")</f>
        <v>6-triple negative breast cancer panel</v>
      </c>
      <c r="I505" s="2" t="s">
        <v>18</v>
      </c>
      <c r="J505" s="2" t="s">
        <v>19</v>
      </c>
      <c r="K505" s="4" t="str">
        <f>HYPERLINK("https://www.cortellis.com/drugdiscovery/result/proxy/related-content/biomarkers/genestargets/64358","matrix metallopeptidase 2")</f>
        <v>matrix metallopeptidase 2</v>
      </c>
    </row>
    <row r="506" spans="1:11" ht="60" customHeight="1" x14ac:dyDescent="0.2">
      <c r="A506" s="2">
        <v>503</v>
      </c>
      <c r="B506" s="3" t="str">
        <f t="shared" si="112"/>
        <v>MMP-2</v>
      </c>
      <c r="C506" s="3" t="str">
        <f t="shared" si="113"/>
        <v>MMP2</v>
      </c>
      <c r="D506" s="3" t="str">
        <f t="shared" si="114"/>
        <v>MMP2_HUMAN</v>
      </c>
      <c r="E506" s="2" t="s">
        <v>55</v>
      </c>
      <c r="F506" s="3" t="str">
        <f t="shared" si="115"/>
        <v>72 kDa type IV collagenase</v>
      </c>
      <c r="G506" s="4" t="str">
        <f t="shared" ref="G506:G522" si="117">HYPERLINK("https://portal.genego.com/cgi/entity_page.cgi?term=7&amp;id=-29110915","Pravastatin")</f>
        <v>Pravastatin</v>
      </c>
      <c r="H506" s="3" t="str">
        <f>HYPERLINK("https://www.cortellis.com/drugdiscovery/entity/biomarkers/286","72 kDa type IV collagenase")</f>
        <v>72 kDa type IV collagenase</v>
      </c>
      <c r="I506" s="2" t="s">
        <v>56</v>
      </c>
      <c r="J506" s="2" t="s">
        <v>15</v>
      </c>
      <c r="K506" s="4" t="str">
        <f>HYPERLINK("https://www.cortellis.com/drugdiscovery/result/proxy/related-content/biomarkers/genestargets/286","matrix metallopeptidase 2")</f>
        <v>matrix metallopeptidase 2</v>
      </c>
    </row>
    <row r="507" spans="1:11" ht="60" customHeight="1" x14ac:dyDescent="0.2">
      <c r="A507" s="2">
        <v>504</v>
      </c>
      <c r="B507" s="3" t="str">
        <f t="shared" si="112"/>
        <v>MMP-2</v>
      </c>
      <c r="C507" s="3" t="str">
        <f t="shared" si="113"/>
        <v>MMP2</v>
      </c>
      <c r="D507" s="3" t="str">
        <f t="shared" si="114"/>
        <v>MMP2_HUMAN</v>
      </c>
      <c r="E507" s="2" t="s">
        <v>55</v>
      </c>
      <c r="F507" s="3" t="str">
        <f t="shared" si="115"/>
        <v>72 kDa type IV collagenase</v>
      </c>
      <c r="G507" s="4" t="str">
        <f t="shared" si="117"/>
        <v>Pravastatin</v>
      </c>
      <c r="H507" s="3" t="str">
        <f>HYPERLINK("https://www.cortellis.com/drugdiscovery/entity/biomarkers/653","MMP-2-TIMP-2 complex")</f>
        <v>MMP-2-TIMP-2 complex</v>
      </c>
      <c r="I507" s="2" t="s">
        <v>57</v>
      </c>
      <c r="J507" s="2" t="s">
        <v>15</v>
      </c>
      <c r="K507" s="4" t="str">
        <f>HYPERLINK("https://www.cortellis.com/drugdiscovery/result/proxy/related-content/biomarkers/genestargets/653","matrix metallopeptidase 2")</f>
        <v>matrix metallopeptidase 2</v>
      </c>
    </row>
    <row r="508" spans="1:11" ht="60" customHeight="1" x14ac:dyDescent="0.2">
      <c r="A508" s="2">
        <v>505</v>
      </c>
      <c r="B508" s="3" t="str">
        <f t="shared" si="112"/>
        <v>MMP-2</v>
      </c>
      <c r="C508" s="3" t="str">
        <f t="shared" si="113"/>
        <v>MMP2</v>
      </c>
      <c r="D508" s="3" t="str">
        <f t="shared" si="114"/>
        <v>MMP2_HUMAN</v>
      </c>
      <c r="E508" s="2" t="s">
        <v>55</v>
      </c>
      <c r="F508" s="3" t="str">
        <f t="shared" si="115"/>
        <v>72 kDa type IV collagenase</v>
      </c>
      <c r="G508" s="4" t="str">
        <f t="shared" si="117"/>
        <v>Pravastatin</v>
      </c>
      <c r="H508" s="3" t="str">
        <f>HYPERLINK("https://www.cortellis.com/drugdiscovery/entity/biomarkers/26503","3-gene polymorphism cardia cancer panel")</f>
        <v>3-gene polymorphism cardia cancer panel</v>
      </c>
      <c r="I508" s="2" t="s">
        <v>29</v>
      </c>
      <c r="J508" s="2" t="s">
        <v>19</v>
      </c>
      <c r="K508" s="4" t="str">
        <f>HYPERLINK("https://www.cortellis.com/drugdiscovery/result/proxy/related-content/biomarkers/genestargets/26503","matrix metallopeptidase 2")</f>
        <v>matrix metallopeptidase 2</v>
      </c>
    </row>
    <row r="509" spans="1:11" ht="60" customHeight="1" x14ac:dyDescent="0.2">
      <c r="A509" s="2">
        <v>506</v>
      </c>
      <c r="B509" s="3" t="str">
        <f t="shared" si="112"/>
        <v>MMP-2</v>
      </c>
      <c r="C509" s="3" t="str">
        <f t="shared" si="113"/>
        <v>MMP2</v>
      </c>
      <c r="D509" s="3" t="str">
        <f t="shared" si="114"/>
        <v>MMP2_HUMAN</v>
      </c>
      <c r="E509" s="2" t="s">
        <v>55</v>
      </c>
      <c r="F509" s="3" t="str">
        <f t="shared" si="115"/>
        <v>72 kDa type IV collagenase</v>
      </c>
      <c r="G509" s="4" t="str">
        <f t="shared" si="117"/>
        <v>Pravastatin</v>
      </c>
      <c r="H509" s="3" t="str">
        <f>HYPERLINK("https://www.cortellis.com/drugdiscovery/entity/biomarkers/26754","5-protein breast cancer panel")</f>
        <v>5-protein breast cancer panel</v>
      </c>
      <c r="I509" s="2" t="s">
        <v>18</v>
      </c>
      <c r="J509" s="2" t="s">
        <v>17</v>
      </c>
      <c r="K509" s="4" t="str">
        <f>HYPERLINK("https://www.cortellis.com/drugdiscovery/result/proxy/related-content/biomarkers/genestargets/26754","matrix metallopeptidase 2")</f>
        <v>matrix metallopeptidase 2</v>
      </c>
    </row>
    <row r="510" spans="1:11" ht="60" customHeight="1" x14ac:dyDescent="0.2">
      <c r="A510" s="2">
        <v>507</v>
      </c>
      <c r="B510" s="3" t="str">
        <f t="shared" si="112"/>
        <v>MMP-2</v>
      </c>
      <c r="C510" s="3" t="str">
        <f t="shared" si="113"/>
        <v>MMP2</v>
      </c>
      <c r="D510" s="3" t="str">
        <f t="shared" si="114"/>
        <v>MMP2_HUMAN</v>
      </c>
      <c r="E510" s="2" t="s">
        <v>55</v>
      </c>
      <c r="F510" s="3" t="str">
        <f t="shared" si="115"/>
        <v>72 kDa type IV collagenase</v>
      </c>
      <c r="G510" s="4" t="str">
        <f t="shared" si="117"/>
        <v>Pravastatin</v>
      </c>
      <c r="H510" s="3" t="str">
        <f>HYPERLINK("https://www.cortellis.com/drugdiscovery/entity/biomarkers/27598","89-protein neurological alzheimer's panel")</f>
        <v>89-protein neurological alzheimer's panel</v>
      </c>
      <c r="I510" s="2" t="s">
        <v>23</v>
      </c>
      <c r="J510" s="2" t="s">
        <v>17</v>
      </c>
      <c r="K510"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511" spans="1:11" ht="60" customHeight="1" x14ac:dyDescent="0.2">
      <c r="A511" s="2">
        <v>508</v>
      </c>
      <c r="B511" s="3" t="str">
        <f t="shared" si="112"/>
        <v>MMP-2</v>
      </c>
      <c r="C511" s="3" t="str">
        <f t="shared" si="113"/>
        <v>MMP2</v>
      </c>
      <c r="D511" s="3" t="str">
        <f t="shared" si="114"/>
        <v>MMP2_HUMAN</v>
      </c>
      <c r="E511" s="2" t="s">
        <v>55</v>
      </c>
      <c r="F511" s="3" t="str">
        <f t="shared" si="115"/>
        <v>72 kDa type IV collagenase</v>
      </c>
      <c r="G511" s="4" t="str">
        <f t="shared" si="117"/>
        <v>Pravastatin</v>
      </c>
      <c r="H511" s="3" t="str">
        <f>HYPERLINK("https://www.cortellis.com/drugdiscovery/entity/biomarkers/28165","8-gene expression colorectal cancer panel")</f>
        <v>8-gene expression colorectal cancer panel</v>
      </c>
      <c r="I511" s="2" t="s">
        <v>18</v>
      </c>
      <c r="J511" s="2" t="s">
        <v>19</v>
      </c>
      <c r="K511" s="4" t="str">
        <f>HYPERLINK("https://www.cortellis.com/drugdiscovery/result/proxy/related-content/biomarkers/genestargets/28165","matrix metallopeptidase 2")</f>
        <v>matrix metallopeptidase 2</v>
      </c>
    </row>
    <row r="512" spans="1:11" ht="60" customHeight="1" x14ac:dyDescent="0.2">
      <c r="A512" s="2">
        <v>509</v>
      </c>
      <c r="B512" s="3" t="str">
        <f t="shared" si="112"/>
        <v>MMP-2</v>
      </c>
      <c r="C512" s="3" t="str">
        <f t="shared" si="113"/>
        <v>MMP2</v>
      </c>
      <c r="D512" s="3" t="str">
        <f t="shared" si="114"/>
        <v>MMP2_HUMAN</v>
      </c>
      <c r="E512" s="2" t="s">
        <v>55</v>
      </c>
      <c r="F512" s="3" t="str">
        <f t="shared" si="115"/>
        <v>72 kDa type IV collagenase</v>
      </c>
      <c r="G512" s="4" t="str">
        <f t="shared" si="117"/>
        <v>Pravastatin</v>
      </c>
      <c r="H512" s="3" t="str">
        <f>HYPERLINK("https://www.cortellis.com/drugdiscovery/entity/biomarkers/28451","3-protein nasopharyngeal cancer panel")</f>
        <v>3-protein nasopharyngeal cancer panel</v>
      </c>
      <c r="I512" s="2" t="s">
        <v>23</v>
      </c>
      <c r="J512" s="2" t="s">
        <v>17</v>
      </c>
      <c r="K512" s="4" t="str">
        <f>HYPERLINK("https://www.cortellis.com/drugdiscovery/result/proxy/related-content/biomarkers/genestargets/28451","matrix metallopeptidase 2")</f>
        <v>matrix metallopeptidase 2</v>
      </c>
    </row>
    <row r="513" spans="1:11" ht="60" customHeight="1" x14ac:dyDescent="0.2">
      <c r="A513" s="2">
        <v>510</v>
      </c>
      <c r="B513" s="3" t="str">
        <f t="shared" si="112"/>
        <v>MMP-2</v>
      </c>
      <c r="C513" s="3" t="str">
        <f t="shared" si="113"/>
        <v>MMP2</v>
      </c>
      <c r="D513" s="3" t="str">
        <f t="shared" si="114"/>
        <v>MMP2_HUMAN</v>
      </c>
      <c r="E513" s="2" t="s">
        <v>55</v>
      </c>
      <c r="F513" s="3" t="str">
        <f t="shared" si="115"/>
        <v>72 kDa type IV collagenase</v>
      </c>
      <c r="G513" s="4" t="str">
        <f t="shared" si="117"/>
        <v>Pravastatin</v>
      </c>
      <c r="H513" s="3" t="str">
        <f>HYPERLINK("https://www.cortellis.com/drugdiscovery/entity/biomarkers/29614","VeriPsych")</f>
        <v>VeriPsych</v>
      </c>
      <c r="I513" s="2" t="s">
        <v>23</v>
      </c>
      <c r="J513" s="2" t="s">
        <v>17</v>
      </c>
      <c r="K513" s="4" t="str">
        <f>HYPERLINK("https://www.cortellis.com/drugdiscovery/result/proxy/related-content/biomarkers/genestargets/29614","interleukin 7; matrix metallopeptidase 2")</f>
        <v>interleukin 7; matrix metallopeptidase 2</v>
      </c>
    </row>
    <row r="514" spans="1:11" ht="60" customHeight="1" x14ac:dyDescent="0.2">
      <c r="A514" s="2">
        <v>511</v>
      </c>
      <c r="B514" s="3" t="str">
        <f t="shared" si="112"/>
        <v>MMP-2</v>
      </c>
      <c r="C514" s="3" t="str">
        <f t="shared" si="113"/>
        <v>MMP2</v>
      </c>
      <c r="D514" s="3" t="str">
        <f t="shared" si="114"/>
        <v>MMP2_HUMAN</v>
      </c>
      <c r="E514" s="2" t="s">
        <v>55</v>
      </c>
      <c r="F514" s="3" t="str">
        <f t="shared" si="115"/>
        <v>72 kDa type IV collagenase</v>
      </c>
      <c r="G514" s="4" t="str">
        <f t="shared" si="117"/>
        <v>Pravastatin</v>
      </c>
      <c r="H514" s="3" t="str">
        <f>HYPERLINK("https://www.cortellis.com/drugdiscovery/entity/biomarkers/39112","50-gene expression breast cancer panel")</f>
        <v>50-gene expression breast cancer panel</v>
      </c>
      <c r="I514" s="2" t="s">
        <v>18</v>
      </c>
      <c r="J514" s="2" t="s">
        <v>19</v>
      </c>
      <c r="K514" s="4" t="str">
        <f>HYPERLINK("https://www.cortellis.com/drugdiscovery/result/proxy/related-content/biomarkers/genestargets/39112","matrix metallopeptidase 2")</f>
        <v>matrix metallopeptidase 2</v>
      </c>
    </row>
    <row r="515" spans="1:11" ht="60" customHeight="1" x14ac:dyDescent="0.2">
      <c r="A515" s="2">
        <v>512</v>
      </c>
      <c r="B515" s="3" t="str">
        <f t="shared" si="112"/>
        <v>MMP-2</v>
      </c>
      <c r="C515" s="3" t="str">
        <f t="shared" si="113"/>
        <v>MMP2</v>
      </c>
      <c r="D515" s="3" t="str">
        <f t="shared" si="114"/>
        <v>MMP2_HUMAN</v>
      </c>
      <c r="E515" s="2" t="s">
        <v>55</v>
      </c>
      <c r="F515" s="3" t="str">
        <f t="shared" si="115"/>
        <v>72 kDa type IV collagenase</v>
      </c>
      <c r="G515" s="4" t="str">
        <f t="shared" si="117"/>
        <v>Pravastatin</v>
      </c>
      <c r="H515" s="3" t="str">
        <f>HYPERLINK("https://www.cortellis.com/drugdiscovery/entity/biomarkers/43882","530-gene methylation leukemia panel")</f>
        <v>530-gene methylation leukemia panel</v>
      </c>
      <c r="I515" s="2" t="s">
        <v>25</v>
      </c>
      <c r="J515" s="2" t="s">
        <v>19</v>
      </c>
      <c r="K515" s="4" t="str">
        <f>HYPERLINK("https://www.cortellis.com/drugdiscovery/result/proxy/related-content/biomarkers/genestargets/43882","matrix metallopeptidase 2; ribonuclease A family member 3")</f>
        <v>matrix metallopeptidase 2; ribonuclease A family member 3</v>
      </c>
    </row>
    <row r="516" spans="1:11" ht="60" customHeight="1" x14ac:dyDescent="0.2">
      <c r="A516" s="2">
        <v>513</v>
      </c>
      <c r="B516" s="3" t="str">
        <f t="shared" si="112"/>
        <v>MMP-2</v>
      </c>
      <c r="C516" s="3" t="str">
        <f t="shared" si="113"/>
        <v>MMP2</v>
      </c>
      <c r="D516" s="3" t="str">
        <f t="shared" si="114"/>
        <v>MMP2_HUMAN</v>
      </c>
      <c r="E516" s="2" t="s">
        <v>55</v>
      </c>
      <c r="F516" s="3" t="str">
        <f t="shared" si="115"/>
        <v>72 kDa type IV collagenase</v>
      </c>
      <c r="G516" s="4" t="str">
        <f t="shared" si="117"/>
        <v>Pravastatin</v>
      </c>
      <c r="H516" s="3" t="str">
        <f>HYPERLINK("https://www.cortellis.com/drugdiscovery/entity/biomarkers/45762","37-protein metastatic colon cancer panel")</f>
        <v>37-protein metastatic colon cancer panel</v>
      </c>
      <c r="I516" s="2" t="s">
        <v>20</v>
      </c>
      <c r="J516" s="2" t="s">
        <v>17</v>
      </c>
      <c r="K516" s="4" t="str">
        <f>HYPERLINK("https://www.cortellis.com/drugdiscovery/result/proxy/related-content/biomarkers/genestargets/45762","matrix metallopeptidase 2; matrix metallopeptidase 9")</f>
        <v>matrix metallopeptidase 2; matrix metallopeptidase 9</v>
      </c>
    </row>
    <row r="517" spans="1:11" ht="60" customHeight="1" x14ac:dyDescent="0.2">
      <c r="A517" s="2">
        <v>514</v>
      </c>
      <c r="B517" s="3" t="str">
        <f t="shared" si="112"/>
        <v>MMP-2</v>
      </c>
      <c r="C517" s="3" t="str">
        <f t="shared" si="113"/>
        <v>MMP2</v>
      </c>
      <c r="D517" s="3" t="str">
        <f t="shared" si="114"/>
        <v>MMP2_HUMAN</v>
      </c>
      <c r="E517" s="2" t="s">
        <v>55</v>
      </c>
      <c r="F517" s="3" t="str">
        <f t="shared" si="115"/>
        <v>72 kDa type IV collagenase</v>
      </c>
      <c r="G517" s="4" t="str">
        <f t="shared" si="117"/>
        <v>Pravastatin</v>
      </c>
      <c r="H517" s="3" t="str">
        <f>HYPERLINK("https://www.cortellis.com/drugdiscovery/entity/biomarkers/51682","Multiplex biomarker panel")</f>
        <v>Multiplex biomarker panel</v>
      </c>
      <c r="I517" s="2" t="s">
        <v>23</v>
      </c>
      <c r="J517" s="2" t="s">
        <v>15</v>
      </c>
      <c r="K517" s="4" t="str">
        <f>HYPERLINK("https://www.cortellis.com/drugdiscovery/result/proxy/related-content/biomarkers/genestargets/51682","matrix metallopeptidase 2; matrix metallopeptidase 9")</f>
        <v>matrix metallopeptidase 2; matrix metallopeptidase 9</v>
      </c>
    </row>
    <row r="518" spans="1:11" ht="60" customHeight="1" x14ac:dyDescent="0.2">
      <c r="A518" s="2">
        <v>515</v>
      </c>
      <c r="B518" s="3" t="str">
        <f t="shared" si="112"/>
        <v>MMP-2</v>
      </c>
      <c r="C518" s="3" t="str">
        <f t="shared" si="113"/>
        <v>MMP2</v>
      </c>
      <c r="D518" s="3" t="str">
        <f t="shared" si="114"/>
        <v>MMP2_HUMAN</v>
      </c>
      <c r="E518" s="2" t="s">
        <v>55</v>
      </c>
      <c r="F518" s="3" t="str">
        <f t="shared" si="115"/>
        <v>72 kDa type IV collagenase</v>
      </c>
      <c r="G518" s="4" t="str">
        <f t="shared" si="117"/>
        <v>Pravastatin</v>
      </c>
      <c r="H518" s="3" t="str">
        <f>HYPERLINK("https://www.cortellis.com/drugdiscovery/entity/biomarkers/53787","111-gene expression ovarian cancer panel")</f>
        <v>111-gene expression ovarian cancer panel</v>
      </c>
      <c r="I518" s="2" t="s">
        <v>25</v>
      </c>
      <c r="J518" s="2" t="s">
        <v>19</v>
      </c>
      <c r="K518" s="4" t="str">
        <f>HYPERLINK("https://www.cortellis.com/drugdiscovery/result/proxy/related-content/biomarkers/genestargets/53787","matrix metallopeptidase 2")</f>
        <v>matrix metallopeptidase 2</v>
      </c>
    </row>
    <row r="519" spans="1:11" ht="60" customHeight="1" x14ac:dyDescent="0.2">
      <c r="A519" s="2">
        <v>516</v>
      </c>
      <c r="B519" s="3" t="str">
        <f t="shared" si="112"/>
        <v>MMP-2</v>
      </c>
      <c r="C519" s="3" t="str">
        <f t="shared" si="113"/>
        <v>MMP2</v>
      </c>
      <c r="D519" s="3" t="str">
        <f t="shared" si="114"/>
        <v>MMP2_HUMAN</v>
      </c>
      <c r="E519" s="2" t="s">
        <v>55</v>
      </c>
      <c r="F519" s="3" t="str">
        <f t="shared" si="115"/>
        <v>72 kDa type IV collagenase</v>
      </c>
      <c r="G519" s="4" t="str">
        <f t="shared" si="117"/>
        <v>Pravastatin</v>
      </c>
      <c r="H519" s="3" t="str">
        <f>HYPERLINK("https://www.cortellis.com/drugdiscovery/entity/biomarkers/56620","45-gene expression cancer panel")</f>
        <v>45-gene expression cancer panel</v>
      </c>
      <c r="I519" s="2" t="s">
        <v>18</v>
      </c>
      <c r="J519" s="2" t="s">
        <v>19</v>
      </c>
      <c r="K519" s="4" t="str">
        <f>HYPERLINK("https://www.cortellis.com/drugdiscovery/result/proxy/related-content/biomarkers/genestargets/56620","matrix metallopeptidase 2")</f>
        <v>matrix metallopeptidase 2</v>
      </c>
    </row>
    <row r="520" spans="1:11" ht="60" customHeight="1" x14ac:dyDescent="0.2">
      <c r="A520" s="2">
        <v>517</v>
      </c>
      <c r="B520" s="3" t="str">
        <f t="shared" si="112"/>
        <v>MMP-2</v>
      </c>
      <c r="C520" s="3" t="str">
        <f t="shared" si="113"/>
        <v>MMP2</v>
      </c>
      <c r="D520" s="3" t="str">
        <f t="shared" si="114"/>
        <v>MMP2_HUMAN</v>
      </c>
      <c r="E520" s="2" t="s">
        <v>55</v>
      </c>
      <c r="F520" s="3" t="str">
        <f t="shared" si="115"/>
        <v>72 kDa type IV collagenase</v>
      </c>
      <c r="G520" s="4" t="str">
        <f t="shared" si="117"/>
        <v>Pravastatin</v>
      </c>
      <c r="H520" s="3" t="str">
        <f>HYPERLINK("https://www.cortellis.com/drugdiscovery/entity/biomarkers/57361","36-gene expression soft tissue sarcoma panel")</f>
        <v>36-gene expression soft tissue sarcoma panel</v>
      </c>
      <c r="I520" s="2" t="s">
        <v>25</v>
      </c>
      <c r="J520" s="2" t="s">
        <v>19</v>
      </c>
      <c r="K520" s="4" t="str">
        <f>HYPERLINK("https://www.cortellis.com/drugdiscovery/result/proxy/related-content/biomarkers/genestargets/57361","matrix metallopeptidase 2")</f>
        <v>matrix metallopeptidase 2</v>
      </c>
    </row>
    <row r="521" spans="1:11" ht="60" customHeight="1" x14ac:dyDescent="0.2">
      <c r="A521" s="2">
        <v>518</v>
      </c>
      <c r="B521" s="3" t="str">
        <f t="shared" si="112"/>
        <v>MMP-2</v>
      </c>
      <c r="C521" s="3" t="str">
        <f t="shared" si="113"/>
        <v>MMP2</v>
      </c>
      <c r="D521" s="3" t="str">
        <f t="shared" si="114"/>
        <v>MMP2_HUMAN</v>
      </c>
      <c r="E521" s="2" t="s">
        <v>55</v>
      </c>
      <c r="F521" s="3" t="str">
        <f t="shared" si="115"/>
        <v>72 kDa type IV collagenase</v>
      </c>
      <c r="G521" s="4" t="str">
        <f t="shared" si="117"/>
        <v>Pravastatin</v>
      </c>
      <c r="H521" s="3" t="str">
        <f>HYPERLINK("https://www.cortellis.com/drugdiscovery/entity/biomarkers/59959","13-protein Crohn's disease panel")</f>
        <v>13-protein Crohn's disease panel</v>
      </c>
      <c r="I521" s="2" t="s">
        <v>24</v>
      </c>
      <c r="J521" s="2" t="s">
        <v>17</v>
      </c>
      <c r="K521" s="4" t="str">
        <f>HYPERLINK("https://www.cortellis.com/drugdiscovery/result/proxy/related-content/biomarkers/genestargets/59959","interleukin 7; matrix metallopeptidase 2; matrix metallopeptidase 9")</f>
        <v>interleukin 7; matrix metallopeptidase 2; matrix metallopeptidase 9</v>
      </c>
    </row>
    <row r="522" spans="1:11" ht="60" customHeight="1" x14ac:dyDescent="0.2">
      <c r="A522" s="2">
        <v>519</v>
      </c>
      <c r="B522" s="3" t="str">
        <f t="shared" si="112"/>
        <v>MMP-2</v>
      </c>
      <c r="C522" s="3" t="str">
        <f t="shared" si="113"/>
        <v>MMP2</v>
      </c>
      <c r="D522" s="3" t="str">
        <f t="shared" si="114"/>
        <v>MMP2_HUMAN</v>
      </c>
      <c r="E522" s="2" t="s">
        <v>55</v>
      </c>
      <c r="F522" s="3" t="str">
        <f t="shared" si="115"/>
        <v>72 kDa type IV collagenase</v>
      </c>
      <c r="G522" s="4" t="str">
        <f t="shared" si="117"/>
        <v>Pravastatin</v>
      </c>
      <c r="H522" s="3" t="str">
        <f>HYPERLINK("https://www.cortellis.com/drugdiscovery/entity/biomarkers/64358","6-triple negative breast cancer panel")</f>
        <v>6-triple negative breast cancer panel</v>
      </c>
      <c r="I522" s="2" t="s">
        <v>18</v>
      </c>
      <c r="J522" s="2" t="s">
        <v>19</v>
      </c>
      <c r="K522" s="4" t="str">
        <f>HYPERLINK("https://www.cortellis.com/drugdiscovery/result/proxy/related-content/biomarkers/genestargets/64358","matrix metallopeptidase 2")</f>
        <v>matrix metallopeptidase 2</v>
      </c>
    </row>
    <row r="523" spans="1:11" ht="60" customHeight="1" x14ac:dyDescent="0.2">
      <c r="A523" s="2">
        <v>520</v>
      </c>
      <c r="B523" s="3" t="str">
        <f t="shared" si="112"/>
        <v>MMP-2</v>
      </c>
      <c r="C523" s="3" t="str">
        <f t="shared" si="113"/>
        <v>MMP2</v>
      </c>
      <c r="D523" s="3" t="str">
        <f t="shared" si="114"/>
        <v>MMP2_HUMAN</v>
      </c>
      <c r="E523" s="2" t="s">
        <v>55</v>
      </c>
      <c r="F523" s="3" t="str">
        <f t="shared" si="115"/>
        <v>72 kDa type IV collagenase</v>
      </c>
      <c r="G523" s="4" t="str">
        <f t="shared" ref="G523:G539" si="118">HYPERLINK("https://portal.genego.com/cgi/entity_page.cgi?term=7&amp;id=456844259","ONO4817")</f>
        <v>ONO4817</v>
      </c>
      <c r="H523" s="3" t="str">
        <f>HYPERLINK("https://www.cortellis.com/drugdiscovery/entity/biomarkers/286","72 kDa type IV collagenase")</f>
        <v>72 kDa type IV collagenase</v>
      </c>
      <c r="I523" s="2" t="s">
        <v>56</v>
      </c>
      <c r="J523" s="2" t="s">
        <v>15</v>
      </c>
      <c r="K523" s="4" t="str">
        <f>HYPERLINK("https://www.cortellis.com/drugdiscovery/result/proxy/related-content/biomarkers/genestargets/286","matrix metallopeptidase 2")</f>
        <v>matrix metallopeptidase 2</v>
      </c>
    </row>
    <row r="524" spans="1:11" ht="60" customHeight="1" x14ac:dyDescent="0.2">
      <c r="A524" s="2">
        <v>521</v>
      </c>
      <c r="B524" s="3" t="str">
        <f t="shared" si="112"/>
        <v>MMP-2</v>
      </c>
      <c r="C524" s="3" t="str">
        <f t="shared" si="113"/>
        <v>MMP2</v>
      </c>
      <c r="D524" s="3" t="str">
        <f t="shared" si="114"/>
        <v>MMP2_HUMAN</v>
      </c>
      <c r="E524" s="2" t="s">
        <v>55</v>
      </c>
      <c r="F524" s="3" t="str">
        <f t="shared" si="115"/>
        <v>72 kDa type IV collagenase</v>
      </c>
      <c r="G524" s="4" t="str">
        <f t="shared" si="118"/>
        <v>ONO4817</v>
      </c>
      <c r="H524" s="3" t="str">
        <f>HYPERLINK("https://www.cortellis.com/drugdiscovery/entity/biomarkers/653","MMP-2-TIMP-2 complex")</f>
        <v>MMP-2-TIMP-2 complex</v>
      </c>
      <c r="I524" s="2" t="s">
        <v>57</v>
      </c>
      <c r="J524" s="2" t="s">
        <v>15</v>
      </c>
      <c r="K524" s="4" t="str">
        <f>HYPERLINK("https://www.cortellis.com/drugdiscovery/result/proxy/related-content/biomarkers/genestargets/653","matrix metallopeptidase 2")</f>
        <v>matrix metallopeptidase 2</v>
      </c>
    </row>
    <row r="525" spans="1:11" ht="60" customHeight="1" x14ac:dyDescent="0.2">
      <c r="A525" s="2">
        <v>522</v>
      </c>
      <c r="B525" s="3" t="str">
        <f t="shared" si="112"/>
        <v>MMP-2</v>
      </c>
      <c r="C525" s="3" t="str">
        <f t="shared" si="113"/>
        <v>MMP2</v>
      </c>
      <c r="D525" s="3" t="str">
        <f t="shared" si="114"/>
        <v>MMP2_HUMAN</v>
      </c>
      <c r="E525" s="2" t="s">
        <v>55</v>
      </c>
      <c r="F525" s="3" t="str">
        <f t="shared" si="115"/>
        <v>72 kDa type IV collagenase</v>
      </c>
      <c r="G525" s="4" t="str">
        <f t="shared" si="118"/>
        <v>ONO4817</v>
      </c>
      <c r="H525" s="3" t="str">
        <f>HYPERLINK("https://www.cortellis.com/drugdiscovery/entity/biomarkers/26503","3-gene polymorphism cardia cancer panel")</f>
        <v>3-gene polymorphism cardia cancer panel</v>
      </c>
      <c r="I525" s="2" t="s">
        <v>29</v>
      </c>
      <c r="J525" s="2" t="s">
        <v>19</v>
      </c>
      <c r="K525" s="4" t="str">
        <f>HYPERLINK("https://www.cortellis.com/drugdiscovery/result/proxy/related-content/biomarkers/genestargets/26503","matrix metallopeptidase 2")</f>
        <v>matrix metallopeptidase 2</v>
      </c>
    </row>
    <row r="526" spans="1:11" ht="60" customHeight="1" x14ac:dyDescent="0.2">
      <c r="A526" s="2">
        <v>523</v>
      </c>
      <c r="B526" s="3" t="str">
        <f t="shared" si="112"/>
        <v>MMP-2</v>
      </c>
      <c r="C526" s="3" t="str">
        <f t="shared" si="113"/>
        <v>MMP2</v>
      </c>
      <c r="D526" s="3" t="str">
        <f t="shared" si="114"/>
        <v>MMP2_HUMAN</v>
      </c>
      <c r="E526" s="2" t="s">
        <v>55</v>
      </c>
      <c r="F526" s="3" t="str">
        <f t="shared" si="115"/>
        <v>72 kDa type IV collagenase</v>
      </c>
      <c r="G526" s="4" t="str">
        <f t="shared" si="118"/>
        <v>ONO4817</v>
      </c>
      <c r="H526" s="3" t="str">
        <f>HYPERLINK("https://www.cortellis.com/drugdiscovery/entity/biomarkers/26754","5-protein breast cancer panel")</f>
        <v>5-protein breast cancer panel</v>
      </c>
      <c r="I526" s="2" t="s">
        <v>18</v>
      </c>
      <c r="J526" s="2" t="s">
        <v>17</v>
      </c>
      <c r="K526" s="4" t="str">
        <f>HYPERLINK("https://www.cortellis.com/drugdiscovery/result/proxy/related-content/biomarkers/genestargets/26754","matrix metallopeptidase 2")</f>
        <v>matrix metallopeptidase 2</v>
      </c>
    </row>
    <row r="527" spans="1:11" ht="60" customHeight="1" x14ac:dyDescent="0.2">
      <c r="A527" s="2">
        <v>524</v>
      </c>
      <c r="B527" s="3" t="str">
        <f t="shared" si="112"/>
        <v>MMP-2</v>
      </c>
      <c r="C527" s="3" t="str">
        <f t="shared" si="113"/>
        <v>MMP2</v>
      </c>
      <c r="D527" s="3" t="str">
        <f t="shared" si="114"/>
        <v>MMP2_HUMAN</v>
      </c>
      <c r="E527" s="2" t="s">
        <v>55</v>
      </c>
      <c r="F527" s="3" t="str">
        <f t="shared" si="115"/>
        <v>72 kDa type IV collagenase</v>
      </c>
      <c r="G527" s="4" t="str">
        <f t="shared" si="118"/>
        <v>ONO4817</v>
      </c>
      <c r="H527" s="3" t="str">
        <f>HYPERLINK("https://www.cortellis.com/drugdiscovery/entity/biomarkers/27598","89-protein neurological alzheimer's panel")</f>
        <v>89-protein neurological alzheimer's panel</v>
      </c>
      <c r="I527" s="2" t="s">
        <v>23</v>
      </c>
      <c r="J527" s="2" t="s">
        <v>17</v>
      </c>
      <c r="K527"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528" spans="1:11" ht="60" customHeight="1" x14ac:dyDescent="0.2">
      <c r="A528" s="2">
        <v>525</v>
      </c>
      <c r="B528" s="3" t="str">
        <f t="shared" si="112"/>
        <v>MMP-2</v>
      </c>
      <c r="C528" s="3" t="str">
        <f t="shared" si="113"/>
        <v>MMP2</v>
      </c>
      <c r="D528" s="3" t="str">
        <f t="shared" si="114"/>
        <v>MMP2_HUMAN</v>
      </c>
      <c r="E528" s="2" t="s">
        <v>55</v>
      </c>
      <c r="F528" s="3" t="str">
        <f t="shared" si="115"/>
        <v>72 kDa type IV collagenase</v>
      </c>
      <c r="G528" s="4" t="str">
        <f t="shared" si="118"/>
        <v>ONO4817</v>
      </c>
      <c r="H528" s="3" t="str">
        <f>HYPERLINK("https://www.cortellis.com/drugdiscovery/entity/biomarkers/28165","8-gene expression colorectal cancer panel")</f>
        <v>8-gene expression colorectal cancer panel</v>
      </c>
      <c r="I528" s="2" t="s">
        <v>18</v>
      </c>
      <c r="J528" s="2" t="s">
        <v>19</v>
      </c>
      <c r="K528" s="4" t="str">
        <f>HYPERLINK("https://www.cortellis.com/drugdiscovery/result/proxy/related-content/biomarkers/genestargets/28165","matrix metallopeptidase 2")</f>
        <v>matrix metallopeptidase 2</v>
      </c>
    </row>
    <row r="529" spans="1:11" ht="60" customHeight="1" x14ac:dyDescent="0.2">
      <c r="A529" s="2">
        <v>526</v>
      </c>
      <c r="B529" s="3" t="str">
        <f t="shared" si="112"/>
        <v>MMP-2</v>
      </c>
      <c r="C529" s="3" t="str">
        <f t="shared" si="113"/>
        <v>MMP2</v>
      </c>
      <c r="D529" s="3" t="str">
        <f t="shared" si="114"/>
        <v>MMP2_HUMAN</v>
      </c>
      <c r="E529" s="2" t="s">
        <v>55</v>
      </c>
      <c r="F529" s="3" t="str">
        <f t="shared" si="115"/>
        <v>72 kDa type IV collagenase</v>
      </c>
      <c r="G529" s="4" t="str">
        <f t="shared" si="118"/>
        <v>ONO4817</v>
      </c>
      <c r="H529" s="3" t="str">
        <f>HYPERLINK("https://www.cortellis.com/drugdiscovery/entity/biomarkers/28451","3-protein nasopharyngeal cancer panel")</f>
        <v>3-protein nasopharyngeal cancer panel</v>
      </c>
      <c r="I529" s="2" t="s">
        <v>23</v>
      </c>
      <c r="J529" s="2" t="s">
        <v>17</v>
      </c>
      <c r="K529" s="4" t="str">
        <f>HYPERLINK("https://www.cortellis.com/drugdiscovery/result/proxy/related-content/biomarkers/genestargets/28451","matrix metallopeptidase 2")</f>
        <v>matrix metallopeptidase 2</v>
      </c>
    </row>
    <row r="530" spans="1:11" ht="60" customHeight="1" x14ac:dyDescent="0.2">
      <c r="A530" s="2">
        <v>527</v>
      </c>
      <c r="B530" s="3" t="str">
        <f t="shared" si="112"/>
        <v>MMP-2</v>
      </c>
      <c r="C530" s="3" t="str">
        <f t="shared" si="113"/>
        <v>MMP2</v>
      </c>
      <c r="D530" s="3" t="str">
        <f t="shared" si="114"/>
        <v>MMP2_HUMAN</v>
      </c>
      <c r="E530" s="2" t="s">
        <v>55</v>
      </c>
      <c r="F530" s="3" t="str">
        <f t="shared" si="115"/>
        <v>72 kDa type IV collagenase</v>
      </c>
      <c r="G530" s="4" t="str">
        <f t="shared" si="118"/>
        <v>ONO4817</v>
      </c>
      <c r="H530" s="3" t="str">
        <f>HYPERLINK("https://www.cortellis.com/drugdiscovery/entity/biomarkers/29614","VeriPsych")</f>
        <v>VeriPsych</v>
      </c>
      <c r="I530" s="2" t="s">
        <v>23</v>
      </c>
      <c r="J530" s="2" t="s">
        <v>17</v>
      </c>
      <c r="K530" s="4" t="str">
        <f>HYPERLINK("https://www.cortellis.com/drugdiscovery/result/proxy/related-content/biomarkers/genestargets/29614","interleukin 7; matrix metallopeptidase 2")</f>
        <v>interleukin 7; matrix metallopeptidase 2</v>
      </c>
    </row>
    <row r="531" spans="1:11" ht="60" customHeight="1" x14ac:dyDescent="0.2">
      <c r="A531" s="2">
        <v>528</v>
      </c>
      <c r="B531" s="3" t="str">
        <f t="shared" si="112"/>
        <v>MMP-2</v>
      </c>
      <c r="C531" s="3" t="str">
        <f t="shared" si="113"/>
        <v>MMP2</v>
      </c>
      <c r="D531" s="3" t="str">
        <f t="shared" si="114"/>
        <v>MMP2_HUMAN</v>
      </c>
      <c r="E531" s="2" t="s">
        <v>55</v>
      </c>
      <c r="F531" s="3" t="str">
        <f t="shared" si="115"/>
        <v>72 kDa type IV collagenase</v>
      </c>
      <c r="G531" s="4" t="str">
        <f t="shared" si="118"/>
        <v>ONO4817</v>
      </c>
      <c r="H531" s="3" t="str">
        <f>HYPERLINK("https://www.cortellis.com/drugdiscovery/entity/biomarkers/39112","50-gene expression breast cancer panel")</f>
        <v>50-gene expression breast cancer panel</v>
      </c>
      <c r="I531" s="2" t="s">
        <v>18</v>
      </c>
      <c r="J531" s="2" t="s">
        <v>19</v>
      </c>
      <c r="K531" s="4" t="str">
        <f>HYPERLINK("https://www.cortellis.com/drugdiscovery/result/proxy/related-content/biomarkers/genestargets/39112","matrix metallopeptidase 2")</f>
        <v>matrix metallopeptidase 2</v>
      </c>
    </row>
    <row r="532" spans="1:11" ht="60" customHeight="1" x14ac:dyDescent="0.2">
      <c r="A532" s="2">
        <v>529</v>
      </c>
      <c r="B532" s="3" t="str">
        <f t="shared" si="112"/>
        <v>MMP-2</v>
      </c>
      <c r="C532" s="3" t="str">
        <f t="shared" si="113"/>
        <v>MMP2</v>
      </c>
      <c r="D532" s="3" t="str">
        <f t="shared" si="114"/>
        <v>MMP2_HUMAN</v>
      </c>
      <c r="E532" s="2" t="s">
        <v>55</v>
      </c>
      <c r="F532" s="3" t="str">
        <f t="shared" si="115"/>
        <v>72 kDa type IV collagenase</v>
      </c>
      <c r="G532" s="4" t="str">
        <f t="shared" si="118"/>
        <v>ONO4817</v>
      </c>
      <c r="H532" s="3" t="str">
        <f>HYPERLINK("https://www.cortellis.com/drugdiscovery/entity/biomarkers/43882","530-gene methylation leukemia panel")</f>
        <v>530-gene methylation leukemia panel</v>
      </c>
      <c r="I532" s="2" t="s">
        <v>25</v>
      </c>
      <c r="J532" s="2" t="s">
        <v>19</v>
      </c>
      <c r="K532" s="4" t="str">
        <f>HYPERLINK("https://www.cortellis.com/drugdiscovery/result/proxy/related-content/biomarkers/genestargets/43882","matrix metallopeptidase 2; ribonuclease A family member 3")</f>
        <v>matrix metallopeptidase 2; ribonuclease A family member 3</v>
      </c>
    </row>
    <row r="533" spans="1:11" ht="60" customHeight="1" x14ac:dyDescent="0.2">
      <c r="A533" s="2">
        <v>530</v>
      </c>
      <c r="B533" s="3" t="str">
        <f t="shared" si="112"/>
        <v>MMP-2</v>
      </c>
      <c r="C533" s="3" t="str">
        <f t="shared" si="113"/>
        <v>MMP2</v>
      </c>
      <c r="D533" s="3" t="str">
        <f t="shared" si="114"/>
        <v>MMP2_HUMAN</v>
      </c>
      <c r="E533" s="2" t="s">
        <v>55</v>
      </c>
      <c r="F533" s="3" t="str">
        <f t="shared" si="115"/>
        <v>72 kDa type IV collagenase</v>
      </c>
      <c r="G533" s="4" t="str">
        <f t="shared" si="118"/>
        <v>ONO4817</v>
      </c>
      <c r="H533" s="3" t="str">
        <f>HYPERLINK("https://www.cortellis.com/drugdiscovery/entity/biomarkers/45762","37-protein metastatic colon cancer panel")</f>
        <v>37-protein metastatic colon cancer panel</v>
      </c>
      <c r="I533" s="2" t="s">
        <v>20</v>
      </c>
      <c r="J533" s="2" t="s">
        <v>17</v>
      </c>
      <c r="K533" s="4" t="str">
        <f>HYPERLINK("https://www.cortellis.com/drugdiscovery/result/proxy/related-content/biomarkers/genestargets/45762","matrix metallopeptidase 2; matrix metallopeptidase 9")</f>
        <v>matrix metallopeptidase 2; matrix metallopeptidase 9</v>
      </c>
    </row>
    <row r="534" spans="1:11" ht="60" customHeight="1" x14ac:dyDescent="0.2">
      <c r="A534" s="2">
        <v>531</v>
      </c>
      <c r="B534" s="3" t="str">
        <f t="shared" si="112"/>
        <v>MMP-2</v>
      </c>
      <c r="C534" s="3" t="str">
        <f t="shared" si="113"/>
        <v>MMP2</v>
      </c>
      <c r="D534" s="3" t="str">
        <f t="shared" si="114"/>
        <v>MMP2_HUMAN</v>
      </c>
      <c r="E534" s="2" t="s">
        <v>55</v>
      </c>
      <c r="F534" s="3" t="str">
        <f t="shared" si="115"/>
        <v>72 kDa type IV collagenase</v>
      </c>
      <c r="G534" s="4" t="str">
        <f t="shared" si="118"/>
        <v>ONO4817</v>
      </c>
      <c r="H534" s="3" t="str">
        <f>HYPERLINK("https://www.cortellis.com/drugdiscovery/entity/biomarkers/51682","Multiplex biomarker panel")</f>
        <v>Multiplex biomarker panel</v>
      </c>
      <c r="I534" s="2" t="s">
        <v>23</v>
      </c>
      <c r="J534" s="2" t="s">
        <v>15</v>
      </c>
      <c r="K534" s="4" t="str">
        <f>HYPERLINK("https://www.cortellis.com/drugdiscovery/result/proxy/related-content/biomarkers/genestargets/51682","matrix metallopeptidase 2; matrix metallopeptidase 9")</f>
        <v>matrix metallopeptidase 2; matrix metallopeptidase 9</v>
      </c>
    </row>
    <row r="535" spans="1:11" ht="60" customHeight="1" x14ac:dyDescent="0.2">
      <c r="A535" s="2">
        <v>532</v>
      </c>
      <c r="B535" s="3" t="str">
        <f t="shared" si="112"/>
        <v>MMP-2</v>
      </c>
      <c r="C535" s="3" t="str">
        <f t="shared" si="113"/>
        <v>MMP2</v>
      </c>
      <c r="D535" s="3" t="str">
        <f t="shared" si="114"/>
        <v>MMP2_HUMAN</v>
      </c>
      <c r="E535" s="2" t="s">
        <v>55</v>
      </c>
      <c r="F535" s="3" t="str">
        <f t="shared" si="115"/>
        <v>72 kDa type IV collagenase</v>
      </c>
      <c r="G535" s="4" t="str">
        <f t="shared" si="118"/>
        <v>ONO4817</v>
      </c>
      <c r="H535" s="3" t="str">
        <f>HYPERLINK("https://www.cortellis.com/drugdiscovery/entity/biomarkers/53787","111-gene expression ovarian cancer panel")</f>
        <v>111-gene expression ovarian cancer panel</v>
      </c>
      <c r="I535" s="2" t="s">
        <v>25</v>
      </c>
      <c r="J535" s="2" t="s">
        <v>19</v>
      </c>
      <c r="K535" s="4" t="str">
        <f>HYPERLINK("https://www.cortellis.com/drugdiscovery/result/proxy/related-content/biomarkers/genestargets/53787","matrix metallopeptidase 2")</f>
        <v>matrix metallopeptidase 2</v>
      </c>
    </row>
    <row r="536" spans="1:11" ht="60" customHeight="1" x14ac:dyDescent="0.2">
      <c r="A536" s="2">
        <v>533</v>
      </c>
      <c r="B536" s="3" t="str">
        <f t="shared" si="112"/>
        <v>MMP-2</v>
      </c>
      <c r="C536" s="3" t="str">
        <f t="shared" si="113"/>
        <v>MMP2</v>
      </c>
      <c r="D536" s="3" t="str">
        <f t="shared" si="114"/>
        <v>MMP2_HUMAN</v>
      </c>
      <c r="E536" s="2" t="s">
        <v>55</v>
      </c>
      <c r="F536" s="3" t="str">
        <f t="shared" si="115"/>
        <v>72 kDa type IV collagenase</v>
      </c>
      <c r="G536" s="4" t="str">
        <f t="shared" si="118"/>
        <v>ONO4817</v>
      </c>
      <c r="H536" s="3" t="str">
        <f>HYPERLINK("https://www.cortellis.com/drugdiscovery/entity/biomarkers/56620","45-gene expression cancer panel")</f>
        <v>45-gene expression cancer panel</v>
      </c>
      <c r="I536" s="2" t="s">
        <v>18</v>
      </c>
      <c r="J536" s="2" t="s">
        <v>19</v>
      </c>
      <c r="K536" s="4" t="str">
        <f>HYPERLINK("https://www.cortellis.com/drugdiscovery/result/proxy/related-content/biomarkers/genestargets/56620","matrix metallopeptidase 2")</f>
        <v>matrix metallopeptidase 2</v>
      </c>
    </row>
    <row r="537" spans="1:11" ht="60" customHeight="1" x14ac:dyDescent="0.2">
      <c r="A537" s="2">
        <v>534</v>
      </c>
      <c r="B537" s="3" t="str">
        <f t="shared" si="112"/>
        <v>MMP-2</v>
      </c>
      <c r="C537" s="3" t="str">
        <f t="shared" si="113"/>
        <v>MMP2</v>
      </c>
      <c r="D537" s="3" t="str">
        <f t="shared" si="114"/>
        <v>MMP2_HUMAN</v>
      </c>
      <c r="E537" s="2" t="s">
        <v>55</v>
      </c>
      <c r="F537" s="3" t="str">
        <f t="shared" si="115"/>
        <v>72 kDa type IV collagenase</v>
      </c>
      <c r="G537" s="4" t="str">
        <f t="shared" si="118"/>
        <v>ONO4817</v>
      </c>
      <c r="H537" s="3" t="str">
        <f>HYPERLINK("https://www.cortellis.com/drugdiscovery/entity/biomarkers/57361","36-gene expression soft tissue sarcoma panel")</f>
        <v>36-gene expression soft tissue sarcoma panel</v>
      </c>
      <c r="I537" s="2" t="s">
        <v>25</v>
      </c>
      <c r="J537" s="2" t="s">
        <v>19</v>
      </c>
      <c r="K537" s="4" t="str">
        <f>HYPERLINK("https://www.cortellis.com/drugdiscovery/result/proxy/related-content/biomarkers/genestargets/57361","matrix metallopeptidase 2")</f>
        <v>matrix metallopeptidase 2</v>
      </c>
    </row>
    <row r="538" spans="1:11" ht="60" customHeight="1" x14ac:dyDescent="0.2">
      <c r="A538" s="2">
        <v>535</v>
      </c>
      <c r="B538" s="3" t="str">
        <f t="shared" si="112"/>
        <v>MMP-2</v>
      </c>
      <c r="C538" s="3" t="str">
        <f t="shared" si="113"/>
        <v>MMP2</v>
      </c>
      <c r="D538" s="3" t="str">
        <f t="shared" si="114"/>
        <v>MMP2_HUMAN</v>
      </c>
      <c r="E538" s="2" t="s">
        <v>55</v>
      </c>
      <c r="F538" s="3" t="str">
        <f t="shared" si="115"/>
        <v>72 kDa type IV collagenase</v>
      </c>
      <c r="G538" s="4" t="str">
        <f t="shared" si="118"/>
        <v>ONO4817</v>
      </c>
      <c r="H538" s="3" t="str">
        <f>HYPERLINK("https://www.cortellis.com/drugdiscovery/entity/biomarkers/59959","13-protein Crohn's disease panel")</f>
        <v>13-protein Crohn's disease panel</v>
      </c>
      <c r="I538" s="2" t="s">
        <v>24</v>
      </c>
      <c r="J538" s="2" t="s">
        <v>17</v>
      </c>
      <c r="K538" s="4" t="str">
        <f>HYPERLINK("https://www.cortellis.com/drugdiscovery/result/proxy/related-content/biomarkers/genestargets/59959","interleukin 7; matrix metallopeptidase 2; matrix metallopeptidase 9")</f>
        <v>interleukin 7; matrix metallopeptidase 2; matrix metallopeptidase 9</v>
      </c>
    </row>
    <row r="539" spans="1:11" ht="60" customHeight="1" x14ac:dyDescent="0.2">
      <c r="A539" s="2">
        <v>536</v>
      </c>
      <c r="B539" s="3" t="str">
        <f t="shared" si="112"/>
        <v>MMP-2</v>
      </c>
      <c r="C539" s="3" t="str">
        <f t="shared" si="113"/>
        <v>MMP2</v>
      </c>
      <c r="D539" s="3" t="str">
        <f t="shared" si="114"/>
        <v>MMP2_HUMAN</v>
      </c>
      <c r="E539" s="2" t="s">
        <v>55</v>
      </c>
      <c r="F539" s="3" t="str">
        <f t="shared" si="115"/>
        <v>72 kDa type IV collagenase</v>
      </c>
      <c r="G539" s="4" t="str">
        <f t="shared" si="118"/>
        <v>ONO4817</v>
      </c>
      <c r="H539" s="3" t="str">
        <f>HYPERLINK("https://www.cortellis.com/drugdiscovery/entity/biomarkers/64358","6-triple negative breast cancer panel")</f>
        <v>6-triple negative breast cancer panel</v>
      </c>
      <c r="I539" s="2" t="s">
        <v>18</v>
      </c>
      <c r="J539" s="2" t="s">
        <v>19</v>
      </c>
      <c r="K539" s="4" t="str">
        <f>HYPERLINK("https://www.cortellis.com/drugdiscovery/result/proxy/related-content/biomarkers/genestargets/64358","matrix metallopeptidase 2")</f>
        <v>matrix metallopeptidase 2</v>
      </c>
    </row>
    <row r="540" spans="1:11" ht="60" customHeight="1" x14ac:dyDescent="0.2">
      <c r="A540" s="2">
        <v>537</v>
      </c>
      <c r="B540" s="3" t="str">
        <f t="shared" si="112"/>
        <v>MMP-2</v>
      </c>
      <c r="C540" s="3" t="str">
        <f t="shared" si="113"/>
        <v>MMP2</v>
      </c>
      <c r="D540" s="3" t="str">
        <f t="shared" si="114"/>
        <v>MMP2_HUMAN</v>
      </c>
      <c r="E540" s="2" t="s">
        <v>55</v>
      </c>
      <c r="F540" s="3" t="str">
        <f t="shared" si="115"/>
        <v>72 kDa type IV collagenase</v>
      </c>
      <c r="G540" s="4" t="str">
        <f t="shared" ref="G540:G556" si="119">HYPERLINK("https://portal.genego.com/cgi/entity_page.cgi?term=7&amp;id=1046735388","S-3304")</f>
        <v>S-3304</v>
      </c>
      <c r="H540" s="3" t="str">
        <f>HYPERLINK("https://www.cortellis.com/drugdiscovery/entity/biomarkers/286","72 kDa type IV collagenase")</f>
        <v>72 kDa type IV collagenase</v>
      </c>
      <c r="I540" s="2" t="s">
        <v>56</v>
      </c>
      <c r="J540" s="2" t="s">
        <v>15</v>
      </c>
      <c r="K540" s="4" t="str">
        <f>HYPERLINK("https://www.cortellis.com/drugdiscovery/result/proxy/related-content/biomarkers/genestargets/286","matrix metallopeptidase 2")</f>
        <v>matrix metallopeptidase 2</v>
      </c>
    </row>
    <row r="541" spans="1:11" ht="60" customHeight="1" x14ac:dyDescent="0.2">
      <c r="A541" s="2">
        <v>538</v>
      </c>
      <c r="B541" s="3" t="str">
        <f t="shared" si="112"/>
        <v>MMP-2</v>
      </c>
      <c r="C541" s="3" t="str">
        <f t="shared" si="113"/>
        <v>MMP2</v>
      </c>
      <c r="D541" s="3" t="str">
        <f t="shared" si="114"/>
        <v>MMP2_HUMAN</v>
      </c>
      <c r="E541" s="2" t="s">
        <v>55</v>
      </c>
      <c r="F541" s="3" t="str">
        <f t="shared" si="115"/>
        <v>72 kDa type IV collagenase</v>
      </c>
      <c r="G541" s="4" t="str">
        <f t="shared" si="119"/>
        <v>S-3304</v>
      </c>
      <c r="H541" s="3" t="str">
        <f>HYPERLINK("https://www.cortellis.com/drugdiscovery/entity/biomarkers/653","MMP-2-TIMP-2 complex")</f>
        <v>MMP-2-TIMP-2 complex</v>
      </c>
      <c r="I541" s="2" t="s">
        <v>57</v>
      </c>
      <c r="J541" s="2" t="s">
        <v>15</v>
      </c>
      <c r="K541" s="4" t="str">
        <f>HYPERLINK("https://www.cortellis.com/drugdiscovery/result/proxy/related-content/biomarkers/genestargets/653","matrix metallopeptidase 2")</f>
        <v>matrix metallopeptidase 2</v>
      </c>
    </row>
    <row r="542" spans="1:11" ht="60" customHeight="1" x14ac:dyDescent="0.2">
      <c r="A542" s="2">
        <v>539</v>
      </c>
      <c r="B542" s="3" t="str">
        <f t="shared" si="112"/>
        <v>MMP-2</v>
      </c>
      <c r="C542" s="3" t="str">
        <f t="shared" si="113"/>
        <v>MMP2</v>
      </c>
      <c r="D542" s="3" t="str">
        <f t="shared" si="114"/>
        <v>MMP2_HUMAN</v>
      </c>
      <c r="E542" s="2" t="s">
        <v>55</v>
      </c>
      <c r="F542" s="3" t="str">
        <f t="shared" si="115"/>
        <v>72 kDa type IV collagenase</v>
      </c>
      <c r="G542" s="4" t="str">
        <f t="shared" si="119"/>
        <v>S-3304</v>
      </c>
      <c r="H542" s="3" t="str">
        <f>HYPERLINK("https://www.cortellis.com/drugdiscovery/entity/biomarkers/26503","3-gene polymorphism cardia cancer panel")</f>
        <v>3-gene polymorphism cardia cancer panel</v>
      </c>
      <c r="I542" s="2" t="s">
        <v>29</v>
      </c>
      <c r="J542" s="2" t="s">
        <v>19</v>
      </c>
      <c r="K542" s="4" t="str">
        <f>HYPERLINK("https://www.cortellis.com/drugdiscovery/result/proxy/related-content/biomarkers/genestargets/26503","matrix metallopeptidase 2")</f>
        <v>matrix metallopeptidase 2</v>
      </c>
    </row>
    <row r="543" spans="1:11" ht="60" customHeight="1" x14ac:dyDescent="0.2">
      <c r="A543" s="2">
        <v>540</v>
      </c>
      <c r="B543" s="3" t="str">
        <f t="shared" si="112"/>
        <v>MMP-2</v>
      </c>
      <c r="C543" s="3" t="str">
        <f t="shared" si="113"/>
        <v>MMP2</v>
      </c>
      <c r="D543" s="3" t="str">
        <f t="shared" si="114"/>
        <v>MMP2_HUMAN</v>
      </c>
      <c r="E543" s="2" t="s">
        <v>55</v>
      </c>
      <c r="F543" s="3" t="str">
        <f t="shared" si="115"/>
        <v>72 kDa type IV collagenase</v>
      </c>
      <c r="G543" s="4" t="str">
        <f t="shared" si="119"/>
        <v>S-3304</v>
      </c>
      <c r="H543" s="3" t="str">
        <f>HYPERLINK("https://www.cortellis.com/drugdiscovery/entity/biomarkers/26754","5-protein breast cancer panel")</f>
        <v>5-protein breast cancer panel</v>
      </c>
      <c r="I543" s="2" t="s">
        <v>18</v>
      </c>
      <c r="J543" s="2" t="s">
        <v>17</v>
      </c>
      <c r="K543" s="4" t="str">
        <f>HYPERLINK("https://www.cortellis.com/drugdiscovery/result/proxy/related-content/biomarkers/genestargets/26754","matrix metallopeptidase 2")</f>
        <v>matrix metallopeptidase 2</v>
      </c>
    </row>
    <row r="544" spans="1:11" ht="60" customHeight="1" x14ac:dyDescent="0.2">
      <c r="A544" s="2">
        <v>541</v>
      </c>
      <c r="B544" s="3" t="str">
        <f t="shared" si="112"/>
        <v>MMP-2</v>
      </c>
      <c r="C544" s="3" t="str">
        <f t="shared" si="113"/>
        <v>MMP2</v>
      </c>
      <c r="D544" s="3" t="str">
        <f t="shared" si="114"/>
        <v>MMP2_HUMAN</v>
      </c>
      <c r="E544" s="2" t="s">
        <v>55</v>
      </c>
      <c r="F544" s="3" t="str">
        <f t="shared" si="115"/>
        <v>72 kDa type IV collagenase</v>
      </c>
      <c r="G544" s="4" t="str">
        <f t="shared" si="119"/>
        <v>S-3304</v>
      </c>
      <c r="H544" s="3" t="str">
        <f>HYPERLINK("https://www.cortellis.com/drugdiscovery/entity/biomarkers/27598","89-protein neurological alzheimer's panel")</f>
        <v>89-protein neurological alzheimer's panel</v>
      </c>
      <c r="I544" s="2" t="s">
        <v>23</v>
      </c>
      <c r="J544" s="2" t="s">
        <v>17</v>
      </c>
      <c r="K54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545" spans="1:11" ht="60" customHeight="1" x14ac:dyDescent="0.2">
      <c r="A545" s="2">
        <v>542</v>
      </c>
      <c r="B545" s="3" t="str">
        <f t="shared" si="112"/>
        <v>MMP-2</v>
      </c>
      <c r="C545" s="3" t="str">
        <f t="shared" si="113"/>
        <v>MMP2</v>
      </c>
      <c r="D545" s="3" t="str">
        <f t="shared" si="114"/>
        <v>MMP2_HUMAN</v>
      </c>
      <c r="E545" s="2" t="s">
        <v>55</v>
      </c>
      <c r="F545" s="3" t="str">
        <f t="shared" si="115"/>
        <v>72 kDa type IV collagenase</v>
      </c>
      <c r="G545" s="4" t="str">
        <f t="shared" si="119"/>
        <v>S-3304</v>
      </c>
      <c r="H545" s="3" t="str">
        <f>HYPERLINK("https://www.cortellis.com/drugdiscovery/entity/biomarkers/28165","8-gene expression colorectal cancer panel")</f>
        <v>8-gene expression colorectal cancer panel</v>
      </c>
      <c r="I545" s="2" t="s">
        <v>18</v>
      </c>
      <c r="J545" s="2" t="s">
        <v>19</v>
      </c>
      <c r="K545" s="4" t="str">
        <f>HYPERLINK("https://www.cortellis.com/drugdiscovery/result/proxy/related-content/biomarkers/genestargets/28165","matrix metallopeptidase 2")</f>
        <v>matrix metallopeptidase 2</v>
      </c>
    </row>
    <row r="546" spans="1:11" ht="60" customHeight="1" x14ac:dyDescent="0.2">
      <c r="A546" s="2">
        <v>543</v>
      </c>
      <c r="B546" s="3" t="str">
        <f t="shared" si="112"/>
        <v>MMP-2</v>
      </c>
      <c r="C546" s="3" t="str">
        <f t="shared" si="113"/>
        <v>MMP2</v>
      </c>
      <c r="D546" s="3" t="str">
        <f t="shared" si="114"/>
        <v>MMP2_HUMAN</v>
      </c>
      <c r="E546" s="2" t="s">
        <v>55</v>
      </c>
      <c r="F546" s="3" t="str">
        <f t="shared" si="115"/>
        <v>72 kDa type IV collagenase</v>
      </c>
      <c r="G546" s="4" t="str">
        <f t="shared" si="119"/>
        <v>S-3304</v>
      </c>
      <c r="H546" s="3" t="str">
        <f>HYPERLINK("https://www.cortellis.com/drugdiscovery/entity/biomarkers/28451","3-protein nasopharyngeal cancer panel")</f>
        <v>3-protein nasopharyngeal cancer panel</v>
      </c>
      <c r="I546" s="2" t="s">
        <v>23</v>
      </c>
      <c r="J546" s="2" t="s">
        <v>17</v>
      </c>
      <c r="K546" s="4" t="str">
        <f>HYPERLINK("https://www.cortellis.com/drugdiscovery/result/proxy/related-content/biomarkers/genestargets/28451","matrix metallopeptidase 2")</f>
        <v>matrix metallopeptidase 2</v>
      </c>
    </row>
    <row r="547" spans="1:11" ht="60" customHeight="1" x14ac:dyDescent="0.2">
      <c r="A547" s="2">
        <v>544</v>
      </c>
      <c r="B547" s="3" t="str">
        <f t="shared" si="112"/>
        <v>MMP-2</v>
      </c>
      <c r="C547" s="3" t="str">
        <f t="shared" si="113"/>
        <v>MMP2</v>
      </c>
      <c r="D547" s="3" t="str">
        <f t="shared" si="114"/>
        <v>MMP2_HUMAN</v>
      </c>
      <c r="E547" s="2" t="s">
        <v>55</v>
      </c>
      <c r="F547" s="3" t="str">
        <f t="shared" si="115"/>
        <v>72 kDa type IV collagenase</v>
      </c>
      <c r="G547" s="4" t="str">
        <f t="shared" si="119"/>
        <v>S-3304</v>
      </c>
      <c r="H547" s="3" t="str">
        <f>HYPERLINK("https://www.cortellis.com/drugdiscovery/entity/biomarkers/29614","VeriPsych")</f>
        <v>VeriPsych</v>
      </c>
      <c r="I547" s="2" t="s">
        <v>23</v>
      </c>
      <c r="J547" s="2" t="s">
        <v>17</v>
      </c>
      <c r="K547" s="4" t="str">
        <f>HYPERLINK("https://www.cortellis.com/drugdiscovery/result/proxy/related-content/biomarkers/genestargets/29614","interleukin 7; matrix metallopeptidase 2")</f>
        <v>interleukin 7; matrix metallopeptidase 2</v>
      </c>
    </row>
    <row r="548" spans="1:11" ht="60" customHeight="1" x14ac:dyDescent="0.2">
      <c r="A548" s="2">
        <v>545</v>
      </c>
      <c r="B548" s="3" t="str">
        <f t="shared" si="112"/>
        <v>MMP-2</v>
      </c>
      <c r="C548" s="3" t="str">
        <f t="shared" si="113"/>
        <v>MMP2</v>
      </c>
      <c r="D548" s="3" t="str">
        <f t="shared" si="114"/>
        <v>MMP2_HUMAN</v>
      </c>
      <c r="E548" s="2" t="s">
        <v>55</v>
      </c>
      <c r="F548" s="3" t="str">
        <f t="shared" si="115"/>
        <v>72 kDa type IV collagenase</v>
      </c>
      <c r="G548" s="4" t="str">
        <f t="shared" si="119"/>
        <v>S-3304</v>
      </c>
      <c r="H548" s="3" t="str">
        <f>HYPERLINK("https://www.cortellis.com/drugdiscovery/entity/biomarkers/39112","50-gene expression breast cancer panel")</f>
        <v>50-gene expression breast cancer panel</v>
      </c>
      <c r="I548" s="2" t="s">
        <v>18</v>
      </c>
      <c r="J548" s="2" t="s">
        <v>19</v>
      </c>
      <c r="K548" s="4" t="str">
        <f>HYPERLINK("https://www.cortellis.com/drugdiscovery/result/proxy/related-content/biomarkers/genestargets/39112","matrix metallopeptidase 2")</f>
        <v>matrix metallopeptidase 2</v>
      </c>
    </row>
    <row r="549" spans="1:11" ht="60" customHeight="1" x14ac:dyDescent="0.2">
      <c r="A549" s="2">
        <v>546</v>
      </c>
      <c r="B549" s="3" t="str">
        <f t="shared" ref="B549:B573" si="120">HYPERLINK("https://portal.genego.com/cgi/entity_page.cgi?term=100&amp;id=499","MMP-2")</f>
        <v>MMP-2</v>
      </c>
      <c r="C549" s="3" t="str">
        <f t="shared" ref="C549:C590" si="121">HYPERLINK("https://portal.genego.com/cgi/entity_page.cgi?term=20&amp;id=-2123498703","MMP2")</f>
        <v>MMP2</v>
      </c>
      <c r="D549" s="3" t="str">
        <f t="shared" ref="D549:D573" si="122">HYPERLINK("https://portal.genego.com/cgi/entity_page.cgi?term=7&amp;id=144264266","MMP2_HUMAN")</f>
        <v>MMP2_HUMAN</v>
      </c>
      <c r="E549" s="2" t="s">
        <v>55</v>
      </c>
      <c r="F549" s="3" t="str">
        <f t="shared" ref="F549:F573" si="123">HYPERLINK("https://portal.genego.com/cgi/entity_page.cgi?term=100&amp;id=499","72 kDa type IV collagenase")</f>
        <v>72 kDa type IV collagenase</v>
      </c>
      <c r="G549" s="4" t="str">
        <f t="shared" si="119"/>
        <v>S-3304</v>
      </c>
      <c r="H549" s="3" t="str">
        <f>HYPERLINK("https://www.cortellis.com/drugdiscovery/entity/biomarkers/43882","530-gene methylation leukemia panel")</f>
        <v>530-gene methylation leukemia panel</v>
      </c>
      <c r="I549" s="2" t="s">
        <v>25</v>
      </c>
      <c r="J549" s="2" t="s">
        <v>19</v>
      </c>
      <c r="K549" s="4" t="str">
        <f>HYPERLINK("https://www.cortellis.com/drugdiscovery/result/proxy/related-content/biomarkers/genestargets/43882","matrix metallopeptidase 2; ribonuclease A family member 3")</f>
        <v>matrix metallopeptidase 2; ribonuclease A family member 3</v>
      </c>
    </row>
    <row r="550" spans="1:11" ht="60" customHeight="1" x14ac:dyDescent="0.2">
      <c r="A550" s="2">
        <v>547</v>
      </c>
      <c r="B550" s="3" t="str">
        <f t="shared" si="120"/>
        <v>MMP-2</v>
      </c>
      <c r="C550" s="3" t="str">
        <f t="shared" si="121"/>
        <v>MMP2</v>
      </c>
      <c r="D550" s="3" t="str">
        <f t="shared" si="122"/>
        <v>MMP2_HUMAN</v>
      </c>
      <c r="E550" s="2" t="s">
        <v>55</v>
      </c>
      <c r="F550" s="3" t="str">
        <f t="shared" si="123"/>
        <v>72 kDa type IV collagenase</v>
      </c>
      <c r="G550" s="4" t="str">
        <f t="shared" si="119"/>
        <v>S-3304</v>
      </c>
      <c r="H550" s="3" t="str">
        <f>HYPERLINK("https://www.cortellis.com/drugdiscovery/entity/biomarkers/45762","37-protein metastatic colon cancer panel")</f>
        <v>37-protein metastatic colon cancer panel</v>
      </c>
      <c r="I550" s="2" t="s">
        <v>20</v>
      </c>
      <c r="J550" s="2" t="s">
        <v>17</v>
      </c>
      <c r="K550" s="4" t="str">
        <f>HYPERLINK("https://www.cortellis.com/drugdiscovery/result/proxy/related-content/biomarkers/genestargets/45762","matrix metallopeptidase 2; matrix metallopeptidase 9")</f>
        <v>matrix metallopeptidase 2; matrix metallopeptidase 9</v>
      </c>
    </row>
    <row r="551" spans="1:11" ht="60" customHeight="1" x14ac:dyDescent="0.2">
      <c r="A551" s="2">
        <v>548</v>
      </c>
      <c r="B551" s="3" t="str">
        <f t="shared" si="120"/>
        <v>MMP-2</v>
      </c>
      <c r="C551" s="3" t="str">
        <f t="shared" si="121"/>
        <v>MMP2</v>
      </c>
      <c r="D551" s="3" t="str">
        <f t="shared" si="122"/>
        <v>MMP2_HUMAN</v>
      </c>
      <c r="E551" s="2" t="s">
        <v>55</v>
      </c>
      <c r="F551" s="3" t="str">
        <f t="shared" si="123"/>
        <v>72 kDa type IV collagenase</v>
      </c>
      <c r="G551" s="4" t="str">
        <f t="shared" si="119"/>
        <v>S-3304</v>
      </c>
      <c r="H551" s="3" t="str">
        <f>HYPERLINK("https://www.cortellis.com/drugdiscovery/entity/biomarkers/51682","Multiplex biomarker panel")</f>
        <v>Multiplex biomarker panel</v>
      </c>
      <c r="I551" s="2" t="s">
        <v>23</v>
      </c>
      <c r="J551" s="2" t="s">
        <v>15</v>
      </c>
      <c r="K551" s="4" t="str">
        <f>HYPERLINK("https://www.cortellis.com/drugdiscovery/result/proxy/related-content/biomarkers/genestargets/51682","matrix metallopeptidase 2; matrix metallopeptidase 9")</f>
        <v>matrix metallopeptidase 2; matrix metallopeptidase 9</v>
      </c>
    </row>
    <row r="552" spans="1:11" ht="60" customHeight="1" x14ac:dyDescent="0.2">
      <c r="A552" s="2">
        <v>549</v>
      </c>
      <c r="B552" s="3" t="str">
        <f t="shared" si="120"/>
        <v>MMP-2</v>
      </c>
      <c r="C552" s="3" t="str">
        <f t="shared" si="121"/>
        <v>MMP2</v>
      </c>
      <c r="D552" s="3" t="str">
        <f t="shared" si="122"/>
        <v>MMP2_HUMAN</v>
      </c>
      <c r="E552" s="2" t="s">
        <v>55</v>
      </c>
      <c r="F552" s="3" t="str">
        <f t="shared" si="123"/>
        <v>72 kDa type IV collagenase</v>
      </c>
      <c r="G552" s="4" t="str">
        <f t="shared" si="119"/>
        <v>S-3304</v>
      </c>
      <c r="H552" s="3" t="str">
        <f>HYPERLINK("https://www.cortellis.com/drugdiscovery/entity/biomarkers/53787","111-gene expression ovarian cancer panel")</f>
        <v>111-gene expression ovarian cancer panel</v>
      </c>
      <c r="I552" s="2" t="s">
        <v>25</v>
      </c>
      <c r="J552" s="2" t="s">
        <v>19</v>
      </c>
      <c r="K552" s="4" t="str">
        <f>HYPERLINK("https://www.cortellis.com/drugdiscovery/result/proxy/related-content/biomarkers/genestargets/53787","matrix metallopeptidase 2")</f>
        <v>matrix metallopeptidase 2</v>
      </c>
    </row>
    <row r="553" spans="1:11" ht="60" customHeight="1" x14ac:dyDescent="0.2">
      <c r="A553" s="2">
        <v>550</v>
      </c>
      <c r="B553" s="3" t="str">
        <f t="shared" si="120"/>
        <v>MMP-2</v>
      </c>
      <c r="C553" s="3" t="str">
        <f t="shared" si="121"/>
        <v>MMP2</v>
      </c>
      <c r="D553" s="3" t="str">
        <f t="shared" si="122"/>
        <v>MMP2_HUMAN</v>
      </c>
      <c r="E553" s="2" t="s">
        <v>55</v>
      </c>
      <c r="F553" s="3" t="str">
        <f t="shared" si="123"/>
        <v>72 kDa type IV collagenase</v>
      </c>
      <c r="G553" s="4" t="str">
        <f t="shared" si="119"/>
        <v>S-3304</v>
      </c>
      <c r="H553" s="3" t="str">
        <f>HYPERLINK("https://www.cortellis.com/drugdiscovery/entity/biomarkers/56620","45-gene expression cancer panel")</f>
        <v>45-gene expression cancer panel</v>
      </c>
      <c r="I553" s="2" t="s">
        <v>18</v>
      </c>
      <c r="J553" s="2" t="s">
        <v>19</v>
      </c>
      <c r="K553" s="4" t="str">
        <f>HYPERLINK("https://www.cortellis.com/drugdiscovery/result/proxy/related-content/biomarkers/genestargets/56620","matrix metallopeptidase 2")</f>
        <v>matrix metallopeptidase 2</v>
      </c>
    </row>
    <row r="554" spans="1:11" ht="60" customHeight="1" x14ac:dyDescent="0.2">
      <c r="A554" s="2">
        <v>551</v>
      </c>
      <c r="B554" s="3" t="str">
        <f t="shared" si="120"/>
        <v>MMP-2</v>
      </c>
      <c r="C554" s="3" t="str">
        <f t="shared" si="121"/>
        <v>MMP2</v>
      </c>
      <c r="D554" s="3" t="str">
        <f t="shared" si="122"/>
        <v>MMP2_HUMAN</v>
      </c>
      <c r="E554" s="2" t="s">
        <v>55</v>
      </c>
      <c r="F554" s="3" t="str">
        <f t="shared" si="123"/>
        <v>72 kDa type IV collagenase</v>
      </c>
      <c r="G554" s="4" t="str">
        <f t="shared" si="119"/>
        <v>S-3304</v>
      </c>
      <c r="H554" s="3" t="str">
        <f>HYPERLINK("https://www.cortellis.com/drugdiscovery/entity/biomarkers/57361","36-gene expression soft tissue sarcoma panel")</f>
        <v>36-gene expression soft tissue sarcoma panel</v>
      </c>
      <c r="I554" s="2" t="s">
        <v>25</v>
      </c>
      <c r="J554" s="2" t="s">
        <v>19</v>
      </c>
      <c r="K554" s="4" t="str">
        <f>HYPERLINK("https://www.cortellis.com/drugdiscovery/result/proxy/related-content/biomarkers/genestargets/57361","matrix metallopeptidase 2")</f>
        <v>matrix metallopeptidase 2</v>
      </c>
    </row>
    <row r="555" spans="1:11" ht="60" customHeight="1" x14ac:dyDescent="0.2">
      <c r="A555" s="2">
        <v>552</v>
      </c>
      <c r="B555" s="3" t="str">
        <f t="shared" si="120"/>
        <v>MMP-2</v>
      </c>
      <c r="C555" s="3" t="str">
        <f t="shared" si="121"/>
        <v>MMP2</v>
      </c>
      <c r="D555" s="3" t="str">
        <f t="shared" si="122"/>
        <v>MMP2_HUMAN</v>
      </c>
      <c r="E555" s="2" t="s">
        <v>55</v>
      </c>
      <c r="F555" s="3" t="str">
        <f t="shared" si="123"/>
        <v>72 kDa type IV collagenase</v>
      </c>
      <c r="G555" s="4" t="str">
        <f t="shared" si="119"/>
        <v>S-3304</v>
      </c>
      <c r="H555" s="3" t="str">
        <f>HYPERLINK("https://www.cortellis.com/drugdiscovery/entity/biomarkers/59959","13-protein Crohn's disease panel")</f>
        <v>13-protein Crohn's disease panel</v>
      </c>
      <c r="I555" s="2" t="s">
        <v>24</v>
      </c>
      <c r="J555" s="2" t="s">
        <v>17</v>
      </c>
      <c r="K555" s="4" t="str">
        <f>HYPERLINK("https://www.cortellis.com/drugdiscovery/result/proxy/related-content/biomarkers/genestargets/59959","interleukin 7; matrix metallopeptidase 2; matrix metallopeptidase 9")</f>
        <v>interleukin 7; matrix metallopeptidase 2; matrix metallopeptidase 9</v>
      </c>
    </row>
    <row r="556" spans="1:11" ht="60" customHeight="1" x14ac:dyDescent="0.2">
      <c r="A556" s="2">
        <v>553</v>
      </c>
      <c r="B556" s="3" t="str">
        <f t="shared" si="120"/>
        <v>MMP-2</v>
      </c>
      <c r="C556" s="3" t="str">
        <f t="shared" si="121"/>
        <v>MMP2</v>
      </c>
      <c r="D556" s="3" t="str">
        <f t="shared" si="122"/>
        <v>MMP2_HUMAN</v>
      </c>
      <c r="E556" s="2" t="s">
        <v>55</v>
      </c>
      <c r="F556" s="3" t="str">
        <f t="shared" si="123"/>
        <v>72 kDa type IV collagenase</v>
      </c>
      <c r="G556" s="4" t="str">
        <f t="shared" si="119"/>
        <v>S-3304</v>
      </c>
      <c r="H556" s="3" t="str">
        <f>HYPERLINK("https://www.cortellis.com/drugdiscovery/entity/biomarkers/64358","6-triple negative breast cancer panel")</f>
        <v>6-triple negative breast cancer panel</v>
      </c>
      <c r="I556" s="2" t="s">
        <v>18</v>
      </c>
      <c r="J556" s="2" t="s">
        <v>19</v>
      </c>
      <c r="K556" s="4" t="str">
        <f>HYPERLINK("https://www.cortellis.com/drugdiscovery/result/proxy/related-content/biomarkers/genestargets/64358","matrix metallopeptidase 2")</f>
        <v>matrix metallopeptidase 2</v>
      </c>
    </row>
    <row r="557" spans="1:11" ht="60" customHeight="1" x14ac:dyDescent="0.2">
      <c r="A557" s="2">
        <v>554</v>
      </c>
      <c r="B557" s="3" t="str">
        <f t="shared" si="120"/>
        <v>MMP-2</v>
      </c>
      <c r="C557" s="3" t="str">
        <f t="shared" si="121"/>
        <v>MMP2</v>
      </c>
      <c r="D557" s="3" t="str">
        <f t="shared" si="122"/>
        <v>MMP2_HUMAN</v>
      </c>
      <c r="E557" s="2" t="s">
        <v>55</v>
      </c>
      <c r="F557" s="3" t="str">
        <f t="shared" si="123"/>
        <v>72 kDa type IV collagenase</v>
      </c>
      <c r="G557" s="4" t="str">
        <f t="shared" ref="G557:G573" si="124">HYPERLINK("https://portal.genego.com/cgi/entity_page.cgi?term=7&amp;id=1579572486","Rebimastat")</f>
        <v>Rebimastat</v>
      </c>
      <c r="H557" s="3" t="str">
        <f>HYPERLINK("https://www.cortellis.com/drugdiscovery/entity/biomarkers/286","72 kDa type IV collagenase")</f>
        <v>72 kDa type IV collagenase</v>
      </c>
      <c r="I557" s="2" t="s">
        <v>56</v>
      </c>
      <c r="J557" s="2" t="s">
        <v>15</v>
      </c>
      <c r="K557" s="4" t="str">
        <f>HYPERLINK("https://www.cortellis.com/drugdiscovery/result/proxy/related-content/biomarkers/genestargets/286","matrix metallopeptidase 2")</f>
        <v>matrix metallopeptidase 2</v>
      </c>
    </row>
    <row r="558" spans="1:11" ht="60" customHeight="1" x14ac:dyDescent="0.2">
      <c r="A558" s="2">
        <v>555</v>
      </c>
      <c r="B558" s="3" t="str">
        <f t="shared" si="120"/>
        <v>MMP-2</v>
      </c>
      <c r="C558" s="3" t="str">
        <f t="shared" si="121"/>
        <v>MMP2</v>
      </c>
      <c r="D558" s="3" t="str">
        <f t="shared" si="122"/>
        <v>MMP2_HUMAN</v>
      </c>
      <c r="E558" s="2" t="s">
        <v>55</v>
      </c>
      <c r="F558" s="3" t="str">
        <f t="shared" si="123"/>
        <v>72 kDa type IV collagenase</v>
      </c>
      <c r="G558" s="4" t="str">
        <f t="shared" si="124"/>
        <v>Rebimastat</v>
      </c>
      <c r="H558" s="3" t="str">
        <f>HYPERLINK("https://www.cortellis.com/drugdiscovery/entity/biomarkers/653","MMP-2-TIMP-2 complex")</f>
        <v>MMP-2-TIMP-2 complex</v>
      </c>
      <c r="I558" s="2" t="s">
        <v>57</v>
      </c>
      <c r="J558" s="2" t="s">
        <v>15</v>
      </c>
      <c r="K558" s="4" t="str">
        <f>HYPERLINK("https://www.cortellis.com/drugdiscovery/result/proxy/related-content/biomarkers/genestargets/653","matrix metallopeptidase 2")</f>
        <v>matrix metallopeptidase 2</v>
      </c>
    </row>
    <row r="559" spans="1:11" ht="60" customHeight="1" x14ac:dyDescent="0.2">
      <c r="A559" s="2">
        <v>556</v>
      </c>
      <c r="B559" s="3" t="str">
        <f t="shared" si="120"/>
        <v>MMP-2</v>
      </c>
      <c r="C559" s="3" t="str">
        <f t="shared" si="121"/>
        <v>MMP2</v>
      </c>
      <c r="D559" s="3" t="str">
        <f t="shared" si="122"/>
        <v>MMP2_HUMAN</v>
      </c>
      <c r="E559" s="2" t="s">
        <v>55</v>
      </c>
      <c r="F559" s="3" t="str">
        <f t="shared" si="123"/>
        <v>72 kDa type IV collagenase</v>
      </c>
      <c r="G559" s="4" t="str">
        <f t="shared" si="124"/>
        <v>Rebimastat</v>
      </c>
      <c r="H559" s="3" t="str">
        <f>HYPERLINK("https://www.cortellis.com/drugdiscovery/entity/biomarkers/26503","3-gene polymorphism cardia cancer panel")</f>
        <v>3-gene polymorphism cardia cancer panel</v>
      </c>
      <c r="I559" s="2" t="s">
        <v>29</v>
      </c>
      <c r="J559" s="2" t="s">
        <v>19</v>
      </c>
      <c r="K559" s="4" t="str">
        <f>HYPERLINK("https://www.cortellis.com/drugdiscovery/result/proxy/related-content/biomarkers/genestargets/26503","matrix metallopeptidase 2")</f>
        <v>matrix metallopeptidase 2</v>
      </c>
    </row>
    <row r="560" spans="1:11" ht="60" customHeight="1" x14ac:dyDescent="0.2">
      <c r="A560" s="2">
        <v>557</v>
      </c>
      <c r="B560" s="3" t="str">
        <f t="shared" si="120"/>
        <v>MMP-2</v>
      </c>
      <c r="C560" s="3" t="str">
        <f t="shared" si="121"/>
        <v>MMP2</v>
      </c>
      <c r="D560" s="3" t="str">
        <f t="shared" si="122"/>
        <v>MMP2_HUMAN</v>
      </c>
      <c r="E560" s="2" t="s">
        <v>55</v>
      </c>
      <c r="F560" s="3" t="str">
        <f t="shared" si="123"/>
        <v>72 kDa type IV collagenase</v>
      </c>
      <c r="G560" s="4" t="str">
        <f t="shared" si="124"/>
        <v>Rebimastat</v>
      </c>
      <c r="H560" s="3" t="str">
        <f>HYPERLINK("https://www.cortellis.com/drugdiscovery/entity/biomarkers/26754","5-protein breast cancer panel")</f>
        <v>5-protein breast cancer panel</v>
      </c>
      <c r="I560" s="2" t="s">
        <v>18</v>
      </c>
      <c r="J560" s="2" t="s">
        <v>17</v>
      </c>
      <c r="K560" s="4" t="str">
        <f>HYPERLINK("https://www.cortellis.com/drugdiscovery/result/proxy/related-content/biomarkers/genestargets/26754","matrix metallopeptidase 2")</f>
        <v>matrix metallopeptidase 2</v>
      </c>
    </row>
    <row r="561" spans="1:11" ht="60" customHeight="1" x14ac:dyDescent="0.2">
      <c r="A561" s="2">
        <v>558</v>
      </c>
      <c r="B561" s="3" t="str">
        <f t="shared" si="120"/>
        <v>MMP-2</v>
      </c>
      <c r="C561" s="3" t="str">
        <f t="shared" si="121"/>
        <v>MMP2</v>
      </c>
      <c r="D561" s="3" t="str">
        <f t="shared" si="122"/>
        <v>MMP2_HUMAN</v>
      </c>
      <c r="E561" s="2" t="s">
        <v>55</v>
      </c>
      <c r="F561" s="3" t="str">
        <f t="shared" si="123"/>
        <v>72 kDa type IV collagenase</v>
      </c>
      <c r="G561" s="4" t="str">
        <f t="shared" si="124"/>
        <v>Rebimastat</v>
      </c>
      <c r="H561" s="3" t="str">
        <f>HYPERLINK("https://www.cortellis.com/drugdiscovery/entity/biomarkers/27598","89-protein neurological alzheimer's panel")</f>
        <v>89-protein neurological alzheimer's panel</v>
      </c>
      <c r="I561" s="2" t="s">
        <v>23</v>
      </c>
      <c r="J561" s="2" t="s">
        <v>17</v>
      </c>
      <c r="K561"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562" spans="1:11" ht="60" customHeight="1" x14ac:dyDescent="0.2">
      <c r="A562" s="2">
        <v>559</v>
      </c>
      <c r="B562" s="3" t="str">
        <f t="shared" si="120"/>
        <v>MMP-2</v>
      </c>
      <c r="C562" s="3" t="str">
        <f t="shared" si="121"/>
        <v>MMP2</v>
      </c>
      <c r="D562" s="3" t="str">
        <f t="shared" si="122"/>
        <v>MMP2_HUMAN</v>
      </c>
      <c r="E562" s="2" t="s">
        <v>55</v>
      </c>
      <c r="F562" s="3" t="str">
        <f t="shared" si="123"/>
        <v>72 kDa type IV collagenase</v>
      </c>
      <c r="G562" s="4" t="str">
        <f t="shared" si="124"/>
        <v>Rebimastat</v>
      </c>
      <c r="H562" s="3" t="str">
        <f>HYPERLINK("https://www.cortellis.com/drugdiscovery/entity/biomarkers/28165","8-gene expression colorectal cancer panel")</f>
        <v>8-gene expression colorectal cancer panel</v>
      </c>
      <c r="I562" s="2" t="s">
        <v>18</v>
      </c>
      <c r="J562" s="2" t="s">
        <v>19</v>
      </c>
      <c r="K562" s="4" t="str">
        <f>HYPERLINK("https://www.cortellis.com/drugdiscovery/result/proxy/related-content/biomarkers/genestargets/28165","matrix metallopeptidase 2")</f>
        <v>matrix metallopeptidase 2</v>
      </c>
    </row>
    <row r="563" spans="1:11" ht="60" customHeight="1" x14ac:dyDescent="0.2">
      <c r="A563" s="2">
        <v>560</v>
      </c>
      <c r="B563" s="3" t="str">
        <f t="shared" si="120"/>
        <v>MMP-2</v>
      </c>
      <c r="C563" s="3" t="str">
        <f t="shared" si="121"/>
        <v>MMP2</v>
      </c>
      <c r="D563" s="3" t="str">
        <f t="shared" si="122"/>
        <v>MMP2_HUMAN</v>
      </c>
      <c r="E563" s="2" t="s">
        <v>55</v>
      </c>
      <c r="F563" s="3" t="str">
        <f t="shared" si="123"/>
        <v>72 kDa type IV collagenase</v>
      </c>
      <c r="G563" s="4" t="str">
        <f t="shared" si="124"/>
        <v>Rebimastat</v>
      </c>
      <c r="H563" s="3" t="str">
        <f>HYPERLINK("https://www.cortellis.com/drugdiscovery/entity/biomarkers/28451","3-protein nasopharyngeal cancer panel")</f>
        <v>3-protein nasopharyngeal cancer panel</v>
      </c>
      <c r="I563" s="2" t="s">
        <v>23</v>
      </c>
      <c r="J563" s="2" t="s">
        <v>17</v>
      </c>
      <c r="K563" s="4" t="str">
        <f>HYPERLINK("https://www.cortellis.com/drugdiscovery/result/proxy/related-content/biomarkers/genestargets/28451","matrix metallopeptidase 2")</f>
        <v>matrix metallopeptidase 2</v>
      </c>
    </row>
    <row r="564" spans="1:11" ht="60" customHeight="1" x14ac:dyDescent="0.2">
      <c r="A564" s="2">
        <v>561</v>
      </c>
      <c r="B564" s="3" t="str">
        <f t="shared" si="120"/>
        <v>MMP-2</v>
      </c>
      <c r="C564" s="3" t="str">
        <f t="shared" si="121"/>
        <v>MMP2</v>
      </c>
      <c r="D564" s="3" t="str">
        <f t="shared" si="122"/>
        <v>MMP2_HUMAN</v>
      </c>
      <c r="E564" s="2" t="s">
        <v>55</v>
      </c>
      <c r="F564" s="3" t="str">
        <f t="shared" si="123"/>
        <v>72 kDa type IV collagenase</v>
      </c>
      <c r="G564" s="4" t="str">
        <f t="shared" si="124"/>
        <v>Rebimastat</v>
      </c>
      <c r="H564" s="3" t="str">
        <f>HYPERLINK("https://www.cortellis.com/drugdiscovery/entity/biomarkers/29614","VeriPsych")</f>
        <v>VeriPsych</v>
      </c>
      <c r="I564" s="2" t="s">
        <v>23</v>
      </c>
      <c r="J564" s="2" t="s">
        <v>17</v>
      </c>
      <c r="K564" s="4" t="str">
        <f>HYPERLINK("https://www.cortellis.com/drugdiscovery/result/proxy/related-content/biomarkers/genestargets/29614","interleukin 7; matrix metallopeptidase 2")</f>
        <v>interleukin 7; matrix metallopeptidase 2</v>
      </c>
    </row>
    <row r="565" spans="1:11" ht="60" customHeight="1" x14ac:dyDescent="0.2">
      <c r="A565" s="2">
        <v>562</v>
      </c>
      <c r="B565" s="3" t="str">
        <f t="shared" si="120"/>
        <v>MMP-2</v>
      </c>
      <c r="C565" s="3" t="str">
        <f t="shared" si="121"/>
        <v>MMP2</v>
      </c>
      <c r="D565" s="3" t="str">
        <f t="shared" si="122"/>
        <v>MMP2_HUMAN</v>
      </c>
      <c r="E565" s="2" t="s">
        <v>55</v>
      </c>
      <c r="F565" s="3" t="str">
        <f t="shared" si="123"/>
        <v>72 kDa type IV collagenase</v>
      </c>
      <c r="G565" s="4" t="str">
        <f t="shared" si="124"/>
        <v>Rebimastat</v>
      </c>
      <c r="H565" s="3" t="str">
        <f>HYPERLINK("https://www.cortellis.com/drugdiscovery/entity/biomarkers/39112","50-gene expression breast cancer panel")</f>
        <v>50-gene expression breast cancer panel</v>
      </c>
      <c r="I565" s="2" t="s">
        <v>18</v>
      </c>
      <c r="J565" s="2" t="s">
        <v>19</v>
      </c>
      <c r="K565" s="4" t="str">
        <f>HYPERLINK("https://www.cortellis.com/drugdiscovery/result/proxy/related-content/biomarkers/genestargets/39112","matrix metallopeptidase 2")</f>
        <v>matrix metallopeptidase 2</v>
      </c>
    </row>
    <row r="566" spans="1:11" ht="60" customHeight="1" x14ac:dyDescent="0.2">
      <c r="A566" s="2">
        <v>563</v>
      </c>
      <c r="B566" s="3" t="str">
        <f t="shared" si="120"/>
        <v>MMP-2</v>
      </c>
      <c r="C566" s="3" t="str">
        <f t="shared" si="121"/>
        <v>MMP2</v>
      </c>
      <c r="D566" s="3" t="str">
        <f t="shared" si="122"/>
        <v>MMP2_HUMAN</v>
      </c>
      <c r="E566" s="2" t="s">
        <v>55</v>
      </c>
      <c r="F566" s="3" t="str">
        <f t="shared" si="123"/>
        <v>72 kDa type IV collagenase</v>
      </c>
      <c r="G566" s="4" t="str">
        <f t="shared" si="124"/>
        <v>Rebimastat</v>
      </c>
      <c r="H566" s="3" t="str">
        <f>HYPERLINK("https://www.cortellis.com/drugdiscovery/entity/biomarkers/43882","530-gene methylation leukemia panel")</f>
        <v>530-gene methylation leukemia panel</v>
      </c>
      <c r="I566" s="2" t="s">
        <v>25</v>
      </c>
      <c r="J566" s="2" t="s">
        <v>19</v>
      </c>
      <c r="K566" s="4" t="str">
        <f>HYPERLINK("https://www.cortellis.com/drugdiscovery/result/proxy/related-content/biomarkers/genestargets/43882","matrix metallopeptidase 2; ribonuclease A family member 3")</f>
        <v>matrix metallopeptidase 2; ribonuclease A family member 3</v>
      </c>
    </row>
    <row r="567" spans="1:11" ht="60" customHeight="1" x14ac:dyDescent="0.2">
      <c r="A567" s="2">
        <v>564</v>
      </c>
      <c r="B567" s="3" t="str">
        <f t="shared" si="120"/>
        <v>MMP-2</v>
      </c>
      <c r="C567" s="3" t="str">
        <f t="shared" si="121"/>
        <v>MMP2</v>
      </c>
      <c r="D567" s="3" t="str">
        <f t="shared" si="122"/>
        <v>MMP2_HUMAN</v>
      </c>
      <c r="E567" s="2" t="s">
        <v>55</v>
      </c>
      <c r="F567" s="3" t="str">
        <f t="shared" si="123"/>
        <v>72 kDa type IV collagenase</v>
      </c>
      <c r="G567" s="4" t="str">
        <f t="shared" si="124"/>
        <v>Rebimastat</v>
      </c>
      <c r="H567" s="3" t="str">
        <f>HYPERLINK("https://www.cortellis.com/drugdiscovery/entity/biomarkers/45762","37-protein metastatic colon cancer panel")</f>
        <v>37-protein metastatic colon cancer panel</v>
      </c>
      <c r="I567" s="2" t="s">
        <v>20</v>
      </c>
      <c r="J567" s="2" t="s">
        <v>17</v>
      </c>
      <c r="K567" s="4" t="str">
        <f>HYPERLINK("https://www.cortellis.com/drugdiscovery/result/proxy/related-content/biomarkers/genestargets/45762","matrix metallopeptidase 2; matrix metallopeptidase 9")</f>
        <v>matrix metallopeptidase 2; matrix metallopeptidase 9</v>
      </c>
    </row>
    <row r="568" spans="1:11" ht="60" customHeight="1" x14ac:dyDescent="0.2">
      <c r="A568" s="2">
        <v>565</v>
      </c>
      <c r="B568" s="3" t="str">
        <f t="shared" si="120"/>
        <v>MMP-2</v>
      </c>
      <c r="C568" s="3" t="str">
        <f t="shared" si="121"/>
        <v>MMP2</v>
      </c>
      <c r="D568" s="3" t="str">
        <f t="shared" si="122"/>
        <v>MMP2_HUMAN</v>
      </c>
      <c r="E568" s="2" t="s">
        <v>55</v>
      </c>
      <c r="F568" s="3" t="str">
        <f t="shared" si="123"/>
        <v>72 kDa type IV collagenase</v>
      </c>
      <c r="G568" s="4" t="str">
        <f t="shared" si="124"/>
        <v>Rebimastat</v>
      </c>
      <c r="H568" s="3" t="str">
        <f>HYPERLINK("https://www.cortellis.com/drugdiscovery/entity/biomarkers/51682","Multiplex biomarker panel")</f>
        <v>Multiplex biomarker panel</v>
      </c>
      <c r="I568" s="2" t="s">
        <v>23</v>
      </c>
      <c r="J568" s="2" t="s">
        <v>15</v>
      </c>
      <c r="K568" s="4" t="str">
        <f>HYPERLINK("https://www.cortellis.com/drugdiscovery/result/proxy/related-content/biomarkers/genestargets/51682","matrix metallopeptidase 2; matrix metallopeptidase 9")</f>
        <v>matrix metallopeptidase 2; matrix metallopeptidase 9</v>
      </c>
    </row>
    <row r="569" spans="1:11" ht="60" customHeight="1" x14ac:dyDescent="0.2">
      <c r="A569" s="2">
        <v>566</v>
      </c>
      <c r="B569" s="3" t="str">
        <f t="shared" si="120"/>
        <v>MMP-2</v>
      </c>
      <c r="C569" s="3" t="str">
        <f t="shared" si="121"/>
        <v>MMP2</v>
      </c>
      <c r="D569" s="3" t="str">
        <f t="shared" si="122"/>
        <v>MMP2_HUMAN</v>
      </c>
      <c r="E569" s="2" t="s">
        <v>55</v>
      </c>
      <c r="F569" s="3" t="str">
        <f t="shared" si="123"/>
        <v>72 kDa type IV collagenase</v>
      </c>
      <c r="G569" s="4" t="str">
        <f t="shared" si="124"/>
        <v>Rebimastat</v>
      </c>
      <c r="H569" s="3" t="str">
        <f>HYPERLINK("https://www.cortellis.com/drugdiscovery/entity/biomarkers/53787","111-gene expression ovarian cancer panel")</f>
        <v>111-gene expression ovarian cancer panel</v>
      </c>
      <c r="I569" s="2" t="s">
        <v>25</v>
      </c>
      <c r="J569" s="2" t="s">
        <v>19</v>
      </c>
      <c r="K569" s="4" t="str">
        <f>HYPERLINK("https://www.cortellis.com/drugdiscovery/result/proxy/related-content/biomarkers/genestargets/53787","matrix metallopeptidase 2")</f>
        <v>matrix metallopeptidase 2</v>
      </c>
    </row>
    <row r="570" spans="1:11" ht="60" customHeight="1" x14ac:dyDescent="0.2">
      <c r="A570" s="2">
        <v>567</v>
      </c>
      <c r="B570" s="3" t="str">
        <f t="shared" si="120"/>
        <v>MMP-2</v>
      </c>
      <c r="C570" s="3" t="str">
        <f t="shared" si="121"/>
        <v>MMP2</v>
      </c>
      <c r="D570" s="3" t="str">
        <f t="shared" si="122"/>
        <v>MMP2_HUMAN</v>
      </c>
      <c r="E570" s="2" t="s">
        <v>55</v>
      </c>
      <c r="F570" s="3" t="str">
        <f t="shared" si="123"/>
        <v>72 kDa type IV collagenase</v>
      </c>
      <c r="G570" s="4" t="str">
        <f t="shared" si="124"/>
        <v>Rebimastat</v>
      </c>
      <c r="H570" s="3" t="str">
        <f>HYPERLINK("https://www.cortellis.com/drugdiscovery/entity/biomarkers/56620","45-gene expression cancer panel")</f>
        <v>45-gene expression cancer panel</v>
      </c>
      <c r="I570" s="2" t="s">
        <v>18</v>
      </c>
      <c r="J570" s="2" t="s">
        <v>19</v>
      </c>
      <c r="K570" s="4" t="str">
        <f>HYPERLINK("https://www.cortellis.com/drugdiscovery/result/proxy/related-content/biomarkers/genestargets/56620","matrix metallopeptidase 2")</f>
        <v>matrix metallopeptidase 2</v>
      </c>
    </row>
    <row r="571" spans="1:11" ht="60" customHeight="1" x14ac:dyDescent="0.2">
      <c r="A571" s="2">
        <v>568</v>
      </c>
      <c r="B571" s="3" t="str">
        <f t="shared" si="120"/>
        <v>MMP-2</v>
      </c>
      <c r="C571" s="3" t="str">
        <f t="shared" si="121"/>
        <v>MMP2</v>
      </c>
      <c r="D571" s="3" t="str">
        <f t="shared" si="122"/>
        <v>MMP2_HUMAN</v>
      </c>
      <c r="E571" s="2" t="s">
        <v>55</v>
      </c>
      <c r="F571" s="3" t="str">
        <f t="shared" si="123"/>
        <v>72 kDa type IV collagenase</v>
      </c>
      <c r="G571" s="4" t="str">
        <f t="shared" si="124"/>
        <v>Rebimastat</v>
      </c>
      <c r="H571" s="3" t="str">
        <f>HYPERLINK("https://www.cortellis.com/drugdiscovery/entity/biomarkers/57361","36-gene expression soft tissue sarcoma panel")</f>
        <v>36-gene expression soft tissue sarcoma panel</v>
      </c>
      <c r="I571" s="2" t="s">
        <v>25</v>
      </c>
      <c r="J571" s="2" t="s">
        <v>19</v>
      </c>
      <c r="K571" s="4" t="str">
        <f>HYPERLINK("https://www.cortellis.com/drugdiscovery/result/proxy/related-content/biomarkers/genestargets/57361","matrix metallopeptidase 2")</f>
        <v>matrix metallopeptidase 2</v>
      </c>
    </row>
    <row r="572" spans="1:11" ht="60" customHeight="1" x14ac:dyDescent="0.2">
      <c r="A572" s="2">
        <v>569</v>
      </c>
      <c r="B572" s="3" t="str">
        <f t="shared" si="120"/>
        <v>MMP-2</v>
      </c>
      <c r="C572" s="3" t="str">
        <f t="shared" si="121"/>
        <v>MMP2</v>
      </c>
      <c r="D572" s="3" t="str">
        <f t="shared" si="122"/>
        <v>MMP2_HUMAN</v>
      </c>
      <c r="E572" s="2" t="s">
        <v>55</v>
      </c>
      <c r="F572" s="3" t="str">
        <f t="shared" si="123"/>
        <v>72 kDa type IV collagenase</v>
      </c>
      <c r="G572" s="4" t="str">
        <f t="shared" si="124"/>
        <v>Rebimastat</v>
      </c>
      <c r="H572" s="3" t="str">
        <f>HYPERLINK("https://www.cortellis.com/drugdiscovery/entity/biomarkers/59959","13-protein Crohn's disease panel")</f>
        <v>13-protein Crohn's disease panel</v>
      </c>
      <c r="I572" s="2" t="s">
        <v>24</v>
      </c>
      <c r="J572" s="2" t="s">
        <v>17</v>
      </c>
      <c r="K572" s="4" t="str">
        <f>HYPERLINK("https://www.cortellis.com/drugdiscovery/result/proxy/related-content/biomarkers/genestargets/59959","interleukin 7; matrix metallopeptidase 2; matrix metallopeptidase 9")</f>
        <v>interleukin 7; matrix metallopeptidase 2; matrix metallopeptidase 9</v>
      </c>
    </row>
    <row r="573" spans="1:11" ht="60" customHeight="1" x14ac:dyDescent="0.2">
      <c r="A573" s="2">
        <v>570</v>
      </c>
      <c r="B573" s="3" t="str">
        <f t="shared" si="120"/>
        <v>MMP-2</v>
      </c>
      <c r="C573" s="3" t="str">
        <f t="shared" si="121"/>
        <v>MMP2</v>
      </c>
      <c r="D573" s="3" t="str">
        <f t="shared" si="122"/>
        <v>MMP2_HUMAN</v>
      </c>
      <c r="E573" s="2" t="s">
        <v>55</v>
      </c>
      <c r="F573" s="3" t="str">
        <f t="shared" si="123"/>
        <v>72 kDa type IV collagenase</v>
      </c>
      <c r="G573" s="4" t="str">
        <f t="shared" si="124"/>
        <v>Rebimastat</v>
      </c>
      <c r="H573" s="3" t="str">
        <f>HYPERLINK("https://www.cortellis.com/drugdiscovery/entity/biomarkers/64358","6-triple negative breast cancer panel")</f>
        <v>6-triple negative breast cancer panel</v>
      </c>
      <c r="I573" s="2" t="s">
        <v>18</v>
      </c>
      <c r="J573" s="2" t="s">
        <v>19</v>
      </c>
      <c r="K573" s="4" t="str">
        <f>HYPERLINK("https://www.cortellis.com/drugdiscovery/result/proxy/related-content/biomarkers/genestargets/64358","matrix metallopeptidase 2")</f>
        <v>matrix metallopeptidase 2</v>
      </c>
    </row>
    <row r="574" spans="1:11" ht="60" customHeight="1" x14ac:dyDescent="0.2">
      <c r="A574" s="2">
        <v>571</v>
      </c>
      <c r="B574" s="3" t="str">
        <f t="shared" ref="B574:B590" si="125">HYPERLINK("https://portal.genego.com/cgi/entity_page.cgi?term=100&amp;id=-649208826","MMP-2 (62kDa)")</f>
        <v>MMP-2 (62kDa)</v>
      </c>
      <c r="C574" s="3" t="str">
        <f t="shared" si="121"/>
        <v>MMP2</v>
      </c>
      <c r="D574" s="3" t="str">
        <f t="shared" ref="D574:D590" si="126">HYPERLINK("https://portal.genego.com/cgi/entity_page.cgi?term=7&amp;id=1065551843","MMP2(62kDa)_(HUMAN)")</f>
        <v>MMP2(62kDa)_(HUMAN)</v>
      </c>
      <c r="E574" s="2" t="s">
        <v>55</v>
      </c>
      <c r="F574" s="3" t="str">
        <f t="shared" ref="F574:F590" si="127">HYPERLINK("https://portal.genego.com/cgi/entity_page.cgi?term=100&amp;id=-649208826","MMP2 62kDa active form")</f>
        <v>MMP2 62kDa active form</v>
      </c>
      <c r="G574" s="4"/>
      <c r="H574" s="3" t="str">
        <f>HYPERLINK("https://www.cortellis.com/drugdiscovery/entity/biomarkers/286","72 kDa type IV collagenase")</f>
        <v>72 kDa type IV collagenase</v>
      </c>
      <c r="I574" s="2" t="s">
        <v>56</v>
      </c>
      <c r="J574" s="2" t="s">
        <v>15</v>
      </c>
      <c r="K574" s="4" t="str">
        <f>HYPERLINK("https://www.cortellis.com/drugdiscovery/result/proxy/related-content/biomarkers/genestargets/286","matrix metallopeptidase 2")</f>
        <v>matrix metallopeptidase 2</v>
      </c>
    </row>
    <row r="575" spans="1:11" ht="60" customHeight="1" x14ac:dyDescent="0.2">
      <c r="A575" s="2">
        <v>572</v>
      </c>
      <c r="B575" s="3" t="str">
        <f t="shared" si="125"/>
        <v>MMP-2 (62kDa)</v>
      </c>
      <c r="C575" s="3" t="str">
        <f t="shared" si="121"/>
        <v>MMP2</v>
      </c>
      <c r="D575" s="3" t="str">
        <f t="shared" si="126"/>
        <v>MMP2(62kDa)_(HUMAN)</v>
      </c>
      <c r="E575" s="2" t="s">
        <v>55</v>
      </c>
      <c r="F575" s="3" t="str">
        <f t="shared" si="127"/>
        <v>MMP2 62kDa active form</v>
      </c>
      <c r="G575" s="4"/>
      <c r="H575" s="3" t="str">
        <f>HYPERLINK("https://www.cortellis.com/drugdiscovery/entity/biomarkers/653","MMP-2-TIMP-2 complex")</f>
        <v>MMP-2-TIMP-2 complex</v>
      </c>
      <c r="I575" s="2" t="s">
        <v>57</v>
      </c>
      <c r="J575" s="2" t="s">
        <v>15</v>
      </c>
      <c r="K575" s="4" t="str">
        <f>HYPERLINK("https://www.cortellis.com/drugdiscovery/result/proxy/related-content/biomarkers/genestargets/653","matrix metallopeptidase 2")</f>
        <v>matrix metallopeptidase 2</v>
      </c>
    </row>
    <row r="576" spans="1:11" ht="60" customHeight="1" x14ac:dyDescent="0.2">
      <c r="A576" s="2">
        <v>573</v>
      </c>
      <c r="B576" s="3" t="str">
        <f t="shared" si="125"/>
        <v>MMP-2 (62kDa)</v>
      </c>
      <c r="C576" s="3" t="str">
        <f t="shared" si="121"/>
        <v>MMP2</v>
      </c>
      <c r="D576" s="3" t="str">
        <f t="shared" si="126"/>
        <v>MMP2(62kDa)_(HUMAN)</v>
      </c>
      <c r="E576" s="2" t="s">
        <v>55</v>
      </c>
      <c r="F576" s="3" t="str">
        <f t="shared" si="127"/>
        <v>MMP2 62kDa active form</v>
      </c>
      <c r="G576" s="4"/>
      <c r="H576" s="3" t="str">
        <f>HYPERLINK("https://www.cortellis.com/drugdiscovery/entity/biomarkers/26503","3-gene polymorphism cardia cancer panel")</f>
        <v>3-gene polymorphism cardia cancer panel</v>
      </c>
      <c r="I576" s="2" t="s">
        <v>29</v>
      </c>
      <c r="J576" s="2" t="s">
        <v>19</v>
      </c>
      <c r="K576" s="4" t="str">
        <f>HYPERLINK("https://www.cortellis.com/drugdiscovery/result/proxy/related-content/biomarkers/genestargets/26503","matrix metallopeptidase 2")</f>
        <v>matrix metallopeptidase 2</v>
      </c>
    </row>
    <row r="577" spans="1:11" ht="60" customHeight="1" x14ac:dyDescent="0.2">
      <c r="A577" s="2">
        <v>574</v>
      </c>
      <c r="B577" s="3" t="str">
        <f t="shared" si="125"/>
        <v>MMP-2 (62kDa)</v>
      </c>
      <c r="C577" s="3" t="str">
        <f t="shared" si="121"/>
        <v>MMP2</v>
      </c>
      <c r="D577" s="3" t="str">
        <f t="shared" si="126"/>
        <v>MMP2(62kDa)_(HUMAN)</v>
      </c>
      <c r="E577" s="2" t="s">
        <v>55</v>
      </c>
      <c r="F577" s="3" t="str">
        <f t="shared" si="127"/>
        <v>MMP2 62kDa active form</v>
      </c>
      <c r="G577" s="4"/>
      <c r="H577" s="3" t="str">
        <f>HYPERLINK("https://www.cortellis.com/drugdiscovery/entity/biomarkers/26754","5-protein breast cancer panel")</f>
        <v>5-protein breast cancer panel</v>
      </c>
      <c r="I577" s="2" t="s">
        <v>18</v>
      </c>
      <c r="J577" s="2" t="s">
        <v>17</v>
      </c>
      <c r="K577" s="4" t="str">
        <f>HYPERLINK("https://www.cortellis.com/drugdiscovery/result/proxy/related-content/biomarkers/genestargets/26754","matrix metallopeptidase 2")</f>
        <v>matrix metallopeptidase 2</v>
      </c>
    </row>
    <row r="578" spans="1:11" ht="60" customHeight="1" x14ac:dyDescent="0.2">
      <c r="A578" s="2">
        <v>575</v>
      </c>
      <c r="B578" s="3" t="str">
        <f t="shared" si="125"/>
        <v>MMP-2 (62kDa)</v>
      </c>
      <c r="C578" s="3" t="str">
        <f t="shared" si="121"/>
        <v>MMP2</v>
      </c>
      <c r="D578" s="3" t="str">
        <f t="shared" si="126"/>
        <v>MMP2(62kDa)_(HUMAN)</v>
      </c>
      <c r="E578" s="2" t="s">
        <v>55</v>
      </c>
      <c r="F578" s="3" t="str">
        <f t="shared" si="127"/>
        <v>MMP2 62kDa active form</v>
      </c>
      <c r="G578" s="4"/>
      <c r="H578" s="3" t="str">
        <f>HYPERLINK("https://www.cortellis.com/drugdiscovery/entity/biomarkers/27598","89-protein neurological alzheimer's panel")</f>
        <v>89-protein neurological alzheimer's panel</v>
      </c>
      <c r="I578" s="2" t="s">
        <v>23</v>
      </c>
      <c r="J578" s="2" t="s">
        <v>17</v>
      </c>
      <c r="K578"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579" spans="1:11" ht="60" customHeight="1" x14ac:dyDescent="0.2">
      <c r="A579" s="2">
        <v>576</v>
      </c>
      <c r="B579" s="3" t="str">
        <f t="shared" si="125"/>
        <v>MMP-2 (62kDa)</v>
      </c>
      <c r="C579" s="3" t="str">
        <f t="shared" si="121"/>
        <v>MMP2</v>
      </c>
      <c r="D579" s="3" t="str">
        <f t="shared" si="126"/>
        <v>MMP2(62kDa)_(HUMAN)</v>
      </c>
      <c r="E579" s="2" t="s">
        <v>55</v>
      </c>
      <c r="F579" s="3" t="str">
        <f t="shared" si="127"/>
        <v>MMP2 62kDa active form</v>
      </c>
      <c r="G579" s="4"/>
      <c r="H579" s="3" t="str">
        <f>HYPERLINK("https://www.cortellis.com/drugdiscovery/entity/biomarkers/28165","8-gene expression colorectal cancer panel")</f>
        <v>8-gene expression colorectal cancer panel</v>
      </c>
      <c r="I579" s="2" t="s">
        <v>18</v>
      </c>
      <c r="J579" s="2" t="s">
        <v>19</v>
      </c>
      <c r="K579" s="4" t="str">
        <f>HYPERLINK("https://www.cortellis.com/drugdiscovery/result/proxy/related-content/biomarkers/genestargets/28165","matrix metallopeptidase 2")</f>
        <v>matrix metallopeptidase 2</v>
      </c>
    </row>
    <row r="580" spans="1:11" ht="60" customHeight="1" x14ac:dyDescent="0.2">
      <c r="A580" s="2">
        <v>577</v>
      </c>
      <c r="B580" s="3" t="str">
        <f t="shared" si="125"/>
        <v>MMP-2 (62kDa)</v>
      </c>
      <c r="C580" s="3" t="str">
        <f t="shared" si="121"/>
        <v>MMP2</v>
      </c>
      <c r="D580" s="3" t="str">
        <f t="shared" si="126"/>
        <v>MMP2(62kDa)_(HUMAN)</v>
      </c>
      <c r="E580" s="2" t="s">
        <v>55</v>
      </c>
      <c r="F580" s="3" t="str">
        <f t="shared" si="127"/>
        <v>MMP2 62kDa active form</v>
      </c>
      <c r="G580" s="4"/>
      <c r="H580" s="3" t="str">
        <f>HYPERLINK("https://www.cortellis.com/drugdiscovery/entity/biomarkers/28451","3-protein nasopharyngeal cancer panel")</f>
        <v>3-protein nasopharyngeal cancer panel</v>
      </c>
      <c r="I580" s="2" t="s">
        <v>23</v>
      </c>
      <c r="J580" s="2" t="s">
        <v>17</v>
      </c>
      <c r="K580" s="4" t="str">
        <f>HYPERLINK("https://www.cortellis.com/drugdiscovery/result/proxy/related-content/biomarkers/genestargets/28451","matrix metallopeptidase 2")</f>
        <v>matrix metallopeptidase 2</v>
      </c>
    </row>
    <row r="581" spans="1:11" ht="60" customHeight="1" x14ac:dyDescent="0.2">
      <c r="A581" s="2">
        <v>578</v>
      </c>
      <c r="B581" s="3" t="str">
        <f t="shared" si="125"/>
        <v>MMP-2 (62kDa)</v>
      </c>
      <c r="C581" s="3" t="str">
        <f t="shared" si="121"/>
        <v>MMP2</v>
      </c>
      <c r="D581" s="3" t="str">
        <f t="shared" si="126"/>
        <v>MMP2(62kDa)_(HUMAN)</v>
      </c>
      <c r="E581" s="2" t="s">
        <v>55</v>
      </c>
      <c r="F581" s="3" t="str">
        <f t="shared" si="127"/>
        <v>MMP2 62kDa active form</v>
      </c>
      <c r="G581" s="4"/>
      <c r="H581" s="3" t="str">
        <f>HYPERLINK("https://www.cortellis.com/drugdiscovery/entity/biomarkers/29614","VeriPsych")</f>
        <v>VeriPsych</v>
      </c>
      <c r="I581" s="2" t="s">
        <v>23</v>
      </c>
      <c r="J581" s="2" t="s">
        <v>17</v>
      </c>
      <c r="K581" s="4" t="str">
        <f>HYPERLINK("https://www.cortellis.com/drugdiscovery/result/proxy/related-content/biomarkers/genestargets/29614","interleukin 7; matrix metallopeptidase 2")</f>
        <v>interleukin 7; matrix metallopeptidase 2</v>
      </c>
    </row>
    <row r="582" spans="1:11" ht="60" customHeight="1" x14ac:dyDescent="0.2">
      <c r="A582" s="2">
        <v>579</v>
      </c>
      <c r="B582" s="3" t="str">
        <f t="shared" si="125"/>
        <v>MMP-2 (62kDa)</v>
      </c>
      <c r="C582" s="3" t="str">
        <f t="shared" si="121"/>
        <v>MMP2</v>
      </c>
      <c r="D582" s="3" t="str">
        <f t="shared" si="126"/>
        <v>MMP2(62kDa)_(HUMAN)</v>
      </c>
      <c r="E582" s="2" t="s">
        <v>55</v>
      </c>
      <c r="F582" s="3" t="str">
        <f t="shared" si="127"/>
        <v>MMP2 62kDa active form</v>
      </c>
      <c r="G582" s="4"/>
      <c r="H582" s="3" t="str">
        <f>HYPERLINK("https://www.cortellis.com/drugdiscovery/entity/biomarkers/39112","50-gene expression breast cancer panel")</f>
        <v>50-gene expression breast cancer panel</v>
      </c>
      <c r="I582" s="2" t="s">
        <v>18</v>
      </c>
      <c r="J582" s="2" t="s">
        <v>19</v>
      </c>
      <c r="K582" s="4" t="str">
        <f>HYPERLINK("https://www.cortellis.com/drugdiscovery/result/proxy/related-content/biomarkers/genestargets/39112","matrix metallopeptidase 2")</f>
        <v>matrix metallopeptidase 2</v>
      </c>
    </row>
    <row r="583" spans="1:11" ht="60" customHeight="1" x14ac:dyDescent="0.2">
      <c r="A583" s="2">
        <v>580</v>
      </c>
      <c r="B583" s="3" t="str">
        <f t="shared" si="125"/>
        <v>MMP-2 (62kDa)</v>
      </c>
      <c r="C583" s="3" t="str">
        <f t="shared" si="121"/>
        <v>MMP2</v>
      </c>
      <c r="D583" s="3" t="str">
        <f t="shared" si="126"/>
        <v>MMP2(62kDa)_(HUMAN)</v>
      </c>
      <c r="E583" s="2" t="s">
        <v>55</v>
      </c>
      <c r="F583" s="3" t="str">
        <f t="shared" si="127"/>
        <v>MMP2 62kDa active form</v>
      </c>
      <c r="G583" s="4"/>
      <c r="H583" s="3" t="str">
        <f>HYPERLINK("https://www.cortellis.com/drugdiscovery/entity/biomarkers/43882","530-gene methylation leukemia panel")</f>
        <v>530-gene methylation leukemia panel</v>
      </c>
      <c r="I583" s="2" t="s">
        <v>25</v>
      </c>
      <c r="J583" s="2" t="s">
        <v>19</v>
      </c>
      <c r="K583" s="4" t="str">
        <f>HYPERLINK("https://www.cortellis.com/drugdiscovery/result/proxy/related-content/biomarkers/genestargets/43882","matrix metallopeptidase 2; ribonuclease A family member 3")</f>
        <v>matrix metallopeptidase 2; ribonuclease A family member 3</v>
      </c>
    </row>
    <row r="584" spans="1:11" ht="60" customHeight="1" x14ac:dyDescent="0.2">
      <c r="A584" s="2">
        <v>581</v>
      </c>
      <c r="B584" s="3" t="str">
        <f t="shared" si="125"/>
        <v>MMP-2 (62kDa)</v>
      </c>
      <c r="C584" s="3" t="str">
        <f t="shared" si="121"/>
        <v>MMP2</v>
      </c>
      <c r="D584" s="3" t="str">
        <f t="shared" si="126"/>
        <v>MMP2(62kDa)_(HUMAN)</v>
      </c>
      <c r="E584" s="2" t="s">
        <v>55</v>
      </c>
      <c r="F584" s="3" t="str">
        <f t="shared" si="127"/>
        <v>MMP2 62kDa active form</v>
      </c>
      <c r="G584" s="4"/>
      <c r="H584" s="3" t="str">
        <f>HYPERLINK("https://www.cortellis.com/drugdiscovery/entity/biomarkers/45762","37-protein metastatic colon cancer panel")</f>
        <v>37-protein metastatic colon cancer panel</v>
      </c>
      <c r="I584" s="2" t="s">
        <v>20</v>
      </c>
      <c r="J584" s="2" t="s">
        <v>17</v>
      </c>
      <c r="K584" s="4" t="str">
        <f>HYPERLINK("https://www.cortellis.com/drugdiscovery/result/proxy/related-content/biomarkers/genestargets/45762","matrix metallopeptidase 2; matrix metallopeptidase 9")</f>
        <v>matrix metallopeptidase 2; matrix metallopeptidase 9</v>
      </c>
    </row>
    <row r="585" spans="1:11" ht="60" customHeight="1" x14ac:dyDescent="0.2">
      <c r="A585" s="2">
        <v>582</v>
      </c>
      <c r="B585" s="3" t="str">
        <f t="shared" si="125"/>
        <v>MMP-2 (62kDa)</v>
      </c>
      <c r="C585" s="3" t="str">
        <f t="shared" si="121"/>
        <v>MMP2</v>
      </c>
      <c r="D585" s="3" t="str">
        <f t="shared" si="126"/>
        <v>MMP2(62kDa)_(HUMAN)</v>
      </c>
      <c r="E585" s="2" t="s">
        <v>55</v>
      </c>
      <c r="F585" s="3" t="str">
        <f t="shared" si="127"/>
        <v>MMP2 62kDa active form</v>
      </c>
      <c r="G585" s="4"/>
      <c r="H585" s="3" t="str">
        <f>HYPERLINK("https://www.cortellis.com/drugdiscovery/entity/biomarkers/51682","Multiplex biomarker panel")</f>
        <v>Multiplex biomarker panel</v>
      </c>
      <c r="I585" s="2" t="s">
        <v>23</v>
      </c>
      <c r="J585" s="2" t="s">
        <v>15</v>
      </c>
      <c r="K585" s="4" t="str">
        <f>HYPERLINK("https://www.cortellis.com/drugdiscovery/result/proxy/related-content/biomarkers/genestargets/51682","matrix metallopeptidase 2; matrix metallopeptidase 9")</f>
        <v>matrix metallopeptidase 2; matrix metallopeptidase 9</v>
      </c>
    </row>
    <row r="586" spans="1:11" ht="60" customHeight="1" x14ac:dyDescent="0.2">
      <c r="A586" s="2">
        <v>583</v>
      </c>
      <c r="B586" s="3" t="str">
        <f t="shared" si="125"/>
        <v>MMP-2 (62kDa)</v>
      </c>
      <c r="C586" s="3" t="str">
        <f t="shared" si="121"/>
        <v>MMP2</v>
      </c>
      <c r="D586" s="3" t="str">
        <f t="shared" si="126"/>
        <v>MMP2(62kDa)_(HUMAN)</v>
      </c>
      <c r="E586" s="2" t="s">
        <v>55</v>
      </c>
      <c r="F586" s="3" t="str">
        <f t="shared" si="127"/>
        <v>MMP2 62kDa active form</v>
      </c>
      <c r="G586" s="4"/>
      <c r="H586" s="3" t="str">
        <f>HYPERLINK("https://www.cortellis.com/drugdiscovery/entity/biomarkers/53787","111-gene expression ovarian cancer panel")</f>
        <v>111-gene expression ovarian cancer panel</v>
      </c>
      <c r="I586" s="2" t="s">
        <v>25</v>
      </c>
      <c r="J586" s="2" t="s">
        <v>19</v>
      </c>
      <c r="K586" s="4" t="str">
        <f>HYPERLINK("https://www.cortellis.com/drugdiscovery/result/proxy/related-content/biomarkers/genestargets/53787","matrix metallopeptidase 2")</f>
        <v>matrix metallopeptidase 2</v>
      </c>
    </row>
    <row r="587" spans="1:11" ht="60" customHeight="1" x14ac:dyDescent="0.2">
      <c r="A587" s="2">
        <v>584</v>
      </c>
      <c r="B587" s="3" t="str">
        <f t="shared" si="125"/>
        <v>MMP-2 (62kDa)</v>
      </c>
      <c r="C587" s="3" t="str">
        <f t="shared" si="121"/>
        <v>MMP2</v>
      </c>
      <c r="D587" s="3" t="str">
        <f t="shared" si="126"/>
        <v>MMP2(62kDa)_(HUMAN)</v>
      </c>
      <c r="E587" s="2" t="s">
        <v>55</v>
      </c>
      <c r="F587" s="3" t="str">
        <f t="shared" si="127"/>
        <v>MMP2 62kDa active form</v>
      </c>
      <c r="G587" s="4"/>
      <c r="H587" s="3" t="str">
        <f>HYPERLINK("https://www.cortellis.com/drugdiscovery/entity/biomarkers/56620","45-gene expression cancer panel")</f>
        <v>45-gene expression cancer panel</v>
      </c>
      <c r="I587" s="2" t="s">
        <v>18</v>
      </c>
      <c r="J587" s="2" t="s">
        <v>19</v>
      </c>
      <c r="K587" s="4" t="str">
        <f>HYPERLINK("https://www.cortellis.com/drugdiscovery/result/proxy/related-content/biomarkers/genestargets/56620","matrix metallopeptidase 2")</f>
        <v>matrix metallopeptidase 2</v>
      </c>
    </row>
    <row r="588" spans="1:11" ht="60" customHeight="1" x14ac:dyDescent="0.2">
      <c r="A588" s="2">
        <v>585</v>
      </c>
      <c r="B588" s="3" t="str">
        <f t="shared" si="125"/>
        <v>MMP-2 (62kDa)</v>
      </c>
      <c r="C588" s="3" t="str">
        <f t="shared" si="121"/>
        <v>MMP2</v>
      </c>
      <c r="D588" s="3" t="str">
        <f t="shared" si="126"/>
        <v>MMP2(62kDa)_(HUMAN)</v>
      </c>
      <c r="E588" s="2" t="s">
        <v>55</v>
      </c>
      <c r="F588" s="3" t="str">
        <f t="shared" si="127"/>
        <v>MMP2 62kDa active form</v>
      </c>
      <c r="G588" s="4"/>
      <c r="H588" s="3" t="str">
        <f>HYPERLINK("https://www.cortellis.com/drugdiscovery/entity/biomarkers/57361","36-gene expression soft tissue sarcoma panel")</f>
        <v>36-gene expression soft tissue sarcoma panel</v>
      </c>
      <c r="I588" s="2" t="s">
        <v>25</v>
      </c>
      <c r="J588" s="2" t="s">
        <v>19</v>
      </c>
      <c r="K588" s="4" t="str">
        <f>HYPERLINK("https://www.cortellis.com/drugdiscovery/result/proxy/related-content/biomarkers/genestargets/57361","matrix metallopeptidase 2")</f>
        <v>matrix metallopeptidase 2</v>
      </c>
    </row>
    <row r="589" spans="1:11" ht="60" customHeight="1" x14ac:dyDescent="0.2">
      <c r="A589" s="2">
        <v>586</v>
      </c>
      <c r="B589" s="3" t="str">
        <f t="shared" si="125"/>
        <v>MMP-2 (62kDa)</v>
      </c>
      <c r="C589" s="3" t="str">
        <f t="shared" si="121"/>
        <v>MMP2</v>
      </c>
      <c r="D589" s="3" t="str">
        <f t="shared" si="126"/>
        <v>MMP2(62kDa)_(HUMAN)</v>
      </c>
      <c r="E589" s="2" t="s">
        <v>55</v>
      </c>
      <c r="F589" s="3" t="str">
        <f t="shared" si="127"/>
        <v>MMP2 62kDa active form</v>
      </c>
      <c r="G589" s="4"/>
      <c r="H589" s="3" t="str">
        <f>HYPERLINK("https://www.cortellis.com/drugdiscovery/entity/biomarkers/59959","13-protein Crohn's disease panel")</f>
        <v>13-protein Crohn's disease panel</v>
      </c>
      <c r="I589" s="2" t="s">
        <v>24</v>
      </c>
      <c r="J589" s="2" t="s">
        <v>17</v>
      </c>
      <c r="K589" s="4" t="str">
        <f>HYPERLINK("https://www.cortellis.com/drugdiscovery/result/proxy/related-content/biomarkers/genestargets/59959","interleukin 7; matrix metallopeptidase 2; matrix metallopeptidase 9")</f>
        <v>interleukin 7; matrix metallopeptidase 2; matrix metallopeptidase 9</v>
      </c>
    </row>
    <row r="590" spans="1:11" ht="60" customHeight="1" x14ac:dyDescent="0.2">
      <c r="A590" s="2">
        <v>587</v>
      </c>
      <c r="B590" s="3" t="str">
        <f t="shared" si="125"/>
        <v>MMP-2 (62kDa)</v>
      </c>
      <c r="C590" s="3" t="str">
        <f t="shared" si="121"/>
        <v>MMP2</v>
      </c>
      <c r="D590" s="3" t="str">
        <f t="shared" si="126"/>
        <v>MMP2(62kDa)_(HUMAN)</v>
      </c>
      <c r="E590" s="2" t="s">
        <v>55</v>
      </c>
      <c r="F590" s="3" t="str">
        <f t="shared" si="127"/>
        <v>MMP2 62kDa active form</v>
      </c>
      <c r="G590" s="4"/>
      <c r="H590" s="3" t="str">
        <f>HYPERLINK("https://www.cortellis.com/drugdiscovery/entity/biomarkers/64358","6-triple negative breast cancer panel")</f>
        <v>6-triple negative breast cancer panel</v>
      </c>
      <c r="I590" s="2" t="s">
        <v>18</v>
      </c>
      <c r="J590" s="2" t="s">
        <v>19</v>
      </c>
      <c r="K590" s="4" t="str">
        <f>HYPERLINK("https://www.cortellis.com/drugdiscovery/result/proxy/related-content/biomarkers/genestargets/64358","matrix metallopeptidase 2")</f>
        <v>matrix metallopeptidase 2</v>
      </c>
    </row>
    <row r="591" spans="1:11" ht="60" customHeight="1" x14ac:dyDescent="0.2">
      <c r="A591" s="2">
        <v>588</v>
      </c>
      <c r="B591" s="3" t="str">
        <f t="shared" ref="B591:B654" si="128">HYPERLINK("https://portal.genego.com/cgi/entity_page.cgi?term=100&amp;id=4125","MMP-9")</f>
        <v>MMP-9</v>
      </c>
      <c r="C591" s="3" t="str">
        <f t="shared" ref="C591:C654" si="129">HYPERLINK("https://portal.genego.com/cgi/entity_page.cgi?term=20&amp;id=1390764486","MMP9")</f>
        <v>MMP9</v>
      </c>
      <c r="D591" s="3" t="str">
        <f t="shared" ref="D591:D654" si="130">HYPERLINK("https://portal.genego.com/cgi/entity_page.cgi?term=7&amp;id=-675020829","MMP9_HUMAN")</f>
        <v>MMP9_HUMAN</v>
      </c>
      <c r="E591" s="2" t="s">
        <v>55</v>
      </c>
      <c r="F591" s="3" t="str">
        <f t="shared" ref="F591:F654" si="131">HYPERLINK("https://portal.genego.com/cgi/entity_page.cgi?term=100&amp;id=4125","Matrix metalloproteinase-9")</f>
        <v>Matrix metalloproteinase-9</v>
      </c>
      <c r="G591" s="4" t="str">
        <f t="shared" ref="G591:G620" si="132">HYPERLINK("https://portal.genego.com/cgi/entity_page.cgi?term=7&amp;id=-2059211957","Minocycline")</f>
        <v>Minocycline</v>
      </c>
      <c r="H591" s="3" t="str">
        <f>HYPERLINK("https://www.cortellis.com/drugdiscovery/entity/biomarkers/65","MammaPrint")</f>
        <v>MammaPrint</v>
      </c>
      <c r="I591" s="2" t="s">
        <v>58</v>
      </c>
      <c r="J591" s="2" t="s">
        <v>19</v>
      </c>
      <c r="K591" s="4" t="str">
        <f>HYPERLINK("https://www.cortellis.com/drugdiscovery/result/proxy/related-content/biomarkers/genestargets/65","matrix metallopeptidase 9")</f>
        <v>matrix metallopeptidase 9</v>
      </c>
    </row>
    <row r="592" spans="1:11" ht="60" customHeight="1" x14ac:dyDescent="0.2">
      <c r="A592" s="2">
        <v>589</v>
      </c>
      <c r="B592" s="3" t="str">
        <f t="shared" si="128"/>
        <v>MMP-9</v>
      </c>
      <c r="C592" s="3" t="str">
        <f t="shared" si="129"/>
        <v>MMP9</v>
      </c>
      <c r="D592" s="3" t="str">
        <f t="shared" si="130"/>
        <v>MMP9_HUMAN</v>
      </c>
      <c r="E592" s="2" t="s">
        <v>55</v>
      </c>
      <c r="F592" s="3" t="str">
        <f t="shared" si="131"/>
        <v>Matrix metalloproteinase-9</v>
      </c>
      <c r="G592" s="4" t="str">
        <f t="shared" si="132"/>
        <v>Minocycline</v>
      </c>
      <c r="H592" s="3" t="str">
        <f>HYPERLINK("https://www.cortellis.com/drugdiscovery/entity/biomarkers/173","Matrix metalloproteinase-9")</f>
        <v>Matrix metalloproteinase-9</v>
      </c>
      <c r="I592" s="2" t="s">
        <v>31</v>
      </c>
      <c r="J592" s="2" t="s">
        <v>15</v>
      </c>
      <c r="K592" s="4" t="str">
        <f>HYPERLINK("https://www.cortellis.com/drugdiscovery/result/proxy/related-content/biomarkers/genestargets/173","matrix metallopeptidase 9")</f>
        <v>matrix metallopeptidase 9</v>
      </c>
    </row>
    <row r="593" spans="1:11" ht="60" customHeight="1" x14ac:dyDescent="0.2">
      <c r="A593" s="2">
        <v>590</v>
      </c>
      <c r="B593" s="3" t="str">
        <f t="shared" si="128"/>
        <v>MMP-9</v>
      </c>
      <c r="C593" s="3" t="str">
        <f t="shared" si="129"/>
        <v>MMP9</v>
      </c>
      <c r="D593" s="3" t="str">
        <f t="shared" si="130"/>
        <v>MMP9_HUMAN</v>
      </c>
      <c r="E593" s="2" t="s">
        <v>55</v>
      </c>
      <c r="F593" s="3" t="str">
        <f t="shared" si="131"/>
        <v>Matrix metalloproteinase-9</v>
      </c>
      <c r="G593" s="4" t="str">
        <f t="shared" si="132"/>
        <v>Minocycline</v>
      </c>
      <c r="H593" s="3" t="str">
        <f>HYPERLINK("https://www.cortellis.com/drugdiscovery/entity/biomarkers/26294","160-gene expression liver cancer panel")</f>
        <v>160-gene expression liver cancer panel</v>
      </c>
      <c r="I593" s="2" t="s">
        <v>25</v>
      </c>
      <c r="J593" s="2" t="s">
        <v>19</v>
      </c>
      <c r="K593" s="4" t="str">
        <f>HYPERLINK("https://www.cortellis.com/drugdiscovery/result/proxy/related-content/biomarkers/genestargets/26294","matrix metallopeptidase 9")</f>
        <v>matrix metallopeptidase 9</v>
      </c>
    </row>
    <row r="594" spans="1:11" ht="60" customHeight="1" x14ac:dyDescent="0.2">
      <c r="A594" s="2">
        <v>591</v>
      </c>
      <c r="B594" s="3" t="str">
        <f t="shared" si="128"/>
        <v>MMP-9</v>
      </c>
      <c r="C594" s="3" t="str">
        <f t="shared" si="129"/>
        <v>MMP9</v>
      </c>
      <c r="D594" s="3" t="str">
        <f t="shared" si="130"/>
        <v>MMP9_HUMAN</v>
      </c>
      <c r="E594" s="2" t="s">
        <v>55</v>
      </c>
      <c r="F594" s="3" t="str">
        <f t="shared" si="131"/>
        <v>Matrix metalloproteinase-9</v>
      </c>
      <c r="G594" s="4" t="str">
        <f t="shared" si="132"/>
        <v>Minocycline</v>
      </c>
      <c r="H594" s="3" t="str">
        <f>HYPERLINK("https://www.cortellis.com/drugdiscovery/entity/biomarkers/27598","89-protein neurological alzheimer's panel")</f>
        <v>89-protein neurological alzheimer's panel</v>
      </c>
      <c r="I594" s="2" t="s">
        <v>23</v>
      </c>
      <c r="J594" s="2" t="s">
        <v>17</v>
      </c>
      <c r="K59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595" spans="1:11" ht="60" customHeight="1" x14ac:dyDescent="0.2">
      <c r="A595" s="2">
        <v>592</v>
      </c>
      <c r="B595" s="3" t="str">
        <f t="shared" si="128"/>
        <v>MMP-9</v>
      </c>
      <c r="C595" s="3" t="str">
        <f t="shared" si="129"/>
        <v>MMP9</v>
      </c>
      <c r="D595" s="3" t="str">
        <f t="shared" si="130"/>
        <v>MMP9_HUMAN</v>
      </c>
      <c r="E595" s="2" t="s">
        <v>55</v>
      </c>
      <c r="F595" s="3" t="str">
        <f t="shared" si="131"/>
        <v>Matrix metalloproteinase-9</v>
      </c>
      <c r="G595" s="4" t="str">
        <f t="shared" si="132"/>
        <v>Minocycline</v>
      </c>
      <c r="H595" s="3" t="str">
        <f>HYPERLINK("https://www.cortellis.com/drugdiscovery/entity/biomarkers/27613","9-gene expression ischemic stroke panel")</f>
        <v>9-gene expression ischemic stroke panel</v>
      </c>
      <c r="I595" s="2" t="s">
        <v>23</v>
      </c>
      <c r="J595" s="2" t="s">
        <v>19</v>
      </c>
      <c r="K595" s="4" t="str">
        <f>HYPERLINK("https://www.cortellis.com/drugdiscovery/result/proxy/related-content/biomarkers/genestargets/27613","matrix metallopeptidase 9")</f>
        <v>matrix metallopeptidase 9</v>
      </c>
    </row>
    <row r="596" spans="1:11" ht="60" customHeight="1" x14ac:dyDescent="0.2">
      <c r="A596" s="2">
        <v>593</v>
      </c>
      <c r="B596" s="3" t="str">
        <f t="shared" si="128"/>
        <v>MMP-9</v>
      </c>
      <c r="C596" s="3" t="str">
        <f t="shared" si="129"/>
        <v>MMP9</v>
      </c>
      <c r="D596" s="3" t="str">
        <f t="shared" si="130"/>
        <v>MMP9_HUMAN</v>
      </c>
      <c r="E596" s="2" t="s">
        <v>55</v>
      </c>
      <c r="F596" s="3" t="str">
        <f t="shared" si="131"/>
        <v>Matrix metalloproteinase-9</v>
      </c>
      <c r="G596" s="4" t="str">
        <f t="shared" si="132"/>
        <v>Minocycline</v>
      </c>
      <c r="H596" s="3" t="str">
        <f>HYPERLINK("https://www.cortellis.com/drugdiscovery/entity/biomarkers/28479","24-gene expression breast cancer panel")</f>
        <v>24-gene expression breast cancer panel</v>
      </c>
      <c r="I596" s="2" t="s">
        <v>18</v>
      </c>
      <c r="J596" s="2" t="s">
        <v>19</v>
      </c>
      <c r="K596" s="4" t="str">
        <f>HYPERLINK("https://www.cortellis.com/drugdiscovery/result/proxy/related-content/biomarkers/genestargets/28479","matrix metallopeptidase 9")</f>
        <v>matrix metallopeptidase 9</v>
      </c>
    </row>
    <row r="597" spans="1:11" ht="60" customHeight="1" x14ac:dyDescent="0.2">
      <c r="A597" s="2">
        <v>594</v>
      </c>
      <c r="B597" s="3" t="str">
        <f t="shared" si="128"/>
        <v>MMP-9</v>
      </c>
      <c r="C597" s="3" t="str">
        <f t="shared" si="129"/>
        <v>MMP9</v>
      </c>
      <c r="D597" s="3" t="str">
        <f t="shared" si="130"/>
        <v>MMP9_HUMAN</v>
      </c>
      <c r="E597" s="2" t="s">
        <v>55</v>
      </c>
      <c r="F597" s="3" t="str">
        <f t="shared" si="131"/>
        <v>Matrix metalloproteinase-9</v>
      </c>
      <c r="G597" s="4" t="str">
        <f t="shared" si="132"/>
        <v>Minocycline</v>
      </c>
      <c r="H597" s="3" t="str">
        <f>HYPERLINK("https://www.cortellis.com/drugdiscovery/entity/biomarkers/34465","10-protein 1-biochemical alzheimer's panel")</f>
        <v>10-protein 1-biochemical alzheimer's panel</v>
      </c>
      <c r="I597" s="2" t="s">
        <v>23</v>
      </c>
      <c r="J597" s="2" t="s">
        <v>59</v>
      </c>
      <c r="K597" s="4" t="str">
        <f>HYPERLINK("https://www.cortellis.com/drugdiscovery/result/proxy/related-content/biomarkers/genestargets/34465","matrix metallopeptidase 9")</f>
        <v>matrix metallopeptidase 9</v>
      </c>
    </row>
    <row r="598" spans="1:11" ht="60" customHeight="1" x14ac:dyDescent="0.2">
      <c r="A598" s="2">
        <v>595</v>
      </c>
      <c r="B598" s="3" t="str">
        <f t="shared" si="128"/>
        <v>MMP-9</v>
      </c>
      <c r="C598" s="3" t="str">
        <f t="shared" si="129"/>
        <v>MMP9</v>
      </c>
      <c r="D598" s="3" t="str">
        <f t="shared" si="130"/>
        <v>MMP9_HUMAN</v>
      </c>
      <c r="E598" s="2" t="s">
        <v>55</v>
      </c>
      <c r="F598" s="3" t="str">
        <f t="shared" si="131"/>
        <v>Matrix metalloproteinase-9</v>
      </c>
      <c r="G598" s="4" t="str">
        <f t="shared" si="132"/>
        <v>Minocycline</v>
      </c>
      <c r="H598" s="3" t="str">
        <f>HYPERLINK("https://www.cortellis.com/drugdiscovery/entity/biomarkers/39788","Epithelial-mesenchymal transition gene signature")</f>
        <v>Epithelial-mesenchymal transition gene signature</v>
      </c>
      <c r="I598" s="2" t="s">
        <v>18</v>
      </c>
      <c r="J598" s="2" t="s">
        <v>19</v>
      </c>
      <c r="K598" s="4" t="str">
        <f>HYPERLINK("https://www.cortellis.com/drugdiscovery/result/proxy/related-content/biomarkers/genestargets/39788","C-C motif chemokine ligand 2; matrix metallopeptidase 9")</f>
        <v>C-C motif chemokine ligand 2; matrix metallopeptidase 9</v>
      </c>
    </row>
    <row r="599" spans="1:11" ht="60" customHeight="1" x14ac:dyDescent="0.2">
      <c r="A599" s="2">
        <v>596</v>
      </c>
      <c r="B599" s="3" t="str">
        <f t="shared" si="128"/>
        <v>MMP-9</v>
      </c>
      <c r="C599" s="3" t="str">
        <f t="shared" si="129"/>
        <v>MMP9</v>
      </c>
      <c r="D599" s="3" t="str">
        <f t="shared" si="130"/>
        <v>MMP9_HUMAN</v>
      </c>
      <c r="E599" s="2" t="s">
        <v>55</v>
      </c>
      <c r="F599" s="3" t="str">
        <f t="shared" si="131"/>
        <v>Matrix metalloproteinase-9</v>
      </c>
      <c r="G599" s="4" t="str">
        <f t="shared" si="132"/>
        <v>Minocycline</v>
      </c>
      <c r="H599" s="3" t="str">
        <f>HYPERLINK("https://www.cortellis.com/drugdiscovery/entity/biomarkers/41350","10-protein liver cancer panel")</f>
        <v>10-protein liver cancer panel</v>
      </c>
      <c r="I599" s="2" t="s">
        <v>52</v>
      </c>
      <c r="J599" s="2" t="s">
        <v>17</v>
      </c>
      <c r="K599" s="4" t="str">
        <f>HYPERLINK("https://www.cortellis.com/drugdiscovery/result/proxy/related-content/biomarkers/genestargets/41350","matrix metallopeptidase 9")</f>
        <v>matrix metallopeptidase 9</v>
      </c>
    </row>
    <row r="600" spans="1:11" ht="60" customHeight="1" x14ac:dyDescent="0.2">
      <c r="A600" s="2">
        <v>597</v>
      </c>
      <c r="B600" s="3" t="str">
        <f t="shared" si="128"/>
        <v>MMP-9</v>
      </c>
      <c r="C600" s="3" t="str">
        <f t="shared" si="129"/>
        <v>MMP9</v>
      </c>
      <c r="D600" s="3" t="str">
        <f t="shared" si="130"/>
        <v>MMP9_HUMAN</v>
      </c>
      <c r="E600" s="2" t="s">
        <v>55</v>
      </c>
      <c r="F600" s="3" t="str">
        <f t="shared" si="131"/>
        <v>Matrix metalloproteinase-9</v>
      </c>
      <c r="G600" s="4" t="str">
        <f t="shared" si="132"/>
        <v>Minocycline</v>
      </c>
      <c r="H600" s="3" t="str">
        <f>HYPERLINK("https://www.cortellis.com/drugdiscovery/entity/biomarkers/41936","5-gene expression breast cancer panel")</f>
        <v>5-gene expression breast cancer panel</v>
      </c>
      <c r="I600" s="2" t="s">
        <v>60</v>
      </c>
      <c r="J600" s="2" t="s">
        <v>19</v>
      </c>
      <c r="K600" s="4" t="str">
        <f>HYPERLINK("https://www.cortellis.com/drugdiscovery/result/proxy/related-content/biomarkers/genestargets/41936","matrix metallopeptidase 9")</f>
        <v>matrix metallopeptidase 9</v>
      </c>
    </row>
    <row r="601" spans="1:11" ht="60" customHeight="1" x14ac:dyDescent="0.2">
      <c r="A601" s="2">
        <v>598</v>
      </c>
      <c r="B601" s="3" t="str">
        <f t="shared" si="128"/>
        <v>MMP-9</v>
      </c>
      <c r="C601" s="3" t="str">
        <f t="shared" si="129"/>
        <v>MMP9</v>
      </c>
      <c r="D601" s="3" t="str">
        <f t="shared" si="130"/>
        <v>MMP9_HUMAN</v>
      </c>
      <c r="E601" s="2" t="s">
        <v>55</v>
      </c>
      <c r="F601" s="3" t="str">
        <f t="shared" si="131"/>
        <v>Matrix metalloproteinase-9</v>
      </c>
      <c r="G601" s="4" t="str">
        <f t="shared" si="132"/>
        <v>Minocycline</v>
      </c>
      <c r="H601" s="3" t="str">
        <f>HYPERLINK("https://www.cortellis.com/drugdiscovery/entity/biomarkers/43380","7-protein bladder cancer panel")</f>
        <v>7-protein bladder cancer panel</v>
      </c>
      <c r="I601" s="2" t="s">
        <v>23</v>
      </c>
      <c r="J601" s="2" t="s">
        <v>15</v>
      </c>
      <c r="K601" s="4" t="str">
        <f>HYPERLINK("https://www.cortellis.com/drugdiscovery/result/proxy/related-content/biomarkers/genestargets/43380","matrix metallopeptidase 9")</f>
        <v>matrix metallopeptidase 9</v>
      </c>
    </row>
    <row r="602" spans="1:11" ht="60" customHeight="1" x14ac:dyDescent="0.2">
      <c r="A602" s="2">
        <v>599</v>
      </c>
      <c r="B602" s="3" t="str">
        <f t="shared" si="128"/>
        <v>MMP-9</v>
      </c>
      <c r="C602" s="3" t="str">
        <f t="shared" si="129"/>
        <v>MMP9</v>
      </c>
      <c r="D602" s="3" t="str">
        <f t="shared" si="130"/>
        <v>MMP9_HUMAN</v>
      </c>
      <c r="E602" s="2" t="s">
        <v>55</v>
      </c>
      <c r="F602" s="3" t="str">
        <f t="shared" si="131"/>
        <v>Matrix metalloproteinase-9</v>
      </c>
      <c r="G602" s="4" t="str">
        <f t="shared" si="132"/>
        <v>Minocycline</v>
      </c>
      <c r="H602" s="3" t="str">
        <f>HYPERLINK("https://www.cortellis.com/drugdiscovery/entity/biomarkers/43382","3-protein bladder cancer panel")</f>
        <v>3-protein bladder cancer panel</v>
      </c>
      <c r="I602" s="2" t="s">
        <v>23</v>
      </c>
      <c r="J602" s="2" t="s">
        <v>17</v>
      </c>
      <c r="K602" s="4" t="str">
        <f>HYPERLINK("https://www.cortellis.com/drugdiscovery/result/proxy/related-content/biomarkers/genestargets/43382","matrix metallopeptidase 9")</f>
        <v>matrix metallopeptidase 9</v>
      </c>
    </row>
    <row r="603" spans="1:11" ht="60" customHeight="1" x14ac:dyDescent="0.2">
      <c r="A603" s="2">
        <v>600</v>
      </c>
      <c r="B603" s="3" t="str">
        <f t="shared" si="128"/>
        <v>MMP-9</v>
      </c>
      <c r="C603" s="3" t="str">
        <f t="shared" si="129"/>
        <v>MMP9</v>
      </c>
      <c r="D603" s="3" t="str">
        <f t="shared" si="130"/>
        <v>MMP9_HUMAN</v>
      </c>
      <c r="E603" s="2" t="s">
        <v>55</v>
      </c>
      <c r="F603" s="3" t="str">
        <f t="shared" si="131"/>
        <v>Matrix metalloproteinase-9</v>
      </c>
      <c r="G603" s="4" t="str">
        <f t="shared" si="132"/>
        <v>Minocycline</v>
      </c>
      <c r="H603" s="3" t="str">
        <f>HYPERLINK("https://www.cortellis.com/drugdiscovery/entity/biomarkers/43994","4-gene expression adenomatous polyps panel")</f>
        <v>4-gene expression adenomatous polyps panel</v>
      </c>
      <c r="I603" s="2" t="s">
        <v>23</v>
      </c>
      <c r="J603" s="2" t="s">
        <v>19</v>
      </c>
      <c r="K603" s="4" t="str">
        <f>HYPERLINK("https://www.cortellis.com/drugdiscovery/result/proxy/related-content/biomarkers/genestargets/43994","matrix metallopeptidase 9")</f>
        <v>matrix metallopeptidase 9</v>
      </c>
    </row>
    <row r="604" spans="1:11" ht="60" customHeight="1" x14ac:dyDescent="0.2">
      <c r="A604" s="2">
        <v>601</v>
      </c>
      <c r="B604" s="3" t="str">
        <f t="shared" si="128"/>
        <v>MMP-9</v>
      </c>
      <c r="C604" s="3" t="str">
        <f t="shared" si="129"/>
        <v>MMP9</v>
      </c>
      <c r="D604" s="3" t="str">
        <f t="shared" si="130"/>
        <v>MMP9_HUMAN</v>
      </c>
      <c r="E604" s="2" t="s">
        <v>55</v>
      </c>
      <c r="F604" s="3" t="str">
        <f t="shared" si="131"/>
        <v>Matrix metalloproteinase-9</v>
      </c>
      <c r="G604" s="4" t="str">
        <f t="shared" si="132"/>
        <v>Minocycline</v>
      </c>
      <c r="H604" s="3" t="str">
        <f>HYPERLINK("https://www.cortellis.com/drugdiscovery/entity/biomarkers/43995","8-gene expression colorectal cancer panel")</f>
        <v>8-gene expression colorectal cancer panel</v>
      </c>
      <c r="I604" s="2" t="s">
        <v>23</v>
      </c>
      <c r="J604" s="2" t="s">
        <v>19</v>
      </c>
      <c r="K604" s="4" t="str">
        <f>HYPERLINK("https://www.cortellis.com/drugdiscovery/result/proxy/related-content/biomarkers/genestargets/43995","matrix metallopeptidase 9")</f>
        <v>matrix metallopeptidase 9</v>
      </c>
    </row>
    <row r="605" spans="1:11" ht="60" customHeight="1" x14ac:dyDescent="0.2">
      <c r="A605" s="2">
        <v>602</v>
      </c>
      <c r="B605" s="3" t="str">
        <f t="shared" si="128"/>
        <v>MMP-9</v>
      </c>
      <c r="C605" s="3" t="str">
        <f t="shared" si="129"/>
        <v>MMP9</v>
      </c>
      <c r="D605" s="3" t="str">
        <f t="shared" si="130"/>
        <v>MMP9_HUMAN</v>
      </c>
      <c r="E605" s="2" t="s">
        <v>55</v>
      </c>
      <c r="F605" s="3" t="str">
        <f t="shared" si="131"/>
        <v>Matrix metalloproteinase-9</v>
      </c>
      <c r="G605" s="4" t="str">
        <f t="shared" si="132"/>
        <v>Minocycline</v>
      </c>
      <c r="H605" s="3" t="str">
        <f>HYPERLINK("https://www.cortellis.com/drugdiscovery/entity/biomarkers/45762","37-protein metastatic colon cancer panel")</f>
        <v>37-protein metastatic colon cancer panel</v>
      </c>
      <c r="I605" s="2" t="s">
        <v>20</v>
      </c>
      <c r="J605" s="2" t="s">
        <v>17</v>
      </c>
      <c r="K605" s="4" t="str">
        <f>HYPERLINK("https://www.cortellis.com/drugdiscovery/result/proxy/related-content/biomarkers/genestargets/45762","matrix metallopeptidase 2; matrix metallopeptidase 9")</f>
        <v>matrix metallopeptidase 2; matrix metallopeptidase 9</v>
      </c>
    </row>
    <row r="606" spans="1:11" ht="60" customHeight="1" x14ac:dyDescent="0.2">
      <c r="A606" s="2">
        <v>603</v>
      </c>
      <c r="B606" s="3" t="str">
        <f t="shared" si="128"/>
        <v>MMP-9</v>
      </c>
      <c r="C606" s="3" t="str">
        <f t="shared" si="129"/>
        <v>MMP9</v>
      </c>
      <c r="D606" s="3" t="str">
        <f t="shared" si="130"/>
        <v>MMP9_HUMAN</v>
      </c>
      <c r="E606" s="2" t="s">
        <v>55</v>
      </c>
      <c r="F606" s="3" t="str">
        <f t="shared" si="131"/>
        <v>Matrix metalloproteinase-9</v>
      </c>
      <c r="G606" s="4" t="str">
        <f t="shared" si="132"/>
        <v>Minocycline</v>
      </c>
      <c r="H606" s="3" t="str">
        <f>HYPERLINK("https://www.cortellis.com/drugdiscovery/entity/biomarkers/48821","10-gene expression clear cell renal cell cancer panel")</f>
        <v>10-gene expression clear cell renal cell cancer panel</v>
      </c>
      <c r="I606" s="2" t="s">
        <v>18</v>
      </c>
      <c r="J606" s="2" t="s">
        <v>19</v>
      </c>
      <c r="K606" s="4" t="str">
        <f>HYPERLINK("https://www.cortellis.com/drugdiscovery/result/proxy/related-content/biomarkers/genestargets/48821","matrix metallopeptidase 9")</f>
        <v>matrix metallopeptidase 9</v>
      </c>
    </row>
    <row r="607" spans="1:11" ht="60" customHeight="1" x14ac:dyDescent="0.2">
      <c r="A607" s="2">
        <v>604</v>
      </c>
      <c r="B607" s="3" t="str">
        <f t="shared" si="128"/>
        <v>MMP-9</v>
      </c>
      <c r="C607" s="3" t="str">
        <f t="shared" si="129"/>
        <v>MMP9</v>
      </c>
      <c r="D607" s="3" t="str">
        <f t="shared" si="130"/>
        <v>MMP9_HUMAN</v>
      </c>
      <c r="E607" s="2" t="s">
        <v>55</v>
      </c>
      <c r="F607" s="3" t="str">
        <f t="shared" si="131"/>
        <v>Matrix metalloproteinase-9</v>
      </c>
      <c r="G607" s="4" t="str">
        <f t="shared" si="132"/>
        <v>Minocycline</v>
      </c>
      <c r="H607" s="3" t="str">
        <f>HYPERLINK("https://www.cortellis.com/drugdiscovery/entity/biomarkers/49523","3-protein diffuse B cell lymphoma  panel")</f>
        <v>3-protein diffuse B cell lymphoma  panel</v>
      </c>
      <c r="I607" s="2" t="s">
        <v>23</v>
      </c>
      <c r="J607" s="2" t="s">
        <v>17</v>
      </c>
      <c r="K607" s="4" t="str">
        <f>HYPERLINK("https://www.cortellis.com/drugdiscovery/result/proxy/related-content/biomarkers/genestargets/49523","matrix metallopeptidase 9")</f>
        <v>matrix metallopeptidase 9</v>
      </c>
    </row>
    <row r="608" spans="1:11" ht="60" customHeight="1" x14ac:dyDescent="0.2">
      <c r="A608" s="2">
        <v>605</v>
      </c>
      <c r="B608" s="3" t="str">
        <f t="shared" si="128"/>
        <v>MMP-9</v>
      </c>
      <c r="C608" s="3" t="str">
        <f t="shared" si="129"/>
        <v>MMP9</v>
      </c>
      <c r="D608" s="3" t="str">
        <f t="shared" si="130"/>
        <v>MMP9_HUMAN</v>
      </c>
      <c r="E608" s="2" t="s">
        <v>55</v>
      </c>
      <c r="F608" s="3" t="str">
        <f t="shared" si="131"/>
        <v>Matrix metalloproteinase-9</v>
      </c>
      <c r="G608" s="4" t="str">
        <f t="shared" si="132"/>
        <v>Minocycline</v>
      </c>
      <c r="H608" s="3" t="str">
        <f>HYPERLINK("https://www.cortellis.com/drugdiscovery/entity/biomarkers/49848","29-gene expression colorectal cancer panel")</f>
        <v>29-gene expression colorectal cancer panel</v>
      </c>
      <c r="I608" s="2" t="s">
        <v>23</v>
      </c>
      <c r="J608" s="2" t="s">
        <v>19</v>
      </c>
      <c r="K608" s="4" t="str">
        <f>HYPERLINK("https://www.cortellis.com/drugdiscovery/result/proxy/related-content/biomarkers/genestargets/49848","matrix metallopeptidase 9")</f>
        <v>matrix metallopeptidase 9</v>
      </c>
    </row>
    <row r="609" spans="1:11" ht="60" customHeight="1" x14ac:dyDescent="0.2">
      <c r="A609" s="2">
        <v>606</v>
      </c>
      <c r="B609" s="3" t="str">
        <f t="shared" si="128"/>
        <v>MMP-9</v>
      </c>
      <c r="C609" s="3" t="str">
        <f t="shared" si="129"/>
        <v>MMP9</v>
      </c>
      <c r="D609" s="3" t="str">
        <f t="shared" si="130"/>
        <v>MMP9_HUMAN</v>
      </c>
      <c r="E609" s="2" t="s">
        <v>55</v>
      </c>
      <c r="F609" s="3" t="str">
        <f t="shared" si="131"/>
        <v>Matrix metalloproteinase-9</v>
      </c>
      <c r="G609" s="4" t="str">
        <f t="shared" si="132"/>
        <v>Minocycline</v>
      </c>
      <c r="H609" s="3" t="str">
        <f>HYPERLINK("https://www.cortellis.com/drugdiscovery/entity/biomarkers/50282","10-protein bladder cancer panel")</f>
        <v>10-protein bladder cancer panel</v>
      </c>
      <c r="I609" s="2" t="s">
        <v>52</v>
      </c>
      <c r="J609" s="2" t="s">
        <v>17</v>
      </c>
      <c r="K609" s="4" t="str">
        <f>HYPERLINK("https://www.cortellis.com/drugdiscovery/result/proxy/related-content/biomarkers/genestargets/50282","matrix metallopeptidase 9")</f>
        <v>matrix metallopeptidase 9</v>
      </c>
    </row>
    <row r="610" spans="1:11" ht="60" customHeight="1" x14ac:dyDescent="0.2">
      <c r="A610" s="2">
        <v>607</v>
      </c>
      <c r="B610" s="3" t="str">
        <f t="shared" si="128"/>
        <v>MMP-9</v>
      </c>
      <c r="C610" s="3" t="str">
        <f t="shared" si="129"/>
        <v>MMP9</v>
      </c>
      <c r="D610" s="3" t="str">
        <f t="shared" si="130"/>
        <v>MMP9_HUMAN</v>
      </c>
      <c r="E610" s="2" t="s">
        <v>55</v>
      </c>
      <c r="F610" s="3" t="str">
        <f t="shared" si="131"/>
        <v>Matrix metalloproteinase-9</v>
      </c>
      <c r="G610" s="4" t="str">
        <f t="shared" si="132"/>
        <v>Minocycline</v>
      </c>
      <c r="H610" s="3" t="str">
        <f>HYPERLINK("https://www.cortellis.com/drugdiscovery/entity/biomarkers/50774","9-protein Kawasaki's disease panel")</f>
        <v>9-protein Kawasaki's disease panel</v>
      </c>
      <c r="I610" s="2" t="s">
        <v>23</v>
      </c>
      <c r="J610" s="2" t="s">
        <v>17</v>
      </c>
      <c r="K610" s="4" t="str">
        <f>HYPERLINK("https://www.cortellis.com/drugdiscovery/result/proxy/related-content/biomarkers/genestargets/50774","matrix metallopeptidase 9; solute carrier family 11 member 1")</f>
        <v>matrix metallopeptidase 9; solute carrier family 11 member 1</v>
      </c>
    </row>
    <row r="611" spans="1:11" ht="60" customHeight="1" x14ac:dyDescent="0.2">
      <c r="A611" s="2">
        <v>608</v>
      </c>
      <c r="B611" s="3" t="str">
        <f t="shared" si="128"/>
        <v>MMP-9</v>
      </c>
      <c r="C611" s="3" t="str">
        <f t="shared" si="129"/>
        <v>MMP9</v>
      </c>
      <c r="D611" s="3" t="str">
        <f t="shared" si="130"/>
        <v>MMP9_HUMAN</v>
      </c>
      <c r="E611" s="2" t="s">
        <v>55</v>
      </c>
      <c r="F611" s="3" t="str">
        <f t="shared" si="131"/>
        <v>Matrix metalloproteinase-9</v>
      </c>
      <c r="G611" s="4" t="str">
        <f t="shared" si="132"/>
        <v>Minocycline</v>
      </c>
      <c r="H611" s="3" t="str">
        <f>HYPERLINK("https://www.cortellis.com/drugdiscovery/entity/biomarkers/50815","4-protein serous ovarian cancer panel")</f>
        <v>4-protein serous ovarian cancer panel</v>
      </c>
      <c r="I611" s="2" t="s">
        <v>23</v>
      </c>
      <c r="J611" s="2" t="s">
        <v>17</v>
      </c>
      <c r="K611" s="4" t="str">
        <f>HYPERLINK("https://www.cortellis.com/drugdiscovery/result/proxy/related-content/biomarkers/genestargets/50815","matrix metallopeptidase 9")</f>
        <v>matrix metallopeptidase 9</v>
      </c>
    </row>
    <row r="612" spans="1:11" ht="60" customHeight="1" x14ac:dyDescent="0.2">
      <c r="A612" s="2">
        <v>609</v>
      </c>
      <c r="B612" s="3" t="str">
        <f t="shared" si="128"/>
        <v>MMP-9</v>
      </c>
      <c r="C612" s="3" t="str">
        <f t="shared" si="129"/>
        <v>MMP9</v>
      </c>
      <c r="D612" s="3" t="str">
        <f t="shared" si="130"/>
        <v>MMP9_HUMAN</v>
      </c>
      <c r="E612" s="2" t="s">
        <v>55</v>
      </c>
      <c r="F612" s="3" t="str">
        <f t="shared" si="131"/>
        <v>Matrix metalloproteinase-9</v>
      </c>
      <c r="G612" s="4" t="str">
        <f t="shared" si="132"/>
        <v>Minocycline</v>
      </c>
      <c r="H612" s="3" t="str">
        <f>HYPERLINK("https://www.cortellis.com/drugdiscovery/entity/biomarkers/51682","Multiplex biomarker panel")</f>
        <v>Multiplex biomarker panel</v>
      </c>
      <c r="I612" s="2" t="s">
        <v>23</v>
      </c>
      <c r="J612" s="2" t="s">
        <v>15</v>
      </c>
      <c r="K612" s="4" t="str">
        <f>HYPERLINK("https://www.cortellis.com/drugdiscovery/result/proxy/related-content/biomarkers/genestargets/51682","matrix metallopeptidase 2; matrix metallopeptidase 9")</f>
        <v>matrix metallopeptidase 2; matrix metallopeptidase 9</v>
      </c>
    </row>
    <row r="613" spans="1:11" ht="60" customHeight="1" x14ac:dyDescent="0.2">
      <c r="A613" s="2">
        <v>610</v>
      </c>
      <c r="B613" s="3" t="str">
        <f t="shared" si="128"/>
        <v>MMP-9</v>
      </c>
      <c r="C613" s="3" t="str">
        <f t="shared" si="129"/>
        <v>MMP9</v>
      </c>
      <c r="D613" s="3" t="str">
        <f t="shared" si="130"/>
        <v>MMP9_HUMAN</v>
      </c>
      <c r="E613" s="2" t="s">
        <v>55</v>
      </c>
      <c r="F613" s="3" t="str">
        <f t="shared" si="131"/>
        <v>Matrix metalloproteinase-9</v>
      </c>
      <c r="G613" s="4" t="str">
        <f t="shared" si="132"/>
        <v>Minocycline</v>
      </c>
      <c r="H613" s="3" t="str">
        <f>HYPERLINK("https://www.cortellis.com/drugdiscovery/entity/biomarkers/51857","20-protein psychiatric disorders panel")</f>
        <v>20-protein psychiatric disorders panel</v>
      </c>
      <c r="I613" s="2" t="s">
        <v>23</v>
      </c>
      <c r="J613" s="2" t="s">
        <v>17</v>
      </c>
      <c r="K613" s="4" t="str">
        <f>HYPERLINK("https://www.cortellis.com/drugdiscovery/result/proxy/related-content/biomarkers/genestargets/51857","matrix metallopeptidase 9")</f>
        <v>matrix metallopeptidase 9</v>
      </c>
    </row>
    <row r="614" spans="1:11" ht="60" customHeight="1" x14ac:dyDescent="0.2">
      <c r="A614" s="2">
        <v>611</v>
      </c>
      <c r="B614" s="3" t="str">
        <f t="shared" si="128"/>
        <v>MMP-9</v>
      </c>
      <c r="C614" s="3" t="str">
        <f t="shared" si="129"/>
        <v>MMP9</v>
      </c>
      <c r="D614" s="3" t="str">
        <f t="shared" si="130"/>
        <v>MMP9_HUMAN</v>
      </c>
      <c r="E614" s="2" t="s">
        <v>55</v>
      </c>
      <c r="F614" s="3" t="str">
        <f t="shared" si="131"/>
        <v>Matrix metalloproteinase-9</v>
      </c>
      <c r="G614" s="4" t="str">
        <f t="shared" si="132"/>
        <v>Minocycline</v>
      </c>
      <c r="H614" s="3" t="str">
        <f>HYPERLINK("https://www.cortellis.com/drugdiscovery/entity/biomarkers/51943","3-protein colorectal cancer panel")</f>
        <v>3-protein colorectal cancer panel</v>
      </c>
      <c r="I614" s="2" t="s">
        <v>25</v>
      </c>
      <c r="J614" s="2" t="s">
        <v>17</v>
      </c>
      <c r="K614" s="4" t="str">
        <f>HYPERLINK("https://www.cortellis.com/drugdiscovery/result/proxy/related-content/biomarkers/genestargets/51943","matrix metallopeptidase 9")</f>
        <v>matrix metallopeptidase 9</v>
      </c>
    </row>
    <row r="615" spans="1:11" ht="60" customHeight="1" x14ac:dyDescent="0.2">
      <c r="A615" s="2">
        <v>612</v>
      </c>
      <c r="B615" s="3" t="str">
        <f t="shared" si="128"/>
        <v>MMP-9</v>
      </c>
      <c r="C615" s="3" t="str">
        <f t="shared" si="129"/>
        <v>MMP9</v>
      </c>
      <c r="D615" s="3" t="str">
        <f t="shared" si="130"/>
        <v>MMP9_HUMAN</v>
      </c>
      <c r="E615" s="2" t="s">
        <v>55</v>
      </c>
      <c r="F615" s="3" t="str">
        <f t="shared" si="131"/>
        <v>Matrix metalloproteinase-9</v>
      </c>
      <c r="G615" s="4" t="str">
        <f t="shared" si="132"/>
        <v>Minocycline</v>
      </c>
      <c r="H615" s="3" t="str">
        <f>HYPERLINK("https://www.cortellis.com/drugdiscovery/entity/biomarkers/53826","10-protein bladder cancer panel")</f>
        <v>10-protein bladder cancer panel</v>
      </c>
      <c r="I615" s="2" t="s">
        <v>23</v>
      </c>
      <c r="J615" s="2" t="s">
        <v>17</v>
      </c>
      <c r="K615" s="4" t="str">
        <f>HYPERLINK("https://www.cortellis.com/drugdiscovery/result/proxy/related-content/biomarkers/genestargets/53826","matrix metallopeptidase 9")</f>
        <v>matrix metallopeptidase 9</v>
      </c>
    </row>
    <row r="616" spans="1:11" ht="60" customHeight="1" x14ac:dyDescent="0.2">
      <c r="A616" s="2">
        <v>613</v>
      </c>
      <c r="B616" s="3" t="str">
        <f t="shared" si="128"/>
        <v>MMP-9</v>
      </c>
      <c r="C616" s="3" t="str">
        <f t="shared" si="129"/>
        <v>MMP9</v>
      </c>
      <c r="D616" s="3" t="str">
        <f t="shared" si="130"/>
        <v>MMP9_HUMAN</v>
      </c>
      <c r="E616" s="2" t="s">
        <v>55</v>
      </c>
      <c r="F616" s="3" t="str">
        <f t="shared" si="131"/>
        <v>Matrix metalloproteinase-9</v>
      </c>
      <c r="G616" s="4" t="str">
        <f t="shared" si="132"/>
        <v>Minocycline</v>
      </c>
      <c r="H616" s="3" t="str">
        <f>HYPERLINK("https://www.cortellis.com/drugdiscovery/entity/biomarkers/54509","5-protein hepatotoxicty panel")</f>
        <v>5-protein hepatotoxicty panel</v>
      </c>
      <c r="I616" s="2" t="s">
        <v>23</v>
      </c>
      <c r="J616" s="2" t="s">
        <v>17</v>
      </c>
      <c r="K616" s="4" t="str">
        <f>HYPERLINK("https://www.cortellis.com/drugdiscovery/result/proxy/related-content/biomarkers/genestargets/54509","matrix metallopeptidase 9")</f>
        <v>matrix metallopeptidase 9</v>
      </c>
    </row>
    <row r="617" spans="1:11" ht="60" customHeight="1" x14ac:dyDescent="0.2">
      <c r="A617" s="2">
        <v>614</v>
      </c>
      <c r="B617" s="3" t="str">
        <f t="shared" si="128"/>
        <v>MMP-9</v>
      </c>
      <c r="C617" s="3" t="str">
        <f t="shared" si="129"/>
        <v>MMP9</v>
      </c>
      <c r="D617" s="3" t="str">
        <f t="shared" si="130"/>
        <v>MMP9_HUMAN</v>
      </c>
      <c r="E617" s="2" t="s">
        <v>55</v>
      </c>
      <c r="F617" s="3" t="str">
        <f t="shared" si="131"/>
        <v>Matrix metalloproteinase-9</v>
      </c>
      <c r="G617" s="4" t="str">
        <f t="shared" si="132"/>
        <v>Minocycline</v>
      </c>
      <c r="H617" s="3" t="str">
        <f>HYPERLINK("https://www.cortellis.com/drugdiscovery/entity/biomarkers/55657","4-protein cardiovascular disorder panel")</f>
        <v>4-protein cardiovascular disorder panel</v>
      </c>
      <c r="I617" s="2" t="s">
        <v>29</v>
      </c>
      <c r="J617" s="2" t="s">
        <v>17</v>
      </c>
      <c r="K617" s="4" t="str">
        <f>HYPERLINK("https://www.cortellis.com/drugdiscovery/result/proxy/related-content/biomarkers/genestargets/55657","matrix metallopeptidase 9")</f>
        <v>matrix metallopeptidase 9</v>
      </c>
    </row>
    <row r="618" spans="1:11" ht="60" customHeight="1" x14ac:dyDescent="0.2">
      <c r="A618" s="2">
        <v>615</v>
      </c>
      <c r="B618" s="3" t="str">
        <f t="shared" si="128"/>
        <v>MMP-9</v>
      </c>
      <c r="C618" s="3" t="str">
        <f t="shared" si="129"/>
        <v>MMP9</v>
      </c>
      <c r="D618" s="3" t="str">
        <f t="shared" si="130"/>
        <v>MMP9_HUMAN</v>
      </c>
      <c r="E618" s="2" t="s">
        <v>55</v>
      </c>
      <c r="F618" s="3" t="str">
        <f t="shared" si="131"/>
        <v>Matrix metalloproteinase-9</v>
      </c>
      <c r="G618" s="4" t="str">
        <f t="shared" si="132"/>
        <v>Minocycline</v>
      </c>
      <c r="H618" s="3" t="str">
        <f>HYPERLINK("https://www.cortellis.com/drugdiscovery/entity/biomarkers/59957","10-protein obstructive pulmonary disease panel")</f>
        <v>10-protein obstructive pulmonary disease panel</v>
      </c>
      <c r="I618" s="2" t="s">
        <v>20</v>
      </c>
      <c r="J618" s="2" t="s">
        <v>17</v>
      </c>
      <c r="K618" s="4" t="str">
        <f>HYPERLINK("https://www.cortellis.com/drugdiscovery/result/proxy/related-content/biomarkers/genestargets/59957","matrix metallopeptidase 9; ribonuclease A family member 3")</f>
        <v>matrix metallopeptidase 9; ribonuclease A family member 3</v>
      </c>
    </row>
    <row r="619" spans="1:11" ht="60" customHeight="1" x14ac:dyDescent="0.2">
      <c r="A619" s="2">
        <v>616</v>
      </c>
      <c r="B619" s="3" t="str">
        <f t="shared" si="128"/>
        <v>MMP-9</v>
      </c>
      <c r="C619" s="3" t="str">
        <f t="shared" si="129"/>
        <v>MMP9</v>
      </c>
      <c r="D619" s="3" t="str">
        <f t="shared" si="130"/>
        <v>MMP9_HUMAN</v>
      </c>
      <c r="E619" s="2" t="s">
        <v>55</v>
      </c>
      <c r="F619" s="3" t="str">
        <f t="shared" si="131"/>
        <v>Matrix metalloproteinase-9</v>
      </c>
      <c r="G619" s="4" t="str">
        <f t="shared" si="132"/>
        <v>Minocycline</v>
      </c>
      <c r="H619" s="3" t="str">
        <f>HYPERLINK("https://www.cortellis.com/drugdiscovery/entity/biomarkers/59959","13-protein Crohn's disease panel")</f>
        <v>13-protein Crohn's disease panel</v>
      </c>
      <c r="I619" s="2" t="s">
        <v>24</v>
      </c>
      <c r="J619" s="2" t="s">
        <v>17</v>
      </c>
      <c r="K619" s="4" t="str">
        <f>HYPERLINK("https://www.cortellis.com/drugdiscovery/result/proxy/related-content/biomarkers/genestargets/59959","interleukin 7; matrix metallopeptidase 2; matrix metallopeptidase 9")</f>
        <v>interleukin 7; matrix metallopeptidase 2; matrix metallopeptidase 9</v>
      </c>
    </row>
    <row r="620" spans="1:11" ht="60" customHeight="1" x14ac:dyDescent="0.2">
      <c r="A620" s="2">
        <v>617</v>
      </c>
      <c r="B620" s="3" t="str">
        <f t="shared" si="128"/>
        <v>MMP-9</v>
      </c>
      <c r="C620" s="3" t="str">
        <f t="shared" si="129"/>
        <v>MMP9</v>
      </c>
      <c r="D620" s="3" t="str">
        <f t="shared" si="130"/>
        <v>MMP9_HUMAN</v>
      </c>
      <c r="E620" s="2" t="s">
        <v>55</v>
      </c>
      <c r="F620" s="3" t="str">
        <f t="shared" si="131"/>
        <v>Matrix metalloproteinase-9</v>
      </c>
      <c r="G620" s="4" t="str">
        <f t="shared" si="132"/>
        <v>Minocycline</v>
      </c>
      <c r="H620" s="3" t="str">
        <f>HYPERLINK("https://www.cortellis.com/drugdiscovery/entity/biomarkers/59979","10-protein bladder cancer panel")</f>
        <v>10-protein bladder cancer panel</v>
      </c>
      <c r="I620" s="2" t="s">
        <v>23</v>
      </c>
      <c r="J620" s="2" t="s">
        <v>17</v>
      </c>
      <c r="K620" s="4" t="str">
        <f>HYPERLINK("https://www.cortellis.com/drugdiscovery/result/proxy/related-content/biomarkers/genestargets/59979","matrix metallopeptidase 9")</f>
        <v>matrix metallopeptidase 9</v>
      </c>
    </row>
    <row r="621" spans="1:11" ht="60" customHeight="1" x14ac:dyDescent="0.2">
      <c r="A621" s="2">
        <v>618</v>
      </c>
      <c r="B621" s="3" t="str">
        <f t="shared" si="128"/>
        <v>MMP-9</v>
      </c>
      <c r="C621" s="3" t="str">
        <f t="shared" si="129"/>
        <v>MMP9</v>
      </c>
      <c r="D621" s="3" t="str">
        <f t="shared" si="130"/>
        <v>MMP9_HUMAN</v>
      </c>
      <c r="E621" s="2" t="s">
        <v>55</v>
      </c>
      <c r="F621" s="3" t="str">
        <f t="shared" si="131"/>
        <v>Matrix metalloproteinase-9</v>
      </c>
      <c r="G621" s="4" t="str">
        <f t="shared" ref="G621:G650" si="133">HYPERLINK("https://portal.genego.com/cgi/entity_page.cgi?term=7&amp;id=-1203985680","Marimastat")</f>
        <v>Marimastat</v>
      </c>
      <c r="H621" s="3" t="str">
        <f>HYPERLINK("https://www.cortellis.com/drugdiscovery/entity/biomarkers/65","MammaPrint")</f>
        <v>MammaPrint</v>
      </c>
      <c r="I621" s="2" t="s">
        <v>58</v>
      </c>
      <c r="J621" s="2" t="s">
        <v>19</v>
      </c>
      <c r="K621" s="4" t="str">
        <f>HYPERLINK("https://www.cortellis.com/drugdiscovery/result/proxy/related-content/biomarkers/genestargets/65","matrix metallopeptidase 9")</f>
        <v>matrix metallopeptidase 9</v>
      </c>
    </row>
    <row r="622" spans="1:11" ht="60" customHeight="1" x14ac:dyDescent="0.2">
      <c r="A622" s="2">
        <v>619</v>
      </c>
      <c r="B622" s="3" t="str">
        <f t="shared" si="128"/>
        <v>MMP-9</v>
      </c>
      <c r="C622" s="3" t="str">
        <f t="shared" si="129"/>
        <v>MMP9</v>
      </c>
      <c r="D622" s="3" t="str">
        <f t="shared" si="130"/>
        <v>MMP9_HUMAN</v>
      </c>
      <c r="E622" s="2" t="s">
        <v>55</v>
      </c>
      <c r="F622" s="3" t="str">
        <f t="shared" si="131"/>
        <v>Matrix metalloproteinase-9</v>
      </c>
      <c r="G622" s="4" t="str">
        <f t="shared" si="133"/>
        <v>Marimastat</v>
      </c>
      <c r="H622" s="3" t="str">
        <f>HYPERLINK("https://www.cortellis.com/drugdiscovery/entity/biomarkers/173","Matrix metalloproteinase-9")</f>
        <v>Matrix metalloproteinase-9</v>
      </c>
      <c r="I622" s="2" t="s">
        <v>31</v>
      </c>
      <c r="J622" s="2" t="s">
        <v>15</v>
      </c>
      <c r="K622" s="4" t="str">
        <f>HYPERLINK("https://www.cortellis.com/drugdiscovery/result/proxy/related-content/biomarkers/genestargets/173","matrix metallopeptidase 9")</f>
        <v>matrix metallopeptidase 9</v>
      </c>
    </row>
    <row r="623" spans="1:11" ht="60" customHeight="1" x14ac:dyDescent="0.2">
      <c r="A623" s="2">
        <v>620</v>
      </c>
      <c r="B623" s="3" t="str">
        <f t="shared" si="128"/>
        <v>MMP-9</v>
      </c>
      <c r="C623" s="3" t="str">
        <f t="shared" si="129"/>
        <v>MMP9</v>
      </c>
      <c r="D623" s="3" t="str">
        <f t="shared" si="130"/>
        <v>MMP9_HUMAN</v>
      </c>
      <c r="E623" s="2" t="s">
        <v>55</v>
      </c>
      <c r="F623" s="3" t="str">
        <f t="shared" si="131"/>
        <v>Matrix metalloproteinase-9</v>
      </c>
      <c r="G623" s="4" t="str">
        <f t="shared" si="133"/>
        <v>Marimastat</v>
      </c>
      <c r="H623" s="3" t="str">
        <f>HYPERLINK("https://www.cortellis.com/drugdiscovery/entity/biomarkers/26294","160-gene expression liver cancer panel")</f>
        <v>160-gene expression liver cancer panel</v>
      </c>
      <c r="I623" s="2" t="s">
        <v>25</v>
      </c>
      <c r="J623" s="2" t="s">
        <v>19</v>
      </c>
      <c r="K623" s="4" t="str">
        <f>HYPERLINK("https://www.cortellis.com/drugdiscovery/result/proxy/related-content/biomarkers/genestargets/26294","matrix metallopeptidase 9")</f>
        <v>matrix metallopeptidase 9</v>
      </c>
    </row>
    <row r="624" spans="1:11" ht="60" customHeight="1" x14ac:dyDescent="0.2">
      <c r="A624" s="2">
        <v>621</v>
      </c>
      <c r="B624" s="3" t="str">
        <f t="shared" si="128"/>
        <v>MMP-9</v>
      </c>
      <c r="C624" s="3" t="str">
        <f t="shared" si="129"/>
        <v>MMP9</v>
      </c>
      <c r="D624" s="3" t="str">
        <f t="shared" si="130"/>
        <v>MMP9_HUMAN</v>
      </c>
      <c r="E624" s="2" t="s">
        <v>55</v>
      </c>
      <c r="F624" s="3" t="str">
        <f t="shared" si="131"/>
        <v>Matrix metalloproteinase-9</v>
      </c>
      <c r="G624" s="4" t="str">
        <f t="shared" si="133"/>
        <v>Marimastat</v>
      </c>
      <c r="H624" s="3" t="str">
        <f>HYPERLINK("https://www.cortellis.com/drugdiscovery/entity/biomarkers/27598","89-protein neurological alzheimer's panel")</f>
        <v>89-protein neurological alzheimer's panel</v>
      </c>
      <c r="I624" s="2" t="s">
        <v>23</v>
      </c>
      <c r="J624" s="2" t="s">
        <v>17</v>
      </c>
      <c r="K62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625" spans="1:11" ht="60" customHeight="1" x14ac:dyDescent="0.2">
      <c r="A625" s="2">
        <v>622</v>
      </c>
      <c r="B625" s="3" t="str">
        <f t="shared" si="128"/>
        <v>MMP-9</v>
      </c>
      <c r="C625" s="3" t="str">
        <f t="shared" si="129"/>
        <v>MMP9</v>
      </c>
      <c r="D625" s="3" t="str">
        <f t="shared" si="130"/>
        <v>MMP9_HUMAN</v>
      </c>
      <c r="E625" s="2" t="s">
        <v>55</v>
      </c>
      <c r="F625" s="3" t="str">
        <f t="shared" si="131"/>
        <v>Matrix metalloproteinase-9</v>
      </c>
      <c r="G625" s="4" t="str">
        <f t="shared" si="133"/>
        <v>Marimastat</v>
      </c>
      <c r="H625" s="3" t="str">
        <f>HYPERLINK("https://www.cortellis.com/drugdiscovery/entity/biomarkers/27613","9-gene expression ischemic stroke panel")</f>
        <v>9-gene expression ischemic stroke panel</v>
      </c>
      <c r="I625" s="2" t="s">
        <v>23</v>
      </c>
      <c r="J625" s="2" t="s">
        <v>19</v>
      </c>
      <c r="K625" s="4" t="str">
        <f>HYPERLINK("https://www.cortellis.com/drugdiscovery/result/proxy/related-content/biomarkers/genestargets/27613","matrix metallopeptidase 9")</f>
        <v>matrix metallopeptidase 9</v>
      </c>
    </row>
    <row r="626" spans="1:11" ht="60" customHeight="1" x14ac:dyDescent="0.2">
      <c r="A626" s="2">
        <v>623</v>
      </c>
      <c r="B626" s="3" t="str">
        <f t="shared" si="128"/>
        <v>MMP-9</v>
      </c>
      <c r="C626" s="3" t="str">
        <f t="shared" si="129"/>
        <v>MMP9</v>
      </c>
      <c r="D626" s="3" t="str">
        <f t="shared" si="130"/>
        <v>MMP9_HUMAN</v>
      </c>
      <c r="E626" s="2" t="s">
        <v>55</v>
      </c>
      <c r="F626" s="3" t="str">
        <f t="shared" si="131"/>
        <v>Matrix metalloproteinase-9</v>
      </c>
      <c r="G626" s="4" t="str">
        <f t="shared" si="133"/>
        <v>Marimastat</v>
      </c>
      <c r="H626" s="3" t="str">
        <f>HYPERLINK("https://www.cortellis.com/drugdiscovery/entity/biomarkers/28479","24-gene expression breast cancer panel")</f>
        <v>24-gene expression breast cancer panel</v>
      </c>
      <c r="I626" s="2" t="s">
        <v>18</v>
      </c>
      <c r="J626" s="2" t="s">
        <v>19</v>
      </c>
      <c r="K626" s="4" t="str">
        <f>HYPERLINK("https://www.cortellis.com/drugdiscovery/result/proxy/related-content/biomarkers/genestargets/28479","matrix metallopeptidase 9")</f>
        <v>matrix metallopeptidase 9</v>
      </c>
    </row>
    <row r="627" spans="1:11" ht="60" customHeight="1" x14ac:dyDescent="0.2">
      <c r="A627" s="2">
        <v>624</v>
      </c>
      <c r="B627" s="3" t="str">
        <f t="shared" si="128"/>
        <v>MMP-9</v>
      </c>
      <c r="C627" s="3" t="str">
        <f t="shared" si="129"/>
        <v>MMP9</v>
      </c>
      <c r="D627" s="3" t="str">
        <f t="shared" si="130"/>
        <v>MMP9_HUMAN</v>
      </c>
      <c r="E627" s="2" t="s">
        <v>55</v>
      </c>
      <c r="F627" s="3" t="str">
        <f t="shared" si="131"/>
        <v>Matrix metalloproteinase-9</v>
      </c>
      <c r="G627" s="4" t="str">
        <f t="shared" si="133"/>
        <v>Marimastat</v>
      </c>
      <c r="H627" s="3" t="str">
        <f>HYPERLINK("https://www.cortellis.com/drugdiscovery/entity/biomarkers/34465","10-protein 1-biochemical alzheimer's panel")</f>
        <v>10-protein 1-biochemical alzheimer's panel</v>
      </c>
      <c r="I627" s="2" t="s">
        <v>23</v>
      </c>
      <c r="J627" s="2" t="s">
        <v>59</v>
      </c>
      <c r="K627" s="4" t="str">
        <f>HYPERLINK("https://www.cortellis.com/drugdiscovery/result/proxy/related-content/biomarkers/genestargets/34465","matrix metallopeptidase 9")</f>
        <v>matrix metallopeptidase 9</v>
      </c>
    </row>
    <row r="628" spans="1:11" ht="60" customHeight="1" x14ac:dyDescent="0.2">
      <c r="A628" s="2">
        <v>625</v>
      </c>
      <c r="B628" s="3" t="str">
        <f t="shared" si="128"/>
        <v>MMP-9</v>
      </c>
      <c r="C628" s="3" t="str">
        <f t="shared" si="129"/>
        <v>MMP9</v>
      </c>
      <c r="D628" s="3" t="str">
        <f t="shared" si="130"/>
        <v>MMP9_HUMAN</v>
      </c>
      <c r="E628" s="2" t="s">
        <v>55</v>
      </c>
      <c r="F628" s="3" t="str">
        <f t="shared" si="131"/>
        <v>Matrix metalloproteinase-9</v>
      </c>
      <c r="G628" s="4" t="str">
        <f t="shared" si="133"/>
        <v>Marimastat</v>
      </c>
      <c r="H628" s="3" t="str">
        <f>HYPERLINK("https://www.cortellis.com/drugdiscovery/entity/biomarkers/39788","Epithelial-mesenchymal transition gene signature")</f>
        <v>Epithelial-mesenchymal transition gene signature</v>
      </c>
      <c r="I628" s="2" t="s">
        <v>18</v>
      </c>
      <c r="J628" s="2" t="s">
        <v>19</v>
      </c>
      <c r="K628" s="4" t="str">
        <f>HYPERLINK("https://www.cortellis.com/drugdiscovery/result/proxy/related-content/biomarkers/genestargets/39788","C-C motif chemokine ligand 2; matrix metallopeptidase 9")</f>
        <v>C-C motif chemokine ligand 2; matrix metallopeptidase 9</v>
      </c>
    </row>
    <row r="629" spans="1:11" ht="60" customHeight="1" x14ac:dyDescent="0.2">
      <c r="A629" s="2">
        <v>626</v>
      </c>
      <c r="B629" s="3" t="str">
        <f t="shared" si="128"/>
        <v>MMP-9</v>
      </c>
      <c r="C629" s="3" t="str">
        <f t="shared" si="129"/>
        <v>MMP9</v>
      </c>
      <c r="D629" s="3" t="str">
        <f t="shared" si="130"/>
        <v>MMP9_HUMAN</v>
      </c>
      <c r="E629" s="2" t="s">
        <v>55</v>
      </c>
      <c r="F629" s="3" t="str">
        <f t="shared" si="131"/>
        <v>Matrix metalloproteinase-9</v>
      </c>
      <c r="G629" s="4" t="str">
        <f t="shared" si="133"/>
        <v>Marimastat</v>
      </c>
      <c r="H629" s="3" t="str">
        <f>HYPERLINK("https://www.cortellis.com/drugdiscovery/entity/biomarkers/41350","10-protein liver cancer panel")</f>
        <v>10-protein liver cancer panel</v>
      </c>
      <c r="I629" s="2" t="s">
        <v>52</v>
      </c>
      <c r="J629" s="2" t="s">
        <v>17</v>
      </c>
      <c r="K629" s="4" t="str">
        <f>HYPERLINK("https://www.cortellis.com/drugdiscovery/result/proxy/related-content/biomarkers/genestargets/41350","matrix metallopeptidase 9")</f>
        <v>matrix metallopeptidase 9</v>
      </c>
    </row>
    <row r="630" spans="1:11" ht="60" customHeight="1" x14ac:dyDescent="0.2">
      <c r="A630" s="2">
        <v>627</v>
      </c>
      <c r="B630" s="3" t="str">
        <f t="shared" si="128"/>
        <v>MMP-9</v>
      </c>
      <c r="C630" s="3" t="str">
        <f t="shared" si="129"/>
        <v>MMP9</v>
      </c>
      <c r="D630" s="3" t="str">
        <f t="shared" si="130"/>
        <v>MMP9_HUMAN</v>
      </c>
      <c r="E630" s="2" t="s">
        <v>55</v>
      </c>
      <c r="F630" s="3" t="str">
        <f t="shared" si="131"/>
        <v>Matrix metalloproteinase-9</v>
      </c>
      <c r="G630" s="4" t="str">
        <f t="shared" si="133"/>
        <v>Marimastat</v>
      </c>
      <c r="H630" s="3" t="str">
        <f>HYPERLINK("https://www.cortellis.com/drugdiscovery/entity/biomarkers/41936","5-gene expression breast cancer panel")</f>
        <v>5-gene expression breast cancer panel</v>
      </c>
      <c r="I630" s="2" t="s">
        <v>60</v>
      </c>
      <c r="J630" s="2" t="s">
        <v>19</v>
      </c>
      <c r="K630" s="4" t="str">
        <f>HYPERLINK("https://www.cortellis.com/drugdiscovery/result/proxy/related-content/biomarkers/genestargets/41936","matrix metallopeptidase 9")</f>
        <v>matrix metallopeptidase 9</v>
      </c>
    </row>
    <row r="631" spans="1:11" ht="60" customHeight="1" x14ac:dyDescent="0.2">
      <c r="A631" s="2">
        <v>628</v>
      </c>
      <c r="B631" s="3" t="str">
        <f t="shared" si="128"/>
        <v>MMP-9</v>
      </c>
      <c r="C631" s="3" t="str">
        <f t="shared" si="129"/>
        <v>MMP9</v>
      </c>
      <c r="D631" s="3" t="str">
        <f t="shared" si="130"/>
        <v>MMP9_HUMAN</v>
      </c>
      <c r="E631" s="2" t="s">
        <v>55</v>
      </c>
      <c r="F631" s="3" t="str">
        <f t="shared" si="131"/>
        <v>Matrix metalloproteinase-9</v>
      </c>
      <c r="G631" s="4" t="str">
        <f t="shared" si="133"/>
        <v>Marimastat</v>
      </c>
      <c r="H631" s="3" t="str">
        <f>HYPERLINK("https://www.cortellis.com/drugdiscovery/entity/biomarkers/43380","7-protein bladder cancer panel")</f>
        <v>7-protein bladder cancer panel</v>
      </c>
      <c r="I631" s="2" t="s">
        <v>23</v>
      </c>
      <c r="J631" s="2" t="s">
        <v>15</v>
      </c>
      <c r="K631" s="4" t="str">
        <f>HYPERLINK("https://www.cortellis.com/drugdiscovery/result/proxy/related-content/biomarkers/genestargets/43380","matrix metallopeptidase 9")</f>
        <v>matrix metallopeptidase 9</v>
      </c>
    </row>
    <row r="632" spans="1:11" ht="60" customHeight="1" x14ac:dyDescent="0.2">
      <c r="A632" s="2">
        <v>629</v>
      </c>
      <c r="B632" s="3" t="str">
        <f t="shared" si="128"/>
        <v>MMP-9</v>
      </c>
      <c r="C632" s="3" t="str">
        <f t="shared" si="129"/>
        <v>MMP9</v>
      </c>
      <c r="D632" s="3" t="str">
        <f t="shared" si="130"/>
        <v>MMP9_HUMAN</v>
      </c>
      <c r="E632" s="2" t="s">
        <v>55</v>
      </c>
      <c r="F632" s="3" t="str">
        <f t="shared" si="131"/>
        <v>Matrix metalloproteinase-9</v>
      </c>
      <c r="G632" s="4" t="str">
        <f t="shared" si="133"/>
        <v>Marimastat</v>
      </c>
      <c r="H632" s="3" t="str">
        <f>HYPERLINK("https://www.cortellis.com/drugdiscovery/entity/biomarkers/43382","3-protein bladder cancer panel")</f>
        <v>3-protein bladder cancer panel</v>
      </c>
      <c r="I632" s="2" t="s">
        <v>23</v>
      </c>
      <c r="J632" s="2" t="s">
        <v>17</v>
      </c>
      <c r="K632" s="4" t="str">
        <f>HYPERLINK("https://www.cortellis.com/drugdiscovery/result/proxy/related-content/biomarkers/genestargets/43382","matrix metallopeptidase 9")</f>
        <v>matrix metallopeptidase 9</v>
      </c>
    </row>
    <row r="633" spans="1:11" ht="60" customHeight="1" x14ac:dyDescent="0.2">
      <c r="A633" s="2">
        <v>630</v>
      </c>
      <c r="B633" s="3" t="str">
        <f t="shared" si="128"/>
        <v>MMP-9</v>
      </c>
      <c r="C633" s="3" t="str">
        <f t="shared" si="129"/>
        <v>MMP9</v>
      </c>
      <c r="D633" s="3" t="str">
        <f t="shared" si="130"/>
        <v>MMP9_HUMAN</v>
      </c>
      <c r="E633" s="2" t="s">
        <v>55</v>
      </c>
      <c r="F633" s="3" t="str">
        <f t="shared" si="131"/>
        <v>Matrix metalloproteinase-9</v>
      </c>
      <c r="G633" s="4" t="str">
        <f t="shared" si="133"/>
        <v>Marimastat</v>
      </c>
      <c r="H633" s="3" t="str">
        <f>HYPERLINK("https://www.cortellis.com/drugdiscovery/entity/biomarkers/43994","4-gene expression adenomatous polyps panel")</f>
        <v>4-gene expression adenomatous polyps panel</v>
      </c>
      <c r="I633" s="2" t="s">
        <v>23</v>
      </c>
      <c r="J633" s="2" t="s">
        <v>19</v>
      </c>
      <c r="K633" s="4" t="str">
        <f>HYPERLINK("https://www.cortellis.com/drugdiscovery/result/proxy/related-content/biomarkers/genestargets/43994","matrix metallopeptidase 9")</f>
        <v>matrix metallopeptidase 9</v>
      </c>
    </row>
    <row r="634" spans="1:11" ht="60" customHeight="1" x14ac:dyDescent="0.2">
      <c r="A634" s="2">
        <v>631</v>
      </c>
      <c r="B634" s="3" t="str">
        <f t="shared" si="128"/>
        <v>MMP-9</v>
      </c>
      <c r="C634" s="3" t="str">
        <f t="shared" si="129"/>
        <v>MMP9</v>
      </c>
      <c r="D634" s="3" t="str">
        <f t="shared" si="130"/>
        <v>MMP9_HUMAN</v>
      </c>
      <c r="E634" s="2" t="s">
        <v>55</v>
      </c>
      <c r="F634" s="3" t="str">
        <f t="shared" si="131"/>
        <v>Matrix metalloproteinase-9</v>
      </c>
      <c r="G634" s="4" t="str">
        <f t="shared" si="133"/>
        <v>Marimastat</v>
      </c>
      <c r="H634" s="3" t="str">
        <f>HYPERLINK("https://www.cortellis.com/drugdiscovery/entity/biomarkers/43995","8-gene expression colorectal cancer panel")</f>
        <v>8-gene expression colorectal cancer panel</v>
      </c>
      <c r="I634" s="2" t="s">
        <v>23</v>
      </c>
      <c r="J634" s="2" t="s">
        <v>19</v>
      </c>
      <c r="K634" s="4" t="str">
        <f>HYPERLINK("https://www.cortellis.com/drugdiscovery/result/proxy/related-content/biomarkers/genestargets/43995","matrix metallopeptidase 9")</f>
        <v>matrix metallopeptidase 9</v>
      </c>
    </row>
    <row r="635" spans="1:11" ht="60" customHeight="1" x14ac:dyDescent="0.2">
      <c r="A635" s="2">
        <v>632</v>
      </c>
      <c r="B635" s="3" t="str">
        <f t="shared" si="128"/>
        <v>MMP-9</v>
      </c>
      <c r="C635" s="3" t="str">
        <f t="shared" si="129"/>
        <v>MMP9</v>
      </c>
      <c r="D635" s="3" t="str">
        <f t="shared" si="130"/>
        <v>MMP9_HUMAN</v>
      </c>
      <c r="E635" s="2" t="s">
        <v>55</v>
      </c>
      <c r="F635" s="3" t="str">
        <f t="shared" si="131"/>
        <v>Matrix metalloproteinase-9</v>
      </c>
      <c r="G635" s="4" t="str">
        <f t="shared" si="133"/>
        <v>Marimastat</v>
      </c>
      <c r="H635" s="3" t="str">
        <f>HYPERLINK("https://www.cortellis.com/drugdiscovery/entity/biomarkers/45762","37-protein metastatic colon cancer panel")</f>
        <v>37-protein metastatic colon cancer panel</v>
      </c>
      <c r="I635" s="2" t="s">
        <v>20</v>
      </c>
      <c r="J635" s="2" t="s">
        <v>17</v>
      </c>
      <c r="K635" s="4" t="str">
        <f>HYPERLINK("https://www.cortellis.com/drugdiscovery/result/proxy/related-content/biomarkers/genestargets/45762","matrix metallopeptidase 2; matrix metallopeptidase 9")</f>
        <v>matrix metallopeptidase 2; matrix metallopeptidase 9</v>
      </c>
    </row>
    <row r="636" spans="1:11" ht="60" customHeight="1" x14ac:dyDescent="0.2">
      <c r="A636" s="2">
        <v>633</v>
      </c>
      <c r="B636" s="3" t="str">
        <f t="shared" si="128"/>
        <v>MMP-9</v>
      </c>
      <c r="C636" s="3" t="str">
        <f t="shared" si="129"/>
        <v>MMP9</v>
      </c>
      <c r="D636" s="3" t="str">
        <f t="shared" si="130"/>
        <v>MMP9_HUMAN</v>
      </c>
      <c r="E636" s="2" t="s">
        <v>55</v>
      </c>
      <c r="F636" s="3" t="str">
        <f t="shared" si="131"/>
        <v>Matrix metalloproteinase-9</v>
      </c>
      <c r="G636" s="4" t="str">
        <f t="shared" si="133"/>
        <v>Marimastat</v>
      </c>
      <c r="H636" s="3" t="str">
        <f>HYPERLINK("https://www.cortellis.com/drugdiscovery/entity/biomarkers/48821","10-gene expression clear cell renal cell cancer panel")</f>
        <v>10-gene expression clear cell renal cell cancer panel</v>
      </c>
      <c r="I636" s="2" t="s">
        <v>18</v>
      </c>
      <c r="J636" s="2" t="s">
        <v>19</v>
      </c>
      <c r="K636" s="4" t="str">
        <f>HYPERLINK("https://www.cortellis.com/drugdiscovery/result/proxy/related-content/biomarkers/genestargets/48821","matrix metallopeptidase 9")</f>
        <v>matrix metallopeptidase 9</v>
      </c>
    </row>
    <row r="637" spans="1:11" ht="60" customHeight="1" x14ac:dyDescent="0.2">
      <c r="A637" s="2">
        <v>634</v>
      </c>
      <c r="B637" s="3" t="str">
        <f t="shared" si="128"/>
        <v>MMP-9</v>
      </c>
      <c r="C637" s="3" t="str">
        <f t="shared" si="129"/>
        <v>MMP9</v>
      </c>
      <c r="D637" s="3" t="str">
        <f t="shared" si="130"/>
        <v>MMP9_HUMAN</v>
      </c>
      <c r="E637" s="2" t="s">
        <v>55</v>
      </c>
      <c r="F637" s="3" t="str">
        <f t="shared" si="131"/>
        <v>Matrix metalloproteinase-9</v>
      </c>
      <c r="G637" s="4" t="str">
        <f t="shared" si="133"/>
        <v>Marimastat</v>
      </c>
      <c r="H637" s="3" t="str">
        <f>HYPERLINK("https://www.cortellis.com/drugdiscovery/entity/biomarkers/49523","3-protein diffuse B cell lymphoma  panel")</f>
        <v>3-protein diffuse B cell lymphoma  panel</v>
      </c>
      <c r="I637" s="2" t="s">
        <v>23</v>
      </c>
      <c r="J637" s="2" t="s">
        <v>17</v>
      </c>
      <c r="K637" s="4" t="str">
        <f>HYPERLINK("https://www.cortellis.com/drugdiscovery/result/proxy/related-content/biomarkers/genestargets/49523","matrix metallopeptidase 9")</f>
        <v>matrix metallopeptidase 9</v>
      </c>
    </row>
    <row r="638" spans="1:11" ht="60" customHeight="1" x14ac:dyDescent="0.2">
      <c r="A638" s="2">
        <v>635</v>
      </c>
      <c r="B638" s="3" t="str">
        <f t="shared" si="128"/>
        <v>MMP-9</v>
      </c>
      <c r="C638" s="3" t="str">
        <f t="shared" si="129"/>
        <v>MMP9</v>
      </c>
      <c r="D638" s="3" t="str">
        <f t="shared" si="130"/>
        <v>MMP9_HUMAN</v>
      </c>
      <c r="E638" s="2" t="s">
        <v>55</v>
      </c>
      <c r="F638" s="3" t="str">
        <f t="shared" si="131"/>
        <v>Matrix metalloproteinase-9</v>
      </c>
      <c r="G638" s="4" t="str">
        <f t="shared" si="133"/>
        <v>Marimastat</v>
      </c>
      <c r="H638" s="3" t="str">
        <f>HYPERLINK("https://www.cortellis.com/drugdiscovery/entity/biomarkers/49848","29-gene expression colorectal cancer panel")</f>
        <v>29-gene expression colorectal cancer panel</v>
      </c>
      <c r="I638" s="2" t="s">
        <v>23</v>
      </c>
      <c r="J638" s="2" t="s">
        <v>19</v>
      </c>
      <c r="K638" s="4" t="str">
        <f>HYPERLINK("https://www.cortellis.com/drugdiscovery/result/proxy/related-content/biomarkers/genestargets/49848","matrix metallopeptidase 9")</f>
        <v>matrix metallopeptidase 9</v>
      </c>
    </row>
    <row r="639" spans="1:11" ht="60" customHeight="1" x14ac:dyDescent="0.2">
      <c r="A639" s="2">
        <v>636</v>
      </c>
      <c r="B639" s="3" t="str">
        <f t="shared" si="128"/>
        <v>MMP-9</v>
      </c>
      <c r="C639" s="3" t="str">
        <f t="shared" si="129"/>
        <v>MMP9</v>
      </c>
      <c r="D639" s="3" t="str">
        <f t="shared" si="130"/>
        <v>MMP9_HUMAN</v>
      </c>
      <c r="E639" s="2" t="s">
        <v>55</v>
      </c>
      <c r="F639" s="3" t="str">
        <f t="shared" si="131"/>
        <v>Matrix metalloproteinase-9</v>
      </c>
      <c r="G639" s="4" t="str">
        <f t="shared" si="133"/>
        <v>Marimastat</v>
      </c>
      <c r="H639" s="3" t="str">
        <f>HYPERLINK("https://www.cortellis.com/drugdiscovery/entity/biomarkers/50282","10-protein bladder cancer panel")</f>
        <v>10-protein bladder cancer panel</v>
      </c>
      <c r="I639" s="2" t="s">
        <v>52</v>
      </c>
      <c r="J639" s="2" t="s">
        <v>17</v>
      </c>
      <c r="K639" s="4" t="str">
        <f>HYPERLINK("https://www.cortellis.com/drugdiscovery/result/proxy/related-content/biomarkers/genestargets/50282","matrix metallopeptidase 9")</f>
        <v>matrix metallopeptidase 9</v>
      </c>
    </row>
    <row r="640" spans="1:11" ht="60" customHeight="1" x14ac:dyDescent="0.2">
      <c r="A640" s="2">
        <v>637</v>
      </c>
      <c r="B640" s="3" t="str">
        <f t="shared" si="128"/>
        <v>MMP-9</v>
      </c>
      <c r="C640" s="3" t="str">
        <f t="shared" si="129"/>
        <v>MMP9</v>
      </c>
      <c r="D640" s="3" t="str">
        <f t="shared" si="130"/>
        <v>MMP9_HUMAN</v>
      </c>
      <c r="E640" s="2" t="s">
        <v>55</v>
      </c>
      <c r="F640" s="3" t="str">
        <f t="shared" si="131"/>
        <v>Matrix metalloproteinase-9</v>
      </c>
      <c r="G640" s="4" t="str">
        <f t="shared" si="133"/>
        <v>Marimastat</v>
      </c>
      <c r="H640" s="3" t="str">
        <f>HYPERLINK("https://www.cortellis.com/drugdiscovery/entity/biomarkers/50774","9-protein Kawasaki's disease panel")</f>
        <v>9-protein Kawasaki's disease panel</v>
      </c>
      <c r="I640" s="2" t="s">
        <v>23</v>
      </c>
      <c r="J640" s="2" t="s">
        <v>17</v>
      </c>
      <c r="K640" s="4" t="str">
        <f>HYPERLINK("https://www.cortellis.com/drugdiscovery/result/proxy/related-content/biomarkers/genestargets/50774","matrix metallopeptidase 9; solute carrier family 11 member 1")</f>
        <v>matrix metallopeptidase 9; solute carrier family 11 member 1</v>
      </c>
    </row>
    <row r="641" spans="1:11" ht="60" customHeight="1" x14ac:dyDescent="0.2">
      <c r="A641" s="2">
        <v>638</v>
      </c>
      <c r="B641" s="3" t="str">
        <f t="shared" si="128"/>
        <v>MMP-9</v>
      </c>
      <c r="C641" s="3" t="str">
        <f t="shared" si="129"/>
        <v>MMP9</v>
      </c>
      <c r="D641" s="3" t="str">
        <f t="shared" si="130"/>
        <v>MMP9_HUMAN</v>
      </c>
      <c r="E641" s="2" t="s">
        <v>55</v>
      </c>
      <c r="F641" s="3" t="str">
        <f t="shared" si="131"/>
        <v>Matrix metalloproteinase-9</v>
      </c>
      <c r="G641" s="4" t="str">
        <f t="shared" si="133"/>
        <v>Marimastat</v>
      </c>
      <c r="H641" s="3" t="str">
        <f>HYPERLINK("https://www.cortellis.com/drugdiscovery/entity/biomarkers/50815","4-protein serous ovarian cancer panel")</f>
        <v>4-protein serous ovarian cancer panel</v>
      </c>
      <c r="I641" s="2" t="s">
        <v>23</v>
      </c>
      <c r="J641" s="2" t="s">
        <v>17</v>
      </c>
      <c r="K641" s="4" t="str">
        <f>HYPERLINK("https://www.cortellis.com/drugdiscovery/result/proxy/related-content/biomarkers/genestargets/50815","matrix metallopeptidase 9")</f>
        <v>matrix metallopeptidase 9</v>
      </c>
    </row>
    <row r="642" spans="1:11" ht="60" customHeight="1" x14ac:dyDescent="0.2">
      <c r="A642" s="2">
        <v>639</v>
      </c>
      <c r="B642" s="3" t="str">
        <f t="shared" si="128"/>
        <v>MMP-9</v>
      </c>
      <c r="C642" s="3" t="str">
        <f t="shared" si="129"/>
        <v>MMP9</v>
      </c>
      <c r="D642" s="3" t="str">
        <f t="shared" si="130"/>
        <v>MMP9_HUMAN</v>
      </c>
      <c r="E642" s="2" t="s">
        <v>55</v>
      </c>
      <c r="F642" s="3" t="str">
        <f t="shared" si="131"/>
        <v>Matrix metalloproteinase-9</v>
      </c>
      <c r="G642" s="4" t="str">
        <f t="shared" si="133"/>
        <v>Marimastat</v>
      </c>
      <c r="H642" s="3" t="str">
        <f>HYPERLINK("https://www.cortellis.com/drugdiscovery/entity/biomarkers/51682","Multiplex biomarker panel")</f>
        <v>Multiplex biomarker panel</v>
      </c>
      <c r="I642" s="2" t="s">
        <v>23</v>
      </c>
      <c r="J642" s="2" t="s">
        <v>15</v>
      </c>
      <c r="K642" s="4" t="str">
        <f>HYPERLINK("https://www.cortellis.com/drugdiscovery/result/proxy/related-content/biomarkers/genestargets/51682","matrix metallopeptidase 2; matrix metallopeptidase 9")</f>
        <v>matrix metallopeptidase 2; matrix metallopeptidase 9</v>
      </c>
    </row>
    <row r="643" spans="1:11" ht="60" customHeight="1" x14ac:dyDescent="0.2">
      <c r="A643" s="2">
        <v>640</v>
      </c>
      <c r="B643" s="3" t="str">
        <f t="shared" si="128"/>
        <v>MMP-9</v>
      </c>
      <c r="C643" s="3" t="str">
        <f t="shared" si="129"/>
        <v>MMP9</v>
      </c>
      <c r="D643" s="3" t="str">
        <f t="shared" si="130"/>
        <v>MMP9_HUMAN</v>
      </c>
      <c r="E643" s="2" t="s">
        <v>55</v>
      </c>
      <c r="F643" s="3" t="str">
        <f t="shared" si="131"/>
        <v>Matrix metalloproteinase-9</v>
      </c>
      <c r="G643" s="4" t="str">
        <f t="shared" si="133"/>
        <v>Marimastat</v>
      </c>
      <c r="H643" s="3" t="str">
        <f>HYPERLINK("https://www.cortellis.com/drugdiscovery/entity/biomarkers/51857","20-protein psychiatric disorders panel")</f>
        <v>20-protein psychiatric disorders panel</v>
      </c>
      <c r="I643" s="2" t="s">
        <v>23</v>
      </c>
      <c r="J643" s="2" t="s">
        <v>17</v>
      </c>
      <c r="K643" s="4" t="str">
        <f>HYPERLINK("https://www.cortellis.com/drugdiscovery/result/proxy/related-content/biomarkers/genestargets/51857","matrix metallopeptidase 9")</f>
        <v>matrix metallopeptidase 9</v>
      </c>
    </row>
    <row r="644" spans="1:11" ht="60" customHeight="1" x14ac:dyDescent="0.2">
      <c r="A644" s="2">
        <v>641</v>
      </c>
      <c r="B644" s="3" t="str">
        <f t="shared" si="128"/>
        <v>MMP-9</v>
      </c>
      <c r="C644" s="3" t="str">
        <f t="shared" si="129"/>
        <v>MMP9</v>
      </c>
      <c r="D644" s="3" t="str">
        <f t="shared" si="130"/>
        <v>MMP9_HUMAN</v>
      </c>
      <c r="E644" s="2" t="s">
        <v>55</v>
      </c>
      <c r="F644" s="3" t="str">
        <f t="shared" si="131"/>
        <v>Matrix metalloproteinase-9</v>
      </c>
      <c r="G644" s="4" t="str">
        <f t="shared" si="133"/>
        <v>Marimastat</v>
      </c>
      <c r="H644" s="3" t="str">
        <f>HYPERLINK("https://www.cortellis.com/drugdiscovery/entity/biomarkers/51943","3-protein colorectal cancer panel")</f>
        <v>3-protein colorectal cancer panel</v>
      </c>
      <c r="I644" s="2" t="s">
        <v>25</v>
      </c>
      <c r="J644" s="2" t="s">
        <v>17</v>
      </c>
      <c r="K644" s="4" t="str">
        <f>HYPERLINK("https://www.cortellis.com/drugdiscovery/result/proxy/related-content/biomarkers/genestargets/51943","matrix metallopeptidase 9")</f>
        <v>matrix metallopeptidase 9</v>
      </c>
    </row>
    <row r="645" spans="1:11" ht="60" customHeight="1" x14ac:dyDescent="0.2">
      <c r="A645" s="2">
        <v>642</v>
      </c>
      <c r="B645" s="3" t="str">
        <f t="shared" si="128"/>
        <v>MMP-9</v>
      </c>
      <c r="C645" s="3" t="str">
        <f t="shared" si="129"/>
        <v>MMP9</v>
      </c>
      <c r="D645" s="3" t="str">
        <f t="shared" si="130"/>
        <v>MMP9_HUMAN</v>
      </c>
      <c r="E645" s="2" t="s">
        <v>55</v>
      </c>
      <c r="F645" s="3" t="str">
        <f t="shared" si="131"/>
        <v>Matrix metalloproteinase-9</v>
      </c>
      <c r="G645" s="4" t="str">
        <f t="shared" si="133"/>
        <v>Marimastat</v>
      </c>
      <c r="H645" s="3" t="str">
        <f>HYPERLINK("https://www.cortellis.com/drugdiscovery/entity/biomarkers/53826","10-protein bladder cancer panel")</f>
        <v>10-protein bladder cancer panel</v>
      </c>
      <c r="I645" s="2" t="s">
        <v>23</v>
      </c>
      <c r="J645" s="2" t="s">
        <v>17</v>
      </c>
      <c r="K645" s="4" t="str">
        <f>HYPERLINK("https://www.cortellis.com/drugdiscovery/result/proxy/related-content/biomarkers/genestargets/53826","matrix metallopeptidase 9")</f>
        <v>matrix metallopeptidase 9</v>
      </c>
    </row>
    <row r="646" spans="1:11" ht="60" customHeight="1" x14ac:dyDescent="0.2">
      <c r="A646" s="2">
        <v>643</v>
      </c>
      <c r="B646" s="3" t="str">
        <f t="shared" si="128"/>
        <v>MMP-9</v>
      </c>
      <c r="C646" s="3" t="str">
        <f t="shared" si="129"/>
        <v>MMP9</v>
      </c>
      <c r="D646" s="3" t="str">
        <f t="shared" si="130"/>
        <v>MMP9_HUMAN</v>
      </c>
      <c r="E646" s="2" t="s">
        <v>55</v>
      </c>
      <c r="F646" s="3" t="str">
        <f t="shared" si="131"/>
        <v>Matrix metalloproteinase-9</v>
      </c>
      <c r="G646" s="4" t="str">
        <f t="shared" si="133"/>
        <v>Marimastat</v>
      </c>
      <c r="H646" s="3" t="str">
        <f>HYPERLINK("https://www.cortellis.com/drugdiscovery/entity/biomarkers/54509","5-protein hepatotoxicty panel")</f>
        <v>5-protein hepatotoxicty panel</v>
      </c>
      <c r="I646" s="2" t="s">
        <v>23</v>
      </c>
      <c r="J646" s="2" t="s">
        <v>17</v>
      </c>
      <c r="K646" s="4" t="str">
        <f>HYPERLINK("https://www.cortellis.com/drugdiscovery/result/proxy/related-content/biomarkers/genestargets/54509","matrix metallopeptidase 9")</f>
        <v>matrix metallopeptidase 9</v>
      </c>
    </row>
    <row r="647" spans="1:11" ht="60" customHeight="1" x14ac:dyDescent="0.2">
      <c r="A647" s="2">
        <v>644</v>
      </c>
      <c r="B647" s="3" t="str">
        <f t="shared" si="128"/>
        <v>MMP-9</v>
      </c>
      <c r="C647" s="3" t="str">
        <f t="shared" si="129"/>
        <v>MMP9</v>
      </c>
      <c r="D647" s="3" t="str">
        <f t="shared" si="130"/>
        <v>MMP9_HUMAN</v>
      </c>
      <c r="E647" s="2" t="s">
        <v>55</v>
      </c>
      <c r="F647" s="3" t="str">
        <f t="shared" si="131"/>
        <v>Matrix metalloproteinase-9</v>
      </c>
      <c r="G647" s="4" t="str">
        <f t="shared" si="133"/>
        <v>Marimastat</v>
      </c>
      <c r="H647" s="3" t="str">
        <f>HYPERLINK("https://www.cortellis.com/drugdiscovery/entity/biomarkers/55657","4-protein cardiovascular disorder panel")</f>
        <v>4-protein cardiovascular disorder panel</v>
      </c>
      <c r="I647" s="2" t="s">
        <v>29</v>
      </c>
      <c r="J647" s="2" t="s">
        <v>17</v>
      </c>
      <c r="K647" s="4" t="str">
        <f>HYPERLINK("https://www.cortellis.com/drugdiscovery/result/proxy/related-content/biomarkers/genestargets/55657","matrix metallopeptidase 9")</f>
        <v>matrix metallopeptidase 9</v>
      </c>
    </row>
    <row r="648" spans="1:11" ht="60" customHeight="1" x14ac:dyDescent="0.2">
      <c r="A648" s="2">
        <v>645</v>
      </c>
      <c r="B648" s="3" t="str">
        <f t="shared" si="128"/>
        <v>MMP-9</v>
      </c>
      <c r="C648" s="3" t="str">
        <f t="shared" si="129"/>
        <v>MMP9</v>
      </c>
      <c r="D648" s="3" t="str">
        <f t="shared" si="130"/>
        <v>MMP9_HUMAN</v>
      </c>
      <c r="E648" s="2" t="s">
        <v>55</v>
      </c>
      <c r="F648" s="3" t="str">
        <f t="shared" si="131"/>
        <v>Matrix metalloproteinase-9</v>
      </c>
      <c r="G648" s="4" t="str">
        <f t="shared" si="133"/>
        <v>Marimastat</v>
      </c>
      <c r="H648" s="3" t="str">
        <f>HYPERLINK("https://www.cortellis.com/drugdiscovery/entity/biomarkers/59957","10-protein obstructive pulmonary disease panel")</f>
        <v>10-protein obstructive pulmonary disease panel</v>
      </c>
      <c r="I648" s="2" t="s">
        <v>20</v>
      </c>
      <c r="J648" s="2" t="s">
        <v>17</v>
      </c>
      <c r="K648" s="4" t="str">
        <f>HYPERLINK("https://www.cortellis.com/drugdiscovery/result/proxy/related-content/biomarkers/genestargets/59957","matrix metallopeptidase 9; ribonuclease A family member 3")</f>
        <v>matrix metallopeptidase 9; ribonuclease A family member 3</v>
      </c>
    </row>
    <row r="649" spans="1:11" ht="60" customHeight="1" x14ac:dyDescent="0.2">
      <c r="A649" s="2">
        <v>646</v>
      </c>
      <c r="B649" s="3" t="str">
        <f t="shared" si="128"/>
        <v>MMP-9</v>
      </c>
      <c r="C649" s="3" t="str">
        <f t="shared" si="129"/>
        <v>MMP9</v>
      </c>
      <c r="D649" s="3" t="str">
        <f t="shared" si="130"/>
        <v>MMP9_HUMAN</v>
      </c>
      <c r="E649" s="2" t="s">
        <v>55</v>
      </c>
      <c r="F649" s="3" t="str">
        <f t="shared" si="131"/>
        <v>Matrix metalloproteinase-9</v>
      </c>
      <c r="G649" s="4" t="str">
        <f t="shared" si="133"/>
        <v>Marimastat</v>
      </c>
      <c r="H649" s="3" t="str">
        <f>HYPERLINK("https://www.cortellis.com/drugdiscovery/entity/biomarkers/59959","13-protein Crohn's disease panel")</f>
        <v>13-protein Crohn's disease panel</v>
      </c>
      <c r="I649" s="2" t="s">
        <v>24</v>
      </c>
      <c r="J649" s="2" t="s">
        <v>17</v>
      </c>
      <c r="K649" s="4" t="str">
        <f>HYPERLINK("https://www.cortellis.com/drugdiscovery/result/proxy/related-content/biomarkers/genestargets/59959","interleukin 7; matrix metallopeptidase 2; matrix metallopeptidase 9")</f>
        <v>interleukin 7; matrix metallopeptidase 2; matrix metallopeptidase 9</v>
      </c>
    </row>
    <row r="650" spans="1:11" ht="60" customHeight="1" x14ac:dyDescent="0.2">
      <c r="A650" s="2">
        <v>647</v>
      </c>
      <c r="B650" s="3" t="str">
        <f t="shared" si="128"/>
        <v>MMP-9</v>
      </c>
      <c r="C650" s="3" t="str">
        <f t="shared" si="129"/>
        <v>MMP9</v>
      </c>
      <c r="D650" s="3" t="str">
        <f t="shared" si="130"/>
        <v>MMP9_HUMAN</v>
      </c>
      <c r="E650" s="2" t="s">
        <v>55</v>
      </c>
      <c r="F650" s="3" t="str">
        <f t="shared" si="131"/>
        <v>Matrix metalloproteinase-9</v>
      </c>
      <c r="G650" s="4" t="str">
        <f t="shared" si="133"/>
        <v>Marimastat</v>
      </c>
      <c r="H650" s="3" t="str">
        <f>HYPERLINK("https://www.cortellis.com/drugdiscovery/entity/biomarkers/59979","10-protein bladder cancer panel")</f>
        <v>10-protein bladder cancer panel</v>
      </c>
      <c r="I650" s="2" t="s">
        <v>23</v>
      </c>
      <c r="J650" s="2" t="s">
        <v>17</v>
      </c>
      <c r="K650" s="4" t="str">
        <f>HYPERLINK("https://www.cortellis.com/drugdiscovery/result/proxy/related-content/biomarkers/genestargets/59979","matrix metallopeptidase 9")</f>
        <v>matrix metallopeptidase 9</v>
      </c>
    </row>
    <row r="651" spans="1:11" ht="60" customHeight="1" x14ac:dyDescent="0.2">
      <c r="A651" s="2">
        <v>648</v>
      </c>
      <c r="B651" s="3" t="str">
        <f t="shared" si="128"/>
        <v>MMP-9</v>
      </c>
      <c r="C651" s="3" t="str">
        <f t="shared" si="129"/>
        <v>MMP9</v>
      </c>
      <c r="D651" s="3" t="str">
        <f t="shared" si="130"/>
        <v>MMP9_HUMAN</v>
      </c>
      <c r="E651" s="2" t="s">
        <v>55</v>
      </c>
      <c r="F651" s="3" t="str">
        <f t="shared" si="131"/>
        <v>Matrix metalloproteinase-9</v>
      </c>
      <c r="G651" s="4" t="str">
        <f t="shared" ref="G651:G680" si="134">HYPERLINK("https://portal.genego.com/cgi/entity_page.cgi?term=7&amp;id=-1007396681","Doxycycline")</f>
        <v>Doxycycline</v>
      </c>
      <c r="H651" s="3" t="str">
        <f>HYPERLINK("https://www.cortellis.com/drugdiscovery/entity/biomarkers/65","MammaPrint")</f>
        <v>MammaPrint</v>
      </c>
      <c r="I651" s="2" t="s">
        <v>58</v>
      </c>
      <c r="J651" s="2" t="s">
        <v>19</v>
      </c>
      <c r="K651" s="4" t="str">
        <f>HYPERLINK("https://www.cortellis.com/drugdiscovery/result/proxy/related-content/biomarkers/genestargets/65","matrix metallopeptidase 9")</f>
        <v>matrix metallopeptidase 9</v>
      </c>
    </row>
    <row r="652" spans="1:11" ht="60" customHeight="1" x14ac:dyDescent="0.2">
      <c r="A652" s="2">
        <v>649</v>
      </c>
      <c r="B652" s="3" t="str">
        <f t="shared" si="128"/>
        <v>MMP-9</v>
      </c>
      <c r="C652" s="3" t="str">
        <f t="shared" si="129"/>
        <v>MMP9</v>
      </c>
      <c r="D652" s="3" t="str">
        <f t="shared" si="130"/>
        <v>MMP9_HUMAN</v>
      </c>
      <c r="E652" s="2" t="s">
        <v>55</v>
      </c>
      <c r="F652" s="3" t="str">
        <f t="shared" si="131"/>
        <v>Matrix metalloproteinase-9</v>
      </c>
      <c r="G652" s="4" t="str">
        <f t="shared" si="134"/>
        <v>Doxycycline</v>
      </c>
      <c r="H652" s="3" t="str">
        <f>HYPERLINK("https://www.cortellis.com/drugdiscovery/entity/biomarkers/173","Matrix metalloproteinase-9")</f>
        <v>Matrix metalloproteinase-9</v>
      </c>
      <c r="I652" s="2" t="s">
        <v>31</v>
      </c>
      <c r="J652" s="2" t="s">
        <v>15</v>
      </c>
      <c r="K652" s="4" t="str">
        <f>HYPERLINK("https://www.cortellis.com/drugdiscovery/result/proxy/related-content/biomarkers/genestargets/173","matrix metallopeptidase 9")</f>
        <v>matrix metallopeptidase 9</v>
      </c>
    </row>
    <row r="653" spans="1:11" ht="60" customHeight="1" x14ac:dyDescent="0.2">
      <c r="A653" s="2">
        <v>650</v>
      </c>
      <c r="B653" s="3" t="str">
        <f t="shared" si="128"/>
        <v>MMP-9</v>
      </c>
      <c r="C653" s="3" t="str">
        <f t="shared" si="129"/>
        <v>MMP9</v>
      </c>
      <c r="D653" s="3" t="str">
        <f t="shared" si="130"/>
        <v>MMP9_HUMAN</v>
      </c>
      <c r="E653" s="2" t="s">
        <v>55</v>
      </c>
      <c r="F653" s="3" t="str">
        <f t="shared" si="131"/>
        <v>Matrix metalloproteinase-9</v>
      </c>
      <c r="G653" s="4" t="str">
        <f t="shared" si="134"/>
        <v>Doxycycline</v>
      </c>
      <c r="H653" s="3" t="str">
        <f>HYPERLINK("https://www.cortellis.com/drugdiscovery/entity/biomarkers/26294","160-gene expression liver cancer panel")</f>
        <v>160-gene expression liver cancer panel</v>
      </c>
      <c r="I653" s="2" t="s">
        <v>25</v>
      </c>
      <c r="J653" s="2" t="s">
        <v>19</v>
      </c>
      <c r="K653" s="4" t="str">
        <f>HYPERLINK("https://www.cortellis.com/drugdiscovery/result/proxy/related-content/biomarkers/genestargets/26294","matrix metallopeptidase 9")</f>
        <v>matrix metallopeptidase 9</v>
      </c>
    </row>
    <row r="654" spans="1:11" ht="60" customHeight="1" x14ac:dyDescent="0.2">
      <c r="A654" s="2">
        <v>651</v>
      </c>
      <c r="B654" s="3" t="str">
        <f t="shared" si="128"/>
        <v>MMP-9</v>
      </c>
      <c r="C654" s="3" t="str">
        <f t="shared" si="129"/>
        <v>MMP9</v>
      </c>
      <c r="D654" s="3" t="str">
        <f t="shared" si="130"/>
        <v>MMP9_HUMAN</v>
      </c>
      <c r="E654" s="2" t="s">
        <v>55</v>
      </c>
      <c r="F654" s="3" t="str">
        <f t="shared" si="131"/>
        <v>Matrix metalloproteinase-9</v>
      </c>
      <c r="G654" s="4" t="str">
        <f t="shared" si="134"/>
        <v>Doxycycline</v>
      </c>
      <c r="H654" s="3" t="str">
        <f>HYPERLINK("https://www.cortellis.com/drugdiscovery/entity/biomarkers/27598","89-protein neurological alzheimer's panel")</f>
        <v>89-protein neurological alzheimer's panel</v>
      </c>
      <c r="I654" s="2" t="s">
        <v>23</v>
      </c>
      <c r="J654" s="2" t="s">
        <v>17</v>
      </c>
      <c r="K65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655" spans="1:11" ht="60" customHeight="1" x14ac:dyDescent="0.2">
      <c r="A655" s="2">
        <v>652</v>
      </c>
      <c r="B655" s="3" t="str">
        <f t="shared" ref="B655:B718" si="135">HYPERLINK("https://portal.genego.com/cgi/entity_page.cgi?term=100&amp;id=4125","MMP-9")</f>
        <v>MMP-9</v>
      </c>
      <c r="C655" s="3" t="str">
        <f t="shared" ref="C655:C718" si="136">HYPERLINK("https://portal.genego.com/cgi/entity_page.cgi?term=20&amp;id=1390764486","MMP9")</f>
        <v>MMP9</v>
      </c>
      <c r="D655" s="3" t="str">
        <f t="shared" ref="D655:D718" si="137">HYPERLINK("https://portal.genego.com/cgi/entity_page.cgi?term=7&amp;id=-675020829","MMP9_HUMAN")</f>
        <v>MMP9_HUMAN</v>
      </c>
      <c r="E655" s="2" t="s">
        <v>55</v>
      </c>
      <c r="F655" s="3" t="str">
        <f t="shared" ref="F655:F718" si="138">HYPERLINK("https://portal.genego.com/cgi/entity_page.cgi?term=100&amp;id=4125","Matrix metalloproteinase-9")</f>
        <v>Matrix metalloproteinase-9</v>
      </c>
      <c r="G655" s="4" t="str">
        <f t="shared" si="134"/>
        <v>Doxycycline</v>
      </c>
      <c r="H655" s="3" t="str">
        <f>HYPERLINK("https://www.cortellis.com/drugdiscovery/entity/biomarkers/27613","9-gene expression ischemic stroke panel")</f>
        <v>9-gene expression ischemic stroke panel</v>
      </c>
      <c r="I655" s="2" t="s">
        <v>23</v>
      </c>
      <c r="J655" s="2" t="s">
        <v>19</v>
      </c>
      <c r="K655" s="4" t="str">
        <f>HYPERLINK("https://www.cortellis.com/drugdiscovery/result/proxy/related-content/biomarkers/genestargets/27613","matrix metallopeptidase 9")</f>
        <v>matrix metallopeptidase 9</v>
      </c>
    </row>
    <row r="656" spans="1:11" ht="60" customHeight="1" x14ac:dyDescent="0.2">
      <c r="A656" s="2">
        <v>653</v>
      </c>
      <c r="B656" s="3" t="str">
        <f t="shared" si="135"/>
        <v>MMP-9</v>
      </c>
      <c r="C656" s="3" t="str">
        <f t="shared" si="136"/>
        <v>MMP9</v>
      </c>
      <c r="D656" s="3" t="str">
        <f t="shared" si="137"/>
        <v>MMP9_HUMAN</v>
      </c>
      <c r="E656" s="2" t="s">
        <v>55</v>
      </c>
      <c r="F656" s="3" t="str">
        <f t="shared" si="138"/>
        <v>Matrix metalloproteinase-9</v>
      </c>
      <c r="G656" s="4" t="str">
        <f t="shared" si="134"/>
        <v>Doxycycline</v>
      </c>
      <c r="H656" s="3" t="str">
        <f>HYPERLINK("https://www.cortellis.com/drugdiscovery/entity/biomarkers/28479","24-gene expression breast cancer panel")</f>
        <v>24-gene expression breast cancer panel</v>
      </c>
      <c r="I656" s="2" t="s">
        <v>18</v>
      </c>
      <c r="J656" s="2" t="s">
        <v>19</v>
      </c>
      <c r="K656" s="4" t="str">
        <f>HYPERLINK("https://www.cortellis.com/drugdiscovery/result/proxy/related-content/biomarkers/genestargets/28479","matrix metallopeptidase 9")</f>
        <v>matrix metallopeptidase 9</v>
      </c>
    </row>
    <row r="657" spans="1:11" ht="60" customHeight="1" x14ac:dyDescent="0.2">
      <c r="A657" s="2">
        <v>654</v>
      </c>
      <c r="B657" s="3" t="str">
        <f t="shared" si="135"/>
        <v>MMP-9</v>
      </c>
      <c r="C657" s="3" t="str">
        <f t="shared" si="136"/>
        <v>MMP9</v>
      </c>
      <c r="D657" s="3" t="str">
        <f t="shared" si="137"/>
        <v>MMP9_HUMAN</v>
      </c>
      <c r="E657" s="2" t="s">
        <v>55</v>
      </c>
      <c r="F657" s="3" t="str">
        <f t="shared" si="138"/>
        <v>Matrix metalloproteinase-9</v>
      </c>
      <c r="G657" s="4" t="str">
        <f t="shared" si="134"/>
        <v>Doxycycline</v>
      </c>
      <c r="H657" s="3" t="str">
        <f>HYPERLINK("https://www.cortellis.com/drugdiscovery/entity/biomarkers/34465","10-protein 1-biochemical alzheimer's panel")</f>
        <v>10-protein 1-biochemical alzheimer's panel</v>
      </c>
      <c r="I657" s="2" t="s">
        <v>23</v>
      </c>
      <c r="J657" s="2" t="s">
        <v>59</v>
      </c>
      <c r="K657" s="4" t="str">
        <f>HYPERLINK("https://www.cortellis.com/drugdiscovery/result/proxy/related-content/biomarkers/genestargets/34465","matrix metallopeptidase 9")</f>
        <v>matrix metallopeptidase 9</v>
      </c>
    </row>
    <row r="658" spans="1:11" ht="60" customHeight="1" x14ac:dyDescent="0.2">
      <c r="A658" s="2">
        <v>655</v>
      </c>
      <c r="B658" s="3" t="str">
        <f t="shared" si="135"/>
        <v>MMP-9</v>
      </c>
      <c r="C658" s="3" t="str">
        <f t="shared" si="136"/>
        <v>MMP9</v>
      </c>
      <c r="D658" s="3" t="str">
        <f t="shared" si="137"/>
        <v>MMP9_HUMAN</v>
      </c>
      <c r="E658" s="2" t="s">
        <v>55</v>
      </c>
      <c r="F658" s="3" t="str">
        <f t="shared" si="138"/>
        <v>Matrix metalloproteinase-9</v>
      </c>
      <c r="G658" s="4" t="str">
        <f t="shared" si="134"/>
        <v>Doxycycline</v>
      </c>
      <c r="H658" s="3" t="str">
        <f>HYPERLINK("https://www.cortellis.com/drugdiscovery/entity/biomarkers/39788","Epithelial-mesenchymal transition gene signature")</f>
        <v>Epithelial-mesenchymal transition gene signature</v>
      </c>
      <c r="I658" s="2" t="s">
        <v>18</v>
      </c>
      <c r="J658" s="2" t="s">
        <v>19</v>
      </c>
      <c r="K658" s="4" t="str">
        <f>HYPERLINK("https://www.cortellis.com/drugdiscovery/result/proxy/related-content/biomarkers/genestargets/39788","C-C motif chemokine ligand 2; matrix metallopeptidase 9")</f>
        <v>C-C motif chemokine ligand 2; matrix metallopeptidase 9</v>
      </c>
    </row>
    <row r="659" spans="1:11" ht="60" customHeight="1" x14ac:dyDescent="0.2">
      <c r="A659" s="2">
        <v>656</v>
      </c>
      <c r="B659" s="3" t="str">
        <f t="shared" si="135"/>
        <v>MMP-9</v>
      </c>
      <c r="C659" s="3" t="str">
        <f t="shared" si="136"/>
        <v>MMP9</v>
      </c>
      <c r="D659" s="3" t="str">
        <f t="shared" si="137"/>
        <v>MMP9_HUMAN</v>
      </c>
      <c r="E659" s="2" t="s">
        <v>55</v>
      </c>
      <c r="F659" s="3" t="str">
        <f t="shared" si="138"/>
        <v>Matrix metalloproteinase-9</v>
      </c>
      <c r="G659" s="4" t="str">
        <f t="shared" si="134"/>
        <v>Doxycycline</v>
      </c>
      <c r="H659" s="3" t="str">
        <f>HYPERLINK("https://www.cortellis.com/drugdiscovery/entity/biomarkers/41350","10-protein liver cancer panel")</f>
        <v>10-protein liver cancer panel</v>
      </c>
      <c r="I659" s="2" t="s">
        <v>52</v>
      </c>
      <c r="J659" s="2" t="s">
        <v>17</v>
      </c>
      <c r="K659" s="4" t="str">
        <f>HYPERLINK("https://www.cortellis.com/drugdiscovery/result/proxy/related-content/biomarkers/genestargets/41350","matrix metallopeptidase 9")</f>
        <v>matrix metallopeptidase 9</v>
      </c>
    </row>
    <row r="660" spans="1:11" ht="60" customHeight="1" x14ac:dyDescent="0.2">
      <c r="A660" s="2">
        <v>657</v>
      </c>
      <c r="B660" s="3" t="str">
        <f t="shared" si="135"/>
        <v>MMP-9</v>
      </c>
      <c r="C660" s="3" t="str">
        <f t="shared" si="136"/>
        <v>MMP9</v>
      </c>
      <c r="D660" s="3" t="str">
        <f t="shared" si="137"/>
        <v>MMP9_HUMAN</v>
      </c>
      <c r="E660" s="2" t="s">
        <v>55</v>
      </c>
      <c r="F660" s="3" t="str">
        <f t="shared" si="138"/>
        <v>Matrix metalloproteinase-9</v>
      </c>
      <c r="G660" s="4" t="str">
        <f t="shared" si="134"/>
        <v>Doxycycline</v>
      </c>
      <c r="H660" s="3" t="str">
        <f>HYPERLINK("https://www.cortellis.com/drugdiscovery/entity/biomarkers/41936","5-gene expression breast cancer panel")</f>
        <v>5-gene expression breast cancer panel</v>
      </c>
      <c r="I660" s="2" t="s">
        <v>60</v>
      </c>
      <c r="J660" s="2" t="s">
        <v>19</v>
      </c>
      <c r="K660" s="4" t="str">
        <f>HYPERLINK("https://www.cortellis.com/drugdiscovery/result/proxy/related-content/biomarkers/genestargets/41936","matrix metallopeptidase 9")</f>
        <v>matrix metallopeptidase 9</v>
      </c>
    </row>
    <row r="661" spans="1:11" ht="60" customHeight="1" x14ac:dyDescent="0.2">
      <c r="A661" s="2">
        <v>658</v>
      </c>
      <c r="B661" s="3" t="str">
        <f t="shared" si="135"/>
        <v>MMP-9</v>
      </c>
      <c r="C661" s="3" t="str">
        <f t="shared" si="136"/>
        <v>MMP9</v>
      </c>
      <c r="D661" s="3" t="str">
        <f t="shared" si="137"/>
        <v>MMP9_HUMAN</v>
      </c>
      <c r="E661" s="2" t="s">
        <v>55</v>
      </c>
      <c r="F661" s="3" t="str">
        <f t="shared" si="138"/>
        <v>Matrix metalloproteinase-9</v>
      </c>
      <c r="G661" s="4" t="str">
        <f t="shared" si="134"/>
        <v>Doxycycline</v>
      </c>
      <c r="H661" s="3" t="str">
        <f>HYPERLINK("https://www.cortellis.com/drugdiscovery/entity/biomarkers/43380","7-protein bladder cancer panel")</f>
        <v>7-protein bladder cancer panel</v>
      </c>
      <c r="I661" s="2" t="s">
        <v>23</v>
      </c>
      <c r="J661" s="2" t="s">
        <v>15</v>
      </c>
      <c r="K661" s="4" t="str">
        <f>HYPERLINK("https://www.cortellis.com/drugdiscovery/result/proxy/related-content/biomarkers/genestargets/43380","matrix metallopeptidase 9")</f>
        <v>matrix metallopeptidase 9</v>
      </c>
    </row>
    <row r="662" spans="1:11" ht="60" customHeight="1" x14ac:dyDescent="0.2">
      <c r="A662" s="2">
        <v>659</v>
      </c>
      <c r="B662" s="3" t="str">
        <f t="shared" si="135"/>
        <v>MMP-9</v>
      </c>
      <c r="C662" s="3" t="str">
        <f t="shared" si="136"/>
        <v>MMP9</v>
      </c>
      <c r="D662" s="3" t="str">
        <f t="shared" si="137"/>
        <v>MMP9_HUMAN</v>
      </c>
      <c r="E662" s="2" t="s">
        <v>55</v>
      </c>
      <c r="F662" s="3" t="str">
        <f t="shared" si="138"/>
        <v>Matrix metalloproteinase-9</v>
      </c>
      <c r="G662" s="4" t="str">
        <f t="shared" si="134"/>
        <v>Doxycycline</v>
      </c>
      <c r="H662" s="3" t="str">
        <f>HYPERLINK("https://www.cortellis.com/drugdiscovery/entity/biomarkers/43382","3-protein bladder cancer panel")</f>
        <v>3-protein bladder cancer panel</v>
      </c>
      <c r="I662" s="2" t="s">
        <v>23</v>
      </c>
      <c r="J662" s="2" t="s">
        <v>17</v>
      </c>
      <c r="K662" s="4" t="str">
        <f>HYPERLINK("https://www.cortellis.com/drugdiscovery/result/proxy/related-content/biomarkers/genestargets/43382","matrix metallopeptidase 9")</f>
        <v>matrix metallopeptidase 9</v>
      </c>
    </row>
    <row r="663" spans="1:11" ht="60" customHeight="1" x14ac:dyDescent="0.2">
      <c r="A663" s="2">
        <v>660</v>
      </c>
      <c r="B663" s="3" t="str">
        <f t="shared" si="135"/>
        <v>MMP-9</v>
      </c>
      <c r="C663" s="3" t="str">
        <f t="shared" si="136"/>
        <v>MMP9</v>
      </c>
      <c r="D663" s="3" t="str">
        <f t="shared" si="137"/>
        <v>MMP9_HUMAN</v>
      </c>
      <c r="E663" s="2" t="s">
        <v>55</v>
      </c>
      <c r="F663" s="3" t="str">
        <f t="shared" si="138"/>
        <v>Matrix metalloproteinase-9</v>
      </c>
      <c r="G663" s="4" t="str">
        <f t="shared" si="134"/>
        <v>Doxycycline</v>
      </c>
      <c r="H663" s="3" t="str">
        <f>HYPERLINK("https://www.cortellis.com/drugdiscovery/entity/biomarkers/43994","4-gene expression adenomatous polyps panel")</f>
        <v>4-gene expression adenomatous polyps panel</v>
      </c>
      <c r="I663" s="2" t="s">
        <v>23</v>
      </c>
      <c r="J663" s="2" t="s">
        <v>19</v>
      </c>
      <c r="K663" s="4" t="str">
        <f>HYPERLINK("https://www.cortellis.com/drugdiscovery/result/proxy/related-content/biomarkers/genestargets/43994","matrix metallopeptidase 9")</f>
        <v>matrix metallopeptidase 9</v>
      </c>
    </row>
    <row r="664" spans="1:11" ht="60" customHeight="1" x14ac:dyDescent="0.2">
      <c r="A664" s="2">
        <v>661</v>
      </c>
      <c r="B664" s="3" t="str">
        <f t="shared" si="135"/>
        <v>MMP-9</v>
      </c>
      <c r="C664" s="3" t="str">
        <f t="shared" si="136"/>
        <v>MMP9</v>
      </c>
      <c r="D664" s="3" t="str">
        <f t="shared" si="137"/>
        <v>MMP9_HUMAN</v>
      </c>
      <c r="E664" s="2" t="s">
        <v>55</v>
      </c>
      <c r="F664" s="3" t="str">
        <f t="shared" si="138"/>
        <v>Matrix metalloproteinase-9</v>
      </c>
      <c r="G664" s="4" t="str">
        <f t="shared" si="134"/>
        <v>Doxycycline</v>
      </c>
      <c r="H664" s="3" t="str">
        <f>HYPERLINK("https://www.cortellis.com/drugdiscovery/entity/biomarkers/43995","8-gene expression colorectal cancer panel")</f>
        <v>8-gene expression colorectal cancer panel</v>
      </c>
      <c r="I664" s="2" t="s">
        <v>23</v>
      </c>
      <c r="J664" s="2" t="s">
        <v>19</v>
      </c>
      <c r="K664" s="4" t="str">
        <f>HYPERLINK("https://www.cortellis.com/drugdiscovery/result/proxy/related-content/biomarkers/genestargets/43995","matrix metallopeptidase 9")</f>
        <v>matrix metallopeptidase 9</v>
      </c>
    </row>
    <row r="665" spans="1:11" ht="60" customHeight="1" x14ac:dyDescent="0.2">
      <c r="A665" s="2">
        <v>662</v>
      </c>
      <c r="B665" s="3" t="str">
        <f t="shared" si="135"/>
        <v>MMP-9</v>
      </c>
      <c r="C665" s="3" t="str">
        <f t="shared" si="136"/>
        <v>MMP9</v>
      </c>
      <c r="D665" s="3" t="str">
        <f t="shared" si="137"/>
        <v>MMP9_HUMAN</v>
      </c>
      <c r="E665" s="2" t="s">
        <v>55</v>
      </c>
      <c r="F665" s="3" t="str">
        <f t="shared" si="138"/>
        <v>Matrix metalloproteinase-9</v>
      </c>
      <c r="G665" s="4" t="str">
        <f t="shared" si="134"/>
        <v>Doxycycline</v>
      </c>
      <c r="H665" s="3" t="str">
        <f>HYPERLINK("https://www.cortellis.com/drugdiscovery/entity/biomarkers/45762","37-protein metastatic colon cancer panel")</f>
        <v>37-protein metastatic colon cancer panel</v>
      </c>
      <c r="I665" s="2" t="s">
        <v>20</v>
      </c>
      <c r="J665" s="2" t="s">
        <v>17</v>
      </c>
      <c r="K665" s="4" t="str">
        <f>HYPERLINK("https://www.cortellis.com/drugdiscovery/result/proxy/related-content/biomarkers/genestargets/45762","matrix metallopeptidase 2; matrix metallopeptidase 9")</f>
        <v>matrix metallopeptidase 2; matrix metallopeptidase 9</v>
      </c>
    </row>
    <row r="666" spans="1:11" ht="60" customHeight="1" x14ac:dyDescent="0.2">
      <c r="A666" s="2">
        <v>663</v>
      </c>
      <c r="B666" s="3" t="str">
        <f t="shared" si="135"/>
        <v>MMP-9</v>
      </c>
      <c r="C666" s="3" t="str">
        <f t="shared" si="136"/>
        <v>MMP9</v>
      </c>
      <c r="D666" s="3" t="str">
        <f t="shared" si="137"/>
        <v>MMP9_HUMAN</v>
      </c>
      <c r="E666" s="2" t="s">
        <v>55</v>
      </c>
      <c r="F666" s="3" t="str">
        <f t="shared" si="138"/>
        <v>Matrix metalloproteinase-9</v>
      </c>
      <c r="G666" s="4" t="str">
        <f t="shared" si="134"/>
        <v>Doxycycline</v>
      </c>
      <c r="H666" s="3" t="str">
        <f>HYPERLINK("https://www.cortellis.com/drugdiscovery/entity/biomarkers/48821","10-gene expression clear cell renal cell cancer panel")</f>
        <v>10-gene expression clear cell renal cell cancer panel</v>
      </c>
      <c r="I666" s="2" t="s">
        <v>18</v>
      </c>
      <c r="J666" s="2" t="s">
        <v>19</v>
      </c>
      <c r="K666" s="4" t="str">
        <f>HYPERLINK("https://www.cortellis.com/drugdiscovery/result/proxy/related-content/biomarkers/genestargets/48821","matrix metallopeptidase 9")</f>
        <v>matrix metallopeptidase 9</v>
      </c>
    </row>
    <row r="667" spans="1:11" ht="60" customHeight="1" x14ac:dyDescent="0.2">
      <c r="A667" s="2">
        <v>664</v>
      </c>
      <c r="B667" s="3" t="str">
        <f t="shared" si="135"/>
        <v>MMP-9</v>
      </c>
      <c r="C667" s="3" t="str">
        <f t="shared" si="136"/>
        <v>MMP9</v>
      </c>
      <c r="D667" s="3" t="str">
        <f t="shared" si="137"/>
        <v>MMP9_HUMAN</v>
      </c>
      <c r="E667" s="2" t="s">
        <v>55</v>
      </c>
      <c r="F667" s="3" t="str">
        <f t="shared" si="138"/>
        <v>Matrix metalloproteinase-9</v>
      </c>
      <c r="G667" s="4" t="str">
        <f t="shared" si="134"/>
        <v>Doxycycline</v>
      </c>
      <c r="H667" s="3" t="str">
        <f>HYPERLINK("https://www.cortellis.com/drugdiscovery/entity/biomarkers/49523","3-protein diffuse B cell lymphoma  panel")</f>
        <v>3-protein diffuse B cell lymphoma  panel</v>
      </c>
      <c r="I667" s="2" t="s">
        <v>23</v>
      </c>
      <c r="J667" s="2" t="s">
        <v>17</v>
      </c>
      <c r="K667" s="4" t="str">
        <f>HYPERLINK("https://www.cortellis.com/drugdiscovery/result/proxy/related-content/biomarkers/genestargets/49523","matrix metallopeptidase 9")</f>
        <v>matrix metallopeptidase 9</v>
      </c>
    </row>
    <row r="668" spans="1:11" ht="60" customHeight="1" x14ac:dyDescent="0.2">
      <c r="A668" s="2">
        <v>665</v>
      </c>
      <c r="B668" s="3" t="str">
        <f t="shared" si="135"/>
        <v>MMP-9</v>
      </c>
      <c r="C668" s="3" t="str">
        <f t="shared" si="136"/>
        <v>MMP9</v>
      </c>
      <c r="D668" s="3" t="str">
        <f t="shared" si="137"/>
        <v>MMP9_HUMAN</v>
      </c>
      <c r="E668" s="2" t="s">
        <v>55</v>
      </c>
      <c r="F668" s="3" t="str">
        <f t="shared" si="138"/>
        <v>Matrix metalloproteinase-9</v>
      </c>
      <c r="G668" s="4" t="str">
        <f t="shared" si="134"/>
        <v>Doxycycline</v>
      </c>
      <c r="H668" s="3" t="str">
        <f>HYPERLINK("https://www.cortellis.com/drugdiscovery/entity/biomarkers/49848","29-gene expression colorectal cancer panel")</f>
        <v>29-gene expression colorectal cancer panel</v>
      </c>
      <c r="I668" s="2" t="s">
        <v>23</v>
      </c>
      <c r="J668" s="2" t="s">
        <v>19</v>
      </c>
      <c r="K668" s="4" t="str">
        <f>HYPERLINK("https://www.cortellis.com/drugdiscovery/result/proxy/related-content/biomarkers/genestargets/49848","matrix metallopeptidase 9")</f>
        <v>matrix metallopeptidase 9</v>
      </c>
    </row>
    <row r="669" spans="1:11" ht="60" customHeight="1" x14ac:dyDescent="0.2">
      <c r="A669" s="2">
        <v>666</v>
      </c>
      <c r="B669" s="3" t="str">
        <f t="shared" si="135"/>
        <v>MMP-9</v>
      </c>
      <c r="C669" s="3" t="str">
        <f t="shared" si="136"/>
        <v>MMP9</v>
      </c>
      <c r="D669" s="3" t="str">
        <f t="shared" si="137"/>
        <v>MMP9_HUMAN</v>
      </c>
      <c r="E669" s="2" t="s">
        <v>55</v>
      </c>
      <c r="F669" s="3" t="str">
        <f t="shared" si="138"/>
        <v>Matrix metalloproteinase-9</v>
      </c>
      <c r="G669" s="4" t="str">
        <f t="shared" si="134"/>
        <v>Doxycycline</v>
      </c>
      <c r="H669" s="3" t="str">
        <f>HYPERLINK("https://www.cortellis.com/drugdiscovery/entity/biomarkers/50282","10-protein bladder cancer panel")</f>
        <v>10-protein bladder cancer panel</v>
      </c>
      <c r="I669" s="2" t="s">
        <v>52</v>
      </c>
      <c r="J669" s="2" t="s">
        <v>17</v>
      </c>
      <c r="K669" s="4" t="str">
        <f>HYPERLINK("https://www.cortellis.com/drugdiscovery/result/proxy/related-content/biomarkers/genestargets/50282","matrix metallopeptidase 9")</f>
        <v>matrix metallopeptidase 9</v>
      </c>
    </row>
    <row r="670" spans="1:11" ht="60" customHeight="1" x14ac:dyDescent="0.2">
      <c r="A670" s="2">
        <v>667</v>
      </c>
      <c r="B670" s="3" t="str">
        <f t="shared" si="135"/>
        <v>MMP-9</v>
      </c>
      <c r="C670" s="3" t="str">
        <f t="shared" si="136"/>
        <v>MMP9</v>
      </c>
      <c r="D670" s="3" t="str">
        <f t="shared" si="137"/>
        <v>MMP9_HUMAN</v>
      </c>
      <c r="E670" s="2" t="s">
        <v>55</v>
      </c>
      <c r="F670" s="3" t="str">
        <f t="shared" si="138"/>
        <v>Matrix metalloproteinase-9</v>
      </c>
      <c r="G670" s="4" t="str">
        <f t="shared" si="134"/>
        <v>Doxycycline</v>
      </c>
      <c r="H670" s="3" t="str">
        <f>HYPERLINK("https://www.cortellis.com/drugdiscovery/entity/biomarkers/50774","9-protein Kawasaki's disease panel")</f>
        <v>9-protein Kawasaki's disease panel</v>
      </c>
      <c r="I670" s="2" t="s">
        <v>23</v>
      </c>
      <c r="J670" s="2" t="s">
        <v>17</v>
      </c>
      <c r="K670" s="4" t="str">
        <f>HYPERLINK("https://www.cortellis.com/drugdiscovery/result/proxy/related-content/biomarkers/genestargets/50774","matrix metallopeptidase 9; solute carrier family 11 member 1")</f>
        <v>matrix metallopeptidase 9; solute carrier family 11 member 1</v>
      </c>
    </row>
    <row r="671" spans="1:11" ht="60" customHeight="1" x14ac:dyDescent="0.2">
      <c r="A671" s="2">
        <v>668</v>
      </c>
      <c r="B671" s="3" t="str">
        <f t="shared" si="135"/>
        <v>MMP-9</v>
      </c>
      <c r="C671" s="3" t="str">
        <f t="shared" si="136"/>
        <v>MMP9</v>
      </c>
      <c r="D671" s="3" t="str">
        <f t="shared" si="137"/>
        <v>MMP9_HUMAN</v>
      </c>
      <c r="E671" s="2" t="s">
        <v>55</v>
      </c>
      <c r="F671" s="3" t="str">
        <f t="shared" si="138"/>
        <v>Matrix metalloproteinase-9</v>
      </c>
      <c r="G671" s="4" t="str">
        <f t="shared" si="134"/>
        <v>Doxycycline</v>
      </c>
      <c r="H671" s="3" t="str">
        <f>HYPERLINK("https://www.cortellis.com/drugdiscovery/entity/biomarkers/50815","4-protein serous ovarian cancer panel")</f>
        <v>4-protein serous ovarian cancer panel</v>
      </c>
      <c r="I671" s="2" t="s">
        <v>23</v>
      </c>
      <c r="J671" s="2" t="s">
        <v>17</v>
      </c>
      <c r="K671" s="4" t="str">
        <f>HYPERLINK("https://www.cortellis.com/drugdiscovery/result/proxy/related-content/biomarkers/genestargets/50815","matrix metallopeptidase 9")</f>
        <v>matrix metallopeptidase 9</v>
      </c>
    </row>
    <row r="672" spans="1:11" ht="60" customHeight="1" x14ac:dyDescent="0.2">
      <c r="A672" s="2">
        <v>669</v>
      </c>
      <c r="B672" s="3" t="str">
        <f t="shared" si="135"/>
        <v>MMP-9</v>
      </c>
      <c r="C672" s="3" t="str">
        <f t="shared" si="136"/>
        <v>MMP9</v>
      </c>
      <c r="D672" s="3" t="str">
        <f t="shared" si="137"/>
        <v>MMP9_HUMAN</v>
      </c>
      <c r="E672" s="2" t="s">
        <v>55</v>
      </c>
      <c r="F672" s="3" t="str">
        <f t="shared" si="138"/>
        <v>Matrix metalloproteinase-9</v>
      </c>
      <c r="G672" s="4" t="str">
        <f t="shared" si="134"/>
        <v>Doxycycline</v>
      </c>
      <c r="H672" s="3" t="str">
        <f>HYPERLINK("https://www.cortellis.com/drugdiscovery/entity/biomarkers/51682","Multiplex biomarker panel")</f>
        <v>Multiplex biomarker panel</v>
      </c>
      <c r="I672" s="2" t="s">
        <v>23</v>
      </c>
      <c r="J672" s="2" t="s">
        <v>15</v>
      </c>
      <c r="K672" s="4" t="str">
        <f>HYPERLINK("https://www.cortellis.com/drugdiscovery/result/proxy/related-content/biomarkers/genestargets/51682","matrix metallopeptidase 2; matrix metallopeptidase 9")</f>
        <v>matrix metallopeptidase 2; matrix metallopeptidase 9</v>
      </c>
    </row>
    <row r="673" spans="1:11" ht="60" customHeight="1" x14ac:dyDescent="0.2">
      <c r="A673" s="2">
        <v>670</v>
      </c>
      <c r="B673" s="3" t="str">
        <f t="shared" si="135"/>
        <v>MMP-9</v>
      </c>
      <c r="C673" s="3" t="str">
        <f t="shared" si="136"/>
        <v>MMP9</v>
      </c>
      <c r="D673" s="3" t="str">
        <f t="shared" si="137"/>
        <v>MMP9_HUMAN</v>
      </c>
      <c r="E673" s="2" t="s">
        <v>55</v>
      </c>
      <c r="F673" s="3" t="str">
        <f t="shared" si="138"/>
        <v>Matrix metalloproteinase-9</v>
      </c>
      <c r="G673" s="4" t="str">
        <f t="shared" si="134"/>
        <v>Doxycycline</v>
      </c>
      <c r="H673" s="3" t="str">
        <f>HYPERLINK("https://www.cortellis.com/drugdiscovery/entity/biomarkers/51857","20-protein psychiatric disorders panel")</f>
        <v>20-protein psychiatric disorders panel</v>
      </c>
      <c r="I673" s="2" t="s">
        <v>23</v>
      </c>
      <c r="J673" s="2" t="s">
        <v>17</v>
      </c>
      <c r="K673" s="4" t="str">
        <f>HYPERLINK("https://www.cortellis.com/drugdiscovery/result/proxy/related-content/biomarkers/genestargets/51857","matrix metallopeptidase 9")</f>
        <v>matrix metallopeptidase 9</v>
      </c>
    </row>
    <row r="674" spans="1:11" ht="60" customHeight="1" x14ac:dyDescent="0.2">
      <c r="A674" s="2">
        <v>671</v>
      </c>
      <c r="B674" s="3" t="str">
        <f t="shared" si="135"/>
        <v>MMP-9</v>
      </c>
      <c r="C674" s="3" t="str">
        <f t="shared" si="136"/>
        <v>MMP9</v>
      </c>
      <c r="D674" s="3" t="str">
        <f t="shared" si="137"/>
        <v>MMP9_HUMAN</v>
      </c>
      <c r="E674" s="2" t="s">
        <v>55</v>
      </c>
      <c r="F674" s="3" t="str">
        <f t="shared" si="138"/>
        <v>Matrix metalloproteinase-9</v>
      </c>
      <c r="G674" s="4" t="str">
        <f t="shared" si="134"/>
        <v>Doxycycline</v>
      </c>
      <c r="H674" s="3" t="str">
        <f>HYPERLINK("https://www.cortellis.com/drugdiscovery/entity/biomarkers/51943","3-protein colorectal cancer panel")</f>
        <v>3-protein colorectal cancer panel</v>
      </c>
      <c r="I674" s="2" t="s">
        <v>25</v>
      </c>
      <c r="J674" s="2" t="s">
        <v>17</v>
      </c>
      <c r="K674" s="4" t="str">
        <f>HYPERLINK("https://www.cortellis.com/drugdiscovery/result/proxy/related-content/biomarkers/genestargets/51943","matrix metallopeptidase 9")</f>
        <v>matrix metallopeptidase 9</v>
      </c>
    </row>
    <row r="675" spans="1:11" ht="60" customHeight="1" x14ac:dyDescent="0.2">
      <c r="A675" s="2">
        <v>672</v>
      </c>
      <c r="B675" s="3" t="str">
        <f t="shared" si="135"/>
        <v>MMP-9</v>
      </c>
      <c r="C675" s="3" t="str">
        <f t="shared" si="136"/>
        <v>MMP9</v>
      </c>
      <c r="D675" s="3" t="str">
        <f t="shared" si="137"/>
        <v>MMP9_HUMAN</v>
      </c>
      <c r="E675" s="2" t="s">
        <v>55</v>
      </c>
      <c r="F675" s="3" t="str">
        <f t="shared" si="138"/>
        <v>Matrix metalloproteinase-9</v>
      </c>
      <c r="G675" s="4" t="str">
        <f t="shared" si="134"/>
        <v>Doxycycline</v>
      </c>
      <c r="H675" s="3" t="str">
        <f>HYPERLINK("https://www.cortellis.com/drugdiscovery/entity/biomarkers/53826","10-protein bladder cancer panel")</f>
        <v>10-protein bladder cancer panel</v>
      </c>
      <c r="I675" s="2" t="s">
        <v>23</v>
      </c>
      <c r="J675" s="2" t="s">
        <v>17</v>
      </c>
      <c r="K675" s="4" t="str">
        <f>HYPERLINK("https://www.cortellis.com/drugdiscovery/result/proxy/related-content/biomarkers/genestargets/53826","matrix metallopeptidase 9")</f>
        <v>matrix metallopeptidase 9</v>
      </c>
    </row>
    <row r="676" spans="1:11" ht="60" customHeight="1" x14ac:dyDescent="0.2">
      <c r="A676" s="2">
        <v>673</v>
      </c>
      <c r="B676" s="3" t="str">
        <f t="shared" si="135"/>
        <v>MMP-9</v>
      </c>
      <c r="C676" s="3" t="str">
        <f t="shared" si="136"/>
        <v>MMP9</v>
      </c>
      <c r="D676" s="3" t="str">
        <f t="shared" si="137"/>
        <v>MMP9_HUMAN</v>
      </c>
      <c r="E676" s="2" t="s">
        <v>55</v>
      </c>
      <c r="F676" s="3" t="str">
        <f t="shared" si="138"/>
        <v>Matrix metalloproteinase-9</v>
      </c>
      <c r="G676" s="4" t="str">
        <f t="shared" si="134"/>
        <v>Doxycycline</v>
      </c>
      <c r="H676" s="3" t="str">
        <f>HYPERLINK("https://www.cortellis.com/drugdiscovery/entity/biomarkers/54509","5-protein hepatotoxicty panel")</f>
        <v>5-protein hepatotoxicty panel</v>
      </c>
      <c r="I676" s="2" t="s">
        <v>23</v>
      </c>
      <c r="J676" s="2" t="s">
        <v>17</v>
      </c>
      <c r="K676" s="4" t="str">
        <f>HYPERLINK("https://www.cortellis.com/drugdiscovery/result/proxy/related-content/biomarkers/genestargets/54509","matrix metallopeptidase 9")</f>
        <v>matrix metallopeptidase 9</v>
      </c>
    </row>
    <row r="677" spans="1:11" ht="60" customHeight="1" x14ac:dyDescent="0.2">
      <c r="A677" s="2">
        <v>674</v>
      </c>
      <c r="B677" s="3" t="str">
        <f t="shared" si="135"/>
        <v>MMP-9</v>
      </c>
      <c r="C677" s="3" t="str">
        <f t="shared" si="136"/>
        <v>MMP9</v>
      </c>
      <c r="D677" s="3" t="str">
        <f t="shared" si="137"/>
        <v>MMP9_HUMAN</v>
      </c>
      <c r="E677" s="2" t="s">
        <v>55</v>
      </c>
      <c r="F677" s="3" t="str">
        <f t="shared" si="138"/>
        <v>Matrix metalloproteinase-9</v>
      </c>
      <c r="G677" s="4" t="str">
        <f t="shared" si="134"/>
        <v>Doxycycline</v>
      </c>
      <c r="H677" s="3" t="str">
        <f>HYPERLINK("https://www.cortellis.com/drugdiscovery/entity/biomarkers/55657","4-protein cardiovascular disorder panel")</f>
        <v>4-protein cardiovascular disorder panel</v>
      </c>
      <c r="I677" s="2" t="s">
        <v>29</v>
      </c>
      <c r="J677" s="2" t="s">
        <v>17</v>
      </c>
      <c r="K677" s="4" t="str">
        <f>HYPERLINK("https://www.cortellis.com/drugdiscovery/result/proxy/related-content/biomarkers/genestargets/55657","matrix metallopeptidase 9")</f>
        <v>matrix metallopeptidase 9</v>
      </c>
    </row>
    <row r="678" spans="1:11" ht="60" customHeight="1" x14ac:dyDescent="0.2">
      <c r="A678" s="2">
        <v>675</v>
      </c>
      <c r="B678" s="3" t="str">
        <f t="shared" si="135"/>
        <v>MMP-9</v>
      </c>
      <c r="C678" s="3" t="str">
        <f t="shared" si="136"/>
        <v>MMP9</v>
      </c>
      <c r="D678" s="3" t="str">
        <f t="shared" si="137"/>
        <v>MMP9_HUMAN</v>
      </c>
      <c r="E678" s="2" t="s">
        <v>55</v>
      </c>
      <c r="F678" s="3" t="str">
        <f t="shared" si="138"/>
        <v>Matrix metalloproteinase-9</v>
      </c>
      <c r="G678" s="4" t="str">
        <f t="shared" si="134"/>
        <v>Doxycycline</v>
      </c>
      <c r="H678" s="3" t="str">
        <f>HYPERLINK("https://www.cortellis.com/drugdiscovery/entity/biomarkers/59957","10-protein obstructive pulmonary disease panel")</f>
        <v>10-protein obstructive pulmonary disease panel</v>
      </c>
      <c r="I678" s="2" t="s">
        <v>20</v>
      </c>
      <c r="J678" s="2" t="s">
        <v>17</v>
      </c>
      <c r="K678" s="4" t="str">
        <f>HYPERLINK("https://www.cortellis.com/drugdiscovery/result/proxy/related-content/biomarkers/genestargets/59957","matrix metallopeptidase 9; ribonuclease A family member 3")</f>
        <v>matrix metallopeptidase 9; ribonuclease A family member 3</v>
      </c>
    </row>
    <row r="679" spans="1:11" ht="60" customHeight="1" x14ac:dyDescent="0.2">
      <c r="A679" s="2">
        <v>676</v>
      </c>
      <c r="B679" s="3" t="str">
        <f t="shared" si="135"/>
        <v>MMP-9</v>
      </c>
      <c r="C679" s="3" t="str">
        <f t="shared" si="136"/>
        <v>MMP9</v>
      </c>
      <c r="D679" s="3" t="str">
        <f t="shared" si="137"/>
        <v>MMP9_HUMAN</v>
      </c>
      <c r="E679" s="2" t="s">
        <v>55</v>
      </c>
      <c r="F679" s="3" t="str">
        <f t="shared" si="138"/>
        <v>Matrix metalloproteinase-9</v>
      </c>
      <c r="G679" s="4" t="str">
        <f t="shared" si="134"/>
        <v>Doxycycline</v>
      </c>
      <c r="H679" s="3" t="str">
        <f>HYPERLINK("https://www.cortellis.com/drugdiscovery/entity/biomarkers/59959","13-protein Crohn's disease panel")</f>
        <v>13-protein Crohn's disease panel</v>
      </c>
      <c r="I679" s="2" t="s">
        <v>24</v>
      </c>
      <c r="J679" s="2" t="s">
        <v>17</v>
      </c>
      <c r="K679" s="4" t="str">
        <f>HYPERLINK("https://www.cortellis.com/drugdiscovery/result/proxy/related-content/biomarkers/genestargets/59959","interleukin 7; matrix metallopeptidase 2; matrix metallopeptidase 9")</f>
        <v>interleukin 7; matrix metallopeptidase 2; matrix metallopeptidase 9</v>
      </c>
    </row>
    <row r="680" spans="1:11" ht="60" customHeight="1" x14ac:dyDescent="0.2">
      <c r="A680" s="2">
        <v>677</v>
      </c>
      <c r="B680" s="3" t="str">
        <f t="shared" si="135"/>
        <v>MMP-9</v>
      </c>
      <c r="C680" s="3" t="str">
        <f t="shared" si="136"/>
        <v>MMP9</v>
      </c>
      <c r="D680" s="3" t="str">
        <f t="shared" si="137"/>
        <v>MMP9_HUMAN</v>
      </c>
      <c r="E680" s="2" t="s">
        <v>55</v>
      </c>
      <c r="F680" s="3" t="str">
        <f t="shared" si="138"/>
        <v>Matrix metalloproteinase-9</v>
      </c>
      <c r="G680" s="4" t="str">
        <f t="shared" si="134"/>
        <v>Doxycycline</v>
      </c>
      <c r="H680" s="3" t="str">
        <f>HYPERLINK("https://www.cortellis.com/drugdiscovery/entity/biomarkers/59979","10-protein bladder cancer panel")</f>
        <v>10-protein bladder cancer panel</v>
      </c>
      <c r="I680" s="2" t="s">
        <v>23</v>
      </c>
      <c r="J680" s="2" t="s">
        <v>17</v>
      </c>
      <c r="K680" s="4" t="str">
        <f>HYPERLINK("https://www.cortellis.com/drugdiscovery/result/proxy/related-content/biomarkers/genestargets/59979","matrix metallopeptidase 9")</f>
        <v>matrix metallopeptidase 9</v>
      </c>
    </row>
    <row r="681" spans="1:11" ht="60" customHeight="1" x14ac:dyDescent="0.2">
      <c r="A681" s="2">
        <v>678</v>
      </c>
      <c r="B681" s="3" t="str">
        <f t="shared" si="135"/>
        <v>MMP-9</v>
      </c>
      <c r="C681" s="3" t="str">
        <f t="shared" si="136"/>
        <v>MMP9</v>
      </c>
      <c r="D681" s="3" t="str">
        <f t="shared" si="137"/>
        <v>MMP9_HUMAN</v>
      </c>
      <c r="E681" s="2" t="s">
        <v>55</v>
      </c>
      <c r="F681" s="3" t="str">
        <f t="shared" si="138"/>
        <v>Matrix metalloproteinase-9</v>
      </c>
      <c r="G681" s="4" t="str">
        <f t="shared" ref="G681:G710" si="139">HYPERLINK("https://portal.genego.com/cgi/entity_page.cgi?term=7&amp;id=-978910055","Tanomastat")</f>
        <v>Tanomastat</v>
      </c>
      <c r="H681" s="3" t="str">
        <f>HYPERLINK("https://www.cortellis.com/drugdiscovery/entity/biomarkers/65","MammaPrint")</f>
        <v>MammaPrint</v>
      </c>
      <c r="I681" s="2" t="s">
        <v>58</v>
      </c>
      <c r="J681" s="2" t="s">
        <v>19</v>
      </c>
      <c r="K681" s="4" t="str">
        <f>HYPERLINK("https://www.cortellis.com/drugdiscovery/result/proxy/related-content/biomarkers/genestargets/65","matrix metallopeptidase 9")</f>
        <v>matrix metallopeptidase 9</v>
      </c>
    </row>
    <row r="682" spans="1:11" ht="60" customHeight="1" x14ac:dyDescent="0.2">
      <c r="A682" s="2">
        <v>679</v>
      </c>
      <c r="B682" s="3" t="str">
        <f t="shared" si="135"/>
        <v>MMP-9</v>
      </c>
      <c r="C682" s="3" t="str">
        <f t="shared" si="136"/>
        <v>MMP9</v>
      </c>
      <c r="D682" s="3" t="str">
        <f t="shared" si="137"/>
        <v>MMP9_HUMAN</v>
      </c>
      <c r="E682" s="2" t="s">
        <v>55</v>
      </c>
      <c r="F682" s="3" t="str">
        <f t="shared" si="138"/>
        <v>Matrix metalloproteinase-9</v>
      </c>
      <c r="G682" s="4" t="str">
        <f t="shared" si="139"/>
        <v>Tanomastat</v>
      </c>
      <c r="H682" s="3" t="str">
        <f>HYPERLINK("https://www.cortellis.com/drugdiscovery/entity/biomarkers/173","Matrix metalloproteinase-9")</f>
        <v>Matrix metalloproteinase-9</v>
      </c>
      <c r="I682" s="2" t="s">
        <v>31</v>
      </c>
      <c r="J682" s="2" t="s">
        <v>15</v>
      </c>
      <c r="K682" s="4" t="str">
        <f>HYPERLINK("https://www.cortellis.com/drugdiscovery/result/proxy/related-content/biomarkers/genestargets/173","matrix metallopeptidase 9")</f>
        <v>matrix metallopeptidase 9</v>
      </c>
    </row>
    <row r="683" spans="1:11" ht="60" customHeight="1" x14ac:dyDescent="0.2">
      <c r="A683" s="2">
        <v>680</v>
      </c>
      <c r="B683" s="3" t="str">
        <f t="shared" si="135"/>
        <v>MMP-9</v>
      </c>
      <c r="C683" s="3" t="str">
        <f t="shared" si="136"/>
        <v>MMP9</v>
      </c>
      <c r="D683" s="3" t="str">
        <f t="shared" si="137"/>
        <v>MMP9_HUMAN</v>
      </c>
      <c r="E683" s="2" t="s">
        <v>55</v>
      </c>
      <c r="F683" s="3" t="str">
        <f t="shared" si="138"/>
        <v>Matrix metalloproteinase-9</v>
      </c>
      <c r="G683" s="4" t="str">
        <f t="shared" si="139"/>
        <v>Tanomastat</v>
      </c>
      <c r="H683" s="3" t="str">
        <f>HYPERLINK("https://www.cortellis.com/drugdiscovery/entity/biomarkers/26294","160-gene expression liver cancer panel")</f>
        <v>160-gene expression liver cancer panel</v>
      </c>
      <c r="I683" s="2" t="s">
        <v>25</v>
      </c>
      <c r="J683" s="2" t="s">
        <v>19</v>
      </c>
      <c r="K683" s="4" t="str">
        <f>HYPERLINK("https://www.cortellis.com/drugdiscovery/result/proxy/related-content/biomarkers/genestargets/26294","matrix metallopeptidase 9")</f>
        <v>matrix metallopeptidase 9</v>
      </c>
    </row>
    <row r="684" spans="1:11" ht="60" customHeight="1" x14ac:dyDescent="0.2">
      <c r="A684" s="2">
        <v>681</v>
      </c>
      <c r="B684" s="3" t="str">
        <f t="shared" si="135"/>
        <v>MMP-9</v>
      </c>
      <c r="C684" s="3" t="str">
        <f t="shared" si="136"/>
        <v>MMP9</v>
      </c>
      <c r="D684" s="3" t="str">
        <f t="shared" si="137"/>
        <v>MMP9_HUMAN</v>
      </c>
      <c r="E684" s="2" t="s">
        <v>55</v>
      </c>
      <c r="F684" s="3" t="str">
        <f t="shared" si="138"/>
        <v>Matrix metalloproteinase-9</v>
      </c>
      <c r="G684" s="4" t="str">
        <f t="shared" si="139"/>
        <v>Tanomastat</v>
      </c>
      <c r="H684" s="3" t="str">
        <f>HYPERLINK("https://www.cortellis.com/drugdiscovery/entity/biomarkers/27598","89-protein neurological alzheimer's panel")</f>
        <v>89-protein neurological alzheimer's panel</v>
      </c>
      <c r="I684" s="2" t="s">
        <v>23</v>
      </c>
      <c r="J684" s="2" t="s">
        <v>17</v>
      </c>
      <c r="K68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685" spans="1:11" ht="60" customHeight="1" x14ac:dyDescent="0.2">
      <c r="A685" s="2">
        <v>682</v>
      </c>
      <c r="B685" s="3" t="str">
        <f t="shared" si="135"/>
        <v>MMP-9</v>
      </c>
      <c r="C685" s="3" t="str">
        <f t="shared" si="136"/>
        <v>MMP9</v>
      </c>
      <c r="D685" s="3" t="str">
        <f t="shared" si="137"/>
        <v>MMP9_HUMAN</v>
      </c>
      <c r="E685" s="2" t="s">
        <v>55</v>
      </c>
      <c r="F685" s="3" t="str">
        <f t="shared" si="138"/>
        <v>Matrix metalloproteinase-9</v>
      </c>
      <c r="G685" s="4" t="str">
        <f t="shared" si="139"/>
        <v>Tanomastat</v>
      </c>
      <c r="H685" s="3" t="str">
        <f>HYPERLINK("https://www.cortellis.com/drugdiscovery/entity/biomarkers/27613","9-gene expression ischemic stroke panel")</f>
        <v>9-gene expression ischemic stroke panel</v>
      </c>
      <c r="I685" s="2" t="s">
        <v>23</v>
      </c>
      <c r="J685" s="2" t="s">
        <v>19</v>
      </c>
      <c r="K685" s="4" t="str">
        <f>HYPERLINK("https://www.cortellis.com/drugdiscovery/result/proxy/related-content/biomarkers/genestargets/27613","matrix metallopeptidase 9")</f>
        <v>matrix metallopeptidase 9</v>
      </c>
    </row>
    <row r="686" spans="1:11" ht="60" customHeight="1" x14ac:dyDescent="0.2">
      <c r="A686" s="2">
        <v>683</v>
      </c>
      <c r="B686" s="3" t="str">
        <f t="shared" si="135"/>
        <v>MMP-9</v>
      </c>
      <c r="C686" s="3" t="str">
        <f t="shared" si="136"/>
        <v>MMP9</v>
      </c>
      <c r="D686" s="3" t="str">
        <f t="shared" si="137"/>
        <v>MMP9_HUMAN</v>
      </c>
      <c r="E686" s="2" t="s">
        <v>55</v>
      </c>
      <c r="F686" s="3" t="str">
        <f t="shared" si="138"/>
        <v>Matrix metalloproteinase-9</v>
      </c>
      <c r="G686" s="4" t="str">
        <f t="shared" si="139"/>
        <v>Tanomastat</v>
      </c>
      <c r="H686" s="3" t="str">
        <f>HYPERLINK("https://www.cortellis.com/drugdiscovery/entity/biomarkers/28479","24-gene expression breast cancer panel")</f>
        <v>24-gene expression breast cancer panel</v>
      </c>
      <c r="I686" s="2" t="s">
        <v>18</v>
      </c>
      <c r="J686" s="2" t="s">
        <v>19</v>
      </c>
      <c r="K686" s="4" t="str">
        <f>HYPERLINK("https://www.cortellis.com/drugdiscovery/result/proxy/related-content/biomarkers/genestargets/28479","matrix metallopeptidase 9")</f>
        <v>matrix metallopeptidase 9</v>
      </c>
    </row>
    <row r="687" spans="1:11" ht="60" customHeight="1" x14ac:dyDescent="0.2">
      <c r="A687" s="2">
        <v>684</v>
      </c>
      <c r="B687" s="3" t="str">
        <f t="shared" si="135"/>
        <v>MMP-9</v>
      </c>
      <c r="C687" s="3" t="str">
        <f t="shared" si="136"/>
        <v>MMP9</v>
      </c>
      <c r="D687" s="3" t="str">
        <f t="shared" si="137"/>
        <v>MMP9_HUMAN</v>
      </c>
      <c r="E687" s="2" t="s">
        <v>55</v>
      </c>
      <c r="F687" s="3" t="str">
        <f t="shared" si="138"/>
        <v>Matrix metalloproteinase-9</v>
      </c>
      <c r="G687" s="4" t="str">
        <f t="shared" si="139"/>
        <v>Tanomastat</v>
      </c>
      <c r="H687" s="3" t="str">
        <f>HYPERLINK("https://www.cortellis.com/drugdiscovery/entity/biomarkers/34465","10-protein 1-biochemical alzheimer's panel")</f>
        <v>10-protein 1-biochemical alzheimer's panel</v>
      </c>
      <c r="I687" s="2" t="s">
        <v>23</v>
      </c>
      <c r="J687" s="2" t="s">
        <v>59</v>
      </c>
      <c r="K687" s="4" t="str">
        <f>HYPERLINK("https://www.cortellis.com/drugdiscovery/result/proxy/related-content/biomarkers/genestargets/34465","matrix metallopeptidase 9")</f>
        <v>matrix metallopeptidase 9</v>
      </c>
    </row>
    <row r="688" spans="1:11" ht="60" customHeight="1" x14ac:dyDescent="0.2">
      <c r="A688" s="2">
        <v>685</v>
      </c>
      <c r="B688" s="3" t="str">
        <f t="shared" si="135"/>
        <v>MMP-9</v>
      </c>
      <c r="C688" s="3" t="str">
        <f t="shared" si="136"/>
        <v>MMP9</v>
      </c>
      <c r="D688" s="3" t="str">
        <f t="shared" si="137"/>
        <v>MMP9_HUMAN</v>
      </c>
      <c r="E688" s="2" t="s">
        <v>55</v>
      </c>
      <c r="F688" s="3" t="str">
        <f t="shared" si="138"/>
        <v>Matrix metalloproteinase-9</v>
      </c>
      <c r="G688" s="4" t="str">
        <f t="shared" si="139"/>
        <v>Tanomastat</v>
      </c>
      <c r="H688" s="3" t="str">
        <f>HYPERLINK("https://www.cortellis.com/drugdiscovery/entity/biomarkers/39788","Epithelial-mesenchymal transition gene signature")</f>
        <v>Epithelial-mesenchymal transition gene signature</v>
      </c>
      <c r="I688" s="2" t="s">
        <v>18</v>
      </c>
      <c r="J688" s="2" t="s">
        <v>19</v>
      </c>
      <c r="K688" s="4" t="str">
        <f>HYPERLINK("https://www.cortellis.com/drugdiscovery/result/proxy/related-content/biomarkers/genestargets/39788","C-C motif chemokine ligand 2; matrix metallopeptidase 9")</f>
        <v>C-C motif chemokine ligand 2; matrix metallopeptidase 9</v>
      </c>
    </row>
    <row r="689" spans="1:11" ht="60" customHeight="1" x14ac:dyDescent="0.2">
      <c r="A689" s="2">
        <v>686</v>
      </c>
      <c r="B689" s="3" t="str">
        <f t="shared" si="135"/>
        <v>MMP-9</v>
      </c>
      <c r="C689" s="3" t="str">
        <f t="shared" si="136"/>
        <v>MMP9</v>
      </c>
      <c r="D689" s="3" t="str">
        <f t="shared" si="137"/>
        <v>MMP9_HUMAN</v>
      </c>
      <c r="E689" s="2" t="s">
        <v>55</v>
      </c>
      <c r="F689" s="3" t="str">
        <f t="shared" si="138"/>
        <v>Matrix metalloproteinase-9</v>
      </c>
      <c r="G689" s="4" t="str">
        <f t="shared" si="139"/>
        <v>Tanomastat</v>
      </c>
      <c r="H689" s="3" t="str">
        <f>HYPERLINK("https://www.cortellis.com/drugdiscovery/entity/biomarkers/41350","10-protein liver cancer panel")</f>
        <v>10-protein liver cancer panel</v>
      </c>
      <c r="I689" s="2" t="s">
        <v>52</v>
      </c>
      <c r="J689" s="2" t="s">
        <v>17</v>
      </c>
      <c r="K689" s="4" t="str">
        <f>HYPERLINK("https://www.cortellis.com/drugdiscovery/result/proxy/related-content/biomarkers/genestargets/41350","matrix metallopeptidase 9")</f>
        <v>matrix metallopeptidase 9</v>
      </c>
    </row>
    <row r="690" spans="1:11" ht="60" customHeight="1" x14ac:dyDescent="0.2">
      <c r="A690" s="2">
        <v>687</v>
      </c>
      <c r="B690" s="3" t="str">
        <f t="shared" si="135"/>
        <v>MMP-9</v>
      </c>
      <c r="C690" s="3" t="str">
        <f t="shared" si="136"/>
        <v>MMP9</v>
      </c>
      <c r="D690" s="3" t="str">
        <f t="shared" si="137"/>
        <v>MMP9_HUMAN</v>
      </c>
      <c r="E690" s="2" t="s">
        <v>55</v>
      </c>
      <c r="F690" s="3" t="str">
        <f t="shared" si="138"/>
        <v>Matrix metalloproteinase-9</v>
      </c>
      <c r="G690" s="4" t="str">
        <f t="shared" si="139"/>
        <v>Tanomastat</v>
      </c>
      <c r="H690" s="3" t="str">
        <f>HYPERLINK("https://www.cortellis.com/drugdiscovery/entity/biomarkers/41936","5-gene expression breast cancer panel")</f>
        <v>5-gene expression breast cancer panel</v>
      </c>
      <c r="I690" s="2" t="s">
        <v>60</v>
      </c>
      <c r="J690" s="2" t="s">
        <v>19</v>
      </c>
      <c r="K690" s="4" t="str">
        <f>HYPERLINK("https://www.cortellis.com/drugdiscovery/result/proxy/related-content/biomarkers/genestargets/41936","matrix metallopeptidase 9")</f>
        <v>matrix metallopeptidase 9</v>
      </c>
    </row>
    <row r="691" spans="1:11" ht="60" customHeight="1" x14ac:dyDescent="0.2">
      <c r="A691" s="2">
        <v>688</v>
      </c>
      <c r="B691" s="3" t="str">
        <f t="shared" si="135"/>
        <v>MMP-9</v>
      </c>
      <c r="C691" s="3" t="str">
        <f t="shared" si="136"/>
        <v>MMP9</v>
      </c>
      <c r="D691" s="3" t="str">
        <f t="shared" si="137"/>
        <v>MMP9_HUMAN</v>
      </c>
      <c r="E691" s="2" t="s">
        <v>55</v>
      </c>
      <c r="F691" s="3" t="str">
        <f t="shared" si="138"/>
        <v>Matrix metalloproteinase-9</v>
      </c>
      <c r="G691" s="4" t="str">
        <f t="shared" si="139"/>
        <v>Tanomastat</v>
      </c>
      <c r="H691" s="3" t="str">
        <f>HYPERLINK("https://www.cortellis.com/drugdiscovery/entity/biomarkers/43380","7-protein bladder cancer panel")</f>
        <v>7-protein bladder cancer panel</v>
      </c>
      <c r="I691" s="2" t="s">
        <v>23</v>
      </c>
      <c r="J691" s="2" t="s">
        <v>15</v>
      </c>
      <c r="K691" s="4" t="str">
        <f>HYPERLINK("https://www.cortellis.com/drugdiscovery/result/proxy/related-content/biomarkers/genestargets/43380","matrix metallopeptidase 9")</f>
        <v>matrix metallopeptidase 9</v>
      </c>
    </row>
    <row r="692" spans="1:11" ht="60" customHeight="1" x14ac:dyDescent="0.2">
      <c r="A692" s="2">
        <v>689</v>
      </c>
      <c r="B692" s="3" t="str">
        <f t="shared" si="135"/>
        <v>MMP-9</v>
      </c>
      <c r="C692" s="3" t="str">
        <f t="shared" si="136"/>
        <v>MMP9</v>
      </c>
      <c r="D692" s="3" t="str">
        <f t="shared" si="137"/>
        <v>MMP9_HUMAN</v>
      </c>
      <c r="E692" s="2" t="s">
        <v>55</v>
      </c>
      <c r="F692" s="3" t="str">
        <f t="shared" si="138"/>
        <v>Matrix metalloproteinase-9</v>
      </c>
      <c r="G692" s="4" t="str">
        <f t="shared" si="139"/>
        <v>Tanomastat</v>
      </c>
      <c r="H692" s="3" t="str">
        <f>HYPERLINK("https://www.cortellis.com/drugdiscovery/entity/biomarkers/43382","3-protein bladder cancer panel")</f>
        <v>3-protein bladder cancer panel</v>
      </c>
      <c r="I692" s="2" t="s">
        <v>23</v>
      </c>
      <c r="J692" s="2" t="s">
        <v>17</v>
      </c>
      <c r="K692" s="4" t="str">
        <f>HYPERLINK("https://www.cortellis.com/drugdiscovery/result/proxy/related-content/biomarkers/genestargets/43382","matrix metallopeptidase 9")</f>
        <v>matrix metallopeptidase 9</v>
      </c>
    </row>
    <row r="693" spans="1:11" ht="60" customHeight="1" x14ac:dyDescent="0.2">
      <c r="A693" s="2">
        <v>690</v>
      </c>
      <c r="B693" s="3" t="str">
        <f t="shared" si="135"/>
        <v>MMP-9</v>
      </c>
      <c r="C693" s="3" t="str">
        <f t="shared" si="136"/>
        <v>MMP9</v>
      </c>
      <c r="D693" s="3" t="str">
        <f t="shared" si="137"/>
        <v>MMP9_HUMAN</v>
      </c>
      <c r="E693" s="2" t="s">
        <v>55</v>
      </c>
      <c r="F693" s="3" t="str">
        <f t="shared" si="138"/>
        <v>Matrix metalloproteinase-9</v>
      </c>
      <c r="G693" s="4" t="str">
        <f t="shared" si="139"/>
        <v>Tanomastat</v>
      </c>
      <c r="H693" s="3" t="str">
        <f>HYPERLINK("https://www.cortellis.com/drugdiscovery/entity/biomarkers/43994","4-gene expression adenomatous polyps panel")</f>
        <v>4-gene expression adenomatous polyps panel</v>
      </c>
      <c r="I693" s="2" t="s">
        <v>23</v>
      </c>
      <c r="J693" s="2" t="s">
        <v>19</v>
      </c>
      <c r="K693" s="4" t="str">
        <f>HYPERLINK("https://www.cortellis.com/drugdiscovery/result/proxy/related-content/biomarkers/genestargets/43994","matrix metallopeptidase 9")</f>
        <v>matrix metallopeptidase 9</v>
      </c>
    </row>
    <row r="694" spans="1:11" ht="60" customHeight="1" x14ac:dyDescent="0.2">
      <c r="A694" s="2">
        <v>691</v>
      </c>
      <c r="B694" s="3" t="str">
        <f t="shared" si="135"/>
        <v>MMP-9</v>
      </c>
      <c r="C694" s="3" t="str">
        <f t="shared" si="136"/>
        <v>MMP9</v>
      </c>
      <c r="D694" s="3" t="str">
        <f t="shared" si="137"/>
        <v>MMP9_HUMAN</v>
      </c>
      <c r="E694" s="2" t="s">
        <v>55</v>
      </c>
      <c r="F694" s="3" t="str">
        <f t="shared" si="138"/>
        <v>Matrix metalloproteinase-9</v>
      </c>
      <c r="G694" s="4" t="str">
        <f t="shared" si="139"/>
        <v>Tanomastat</v>
      </c>
      <c r="H694" s="3" t="str">
        <f>HYPERLINK("https://www.cortellis.com/drugdiscovery/entity/biomarkers/43995","8-gene expression colorectal cancer panel")</f>
        <v>8-gene expression colorectal cancer panel</v>
      </c>
      <c r="I694" s="2" t="s">
        <v>23</v>
      </c>
      <c r="J694" s="2" t="s">
        <v>19</v>
      </c>
      <c r="K694" s="4" t="str">
        <f>HYPERLINK("https://www.cortellis.com/drugdiscovery/result/proxy/related-content/biomarkers/genestargets/43995","matrix metallopeptidase 9")</f>
        <v>matrix metallopeptidase 9</v>
      </c>
    </row>
    <row r="695" spans="1:11" ht="60" customHeight="1" x14ac:dyDescent="0.2">
      <c r="A695" s="2">
        <v>692</v>
      </c>
      <c r="B695" s="3" t="str">
        <f t="shared" si="135"/>
        <v>MMP-9</v>
      </c>
      <c r="C695" s="3" t="str">
        <f t="shared" si="136"/>
        <v>MMP9</v>
      </c>
      <c r="D695" s="3" t="str">
        <f t="shared" si="137"/>
        <v>MMP9_HUMAN</v>
      </c>
      <c r="E695" s="2" t="s">
        <v>55</v>
      </c>
      <c r="F695" s="3" t="str">
        <f t="shared" si="138"/>
        <v>Matrix metalloproteinase-9</v>
      </c>
      <c r="G695" s="4" t="str">
        <f t="shared" si="139"/>
        <v>Tanomastat</v>
      </c>
      <c r="H695" s="3" t="str">
        <f>HYPERLINK("https://www.cortellis.com/drugdiscovery/entity/biomarkers/45762","37-protein metastatic colon cancer panel")</f>
        <v>37-protein metastatic colon cancer panel</v>
      </c>
      <c r="I695" s="2" t="s">
        <v>20</v>
      </c>
      <c r="J695" s="2" t="s">
        <v>17</v>
      </c>
      <c r="K695" s="4" t="str">
        <f>HYPERLINK("https://www.cortellis.com/drugdiscovery/result/proxy/related-content/biomarkers/genestargets/45762","matrix metallopeptidase 2; matrix metallopeptidase 9")</f>
        <v>matrix metallopeptidase 2; matrix metallopeptidase 9</v>
      </c>
    </row>
    <row r="696" spans="1:11" ht="60" customHeight="1" x14ac:dyDescent="0.2">
      <c r="A696" s="2">
        <v>693</v>
      </c>
      <c r="B696" s="3" t="str">
        <f t="shared" si="135"/>
        <v>MMP-9</v>
      </c>
      <c r="C696" s="3" t="str">
        <f t="shared" si="136"/>
        <v>MMP9</v>
      </c>
      <c r="D696" s="3" t="str">
        <f t="shared" si="137"/>
        <v>MMP9_HUMAN</v>
      </c>
      <c r="E696" s="2" t="s">
        <v>55</v>
      </c>
      <c r="F696" s="3" t="str">
        <f t="shared" si="138"/>
        <v>Matrix metalloproteinase-9</v>
      </c>
      <c r="G696" s="4" t="str">
        <f t="shared" si="139"/>
        <v>Tanomastat</v>
      </c>
      <c r="H696" s="3" t="str">
        <f>HYPERLINK("https://www.cortellis.com/drugdiscovery/entity/biomarkers/48821","10-gene expression clear cell renal cell cancer panel")</f>
        <v>10-gene expression clear cell renal cell cancer panel</v>
      </c>
      <c r="I696" s="2" t="s">
        <v>18</v>
      </c>
      <c r="J696" s="2" t="s">
        <v>19</v>
      </c>
      <c r="K696" s="4" t="str">
        <f>HYPERLINK("https://www.cortellis.com/drugdiscovery/result/proxy/related-content/biomarkers/genestargets/48821","matrix metallopeptidase 9")</f>
        <v>matrix metallopeptidase 9</v>
      </c>
    </row>
    <row r="697" spans="1:11" ht="60" customHeight="1" x14ac:dyDescent="0.2">
      <c r="A697" s="2">
        <v>694</v>
      </c>
      <c r="B697" s="3" t="str">
        <f t="shared" si="135"/>
        <v>MMP-9</v>
      </c>
      <c r="C697" s="3" t="str">
        <f t="shared" si="136"/>
        <v>MMP9</v>
      </c>
      <c r="D697" s="3" t="str">
        <f t="shared" si="137"/>
        <v>MMP9_HUMAN</v>
      </c>
      <c r="E697" s="2" t="s">
        <v>55</v>
      </c>
      <c r="F697" s="3" t="str">
        <f t="shared" si="138"/>
        <v>Matrix metalloproteinase-9</v>
      </c>
      <c r="G697" s="4" t="str">
        <f t="shared" si="139"/>
        <v>Tanomastat</v>
      </c>
      <c r="H697" s="3" t="str">
        <f>HYPERLINK("https://www.cortellis.com/drugdiscovery/entity/biomarkers/49523","3-protein diffuse B cell lymphoma  panel")</f>
        <v>3-protein diffuse B cell lymphoma  panel</v>
      </c>
      <c r="I697" s="2" t="s">
        <v>23</v>
      </c>
      <c r="J697" s="2" t="s">
        <v>17</v>
      </c>
      <c r="K697" s="4" t="str">
        <f>HYPERLINK("https://www.cortellis.com/drugdiscovery/result/proxy/related-content/biomarkers/genestargets/49523","matrix metallopeptidase 9")</f>
        <v>matrix metallopeptidase 9</v>
      </c>
    </row>
    <row r="698" spans="1:11" ht="60" customHeight="1" x14ac:dyDescent="0.2">
      <c r="A698" s="2">
        <v>695</v>
      </c>
      <c r="B698" s="3" t="str">
        <f t="shared" si="135"/>
        <v>MMP-9</v>
      </c>
      <c r="C698" s="3" t="str">
        <f t="shared" si="136"/>
        <v>MMP9</v>
      </c>
      <c r="D698" s="3" t="str">
        <f t="shared" si="137"/>
        <v>MMP9_HUMAN</v>
      </c>
      <c r="E698" s="2" t="s">
        <v>55</v>
      </c>
      <c r="F698" s="3" t="str">
        <f t="shared" si="138"/>
        <v>Matrix metalloproteinase-9</v>
      </c>
      <c r="G698" s="4" t="str">
        <f t="shared" si="139"/>
        <v>Tanomastat</v>
      </c>
      <c r="H698" s="3" t="str">
        <f>HYPERLINK("https://www.cortellis.com/drugdiscovery/entity/biomarkers/49848","29-gene expression colorectal cancer panel")</f>
        <v>29-gene expression colorectal cancer panel</v>
      </c>
      <c r="I698" s="2" t="s">
        <v>23</v>
      </c>
      <c r="J698" s="2" t="s">
        <v>19</v>
      </c>
      <c r="K698" s="4" t="str">
        <f>HYPERLINK("https://www.cortellis.com/drugdiscovery/result/proxy/related-content/biomarkers/genestargets/49848","matrix metallopeptidase 9")</f>
        <v>matrix metallopeptidase 9</v>
      </c>
    </row>
    <row r="699" spans="1:11" ht="60" customHeight="1" x14ac:dyDescent="0.2">
      <c r="A699" s="2">
        <v>696</v>
      </c>
      <c r="B699" s="3" t="str">
        <f t="shared" si="135"/>
        <v>MMP-9</v>
      </c>
      <c r="C699" s="3" t="str">
        <f t="shared" si="136"/>
        <v>MMP9</v>
      </c>
      <c r="D699" s="3" t="str">
        <f t="shared" si="137"/>
        <v>MMP9_HUMAN</v>
      </c>
      <c r="E699" s="2" t="s">
        <v>55</v>
      </c>
      <c r="F699" s="3" t="str">
        <f t="shared" si="138"/>
        <v>Matrix metalloproteinase-9</v>
      </c>
      <c r="G699" s="4" t="str">
        <f t="shared" si="139"/>
        <v>Tanomastat</v>
      </c>
      <c r="H699" s="3" t="str">
        <f>HYPERLINK("https://www.cortellis.com/drugdiscovery/entity/biomarkers/50282","10-protein bladder cancer panel")</f>
        <v>10-protein bladder cancer panel</v>
      </c>
      <c r="I699" s="2" t="s">
        <v>52</v>
      </c>
      <c r="J699" s="2" t="s">
        <v>17</v>
      </c>
      <c r="K699" s="4" t="str">
        <f>HYPERLINK("https://www.cortellis.com/drugdiscovery/result/proxy/related-content/biomarkers/genestargets/50282","matrix metallopeptidase 9")</f>
        <v>matrix metallopeptidase 9</v>
      </c>
    </row>
    <row r="700" spans="1:11" ht="60" customHeight="1" x14ac:dyDescent="0.2">
      <c r="A700" s="2">
        <v>697</v>
      </c>
      <c r="B700" s="3" t="str">
        <f t="shared" si="135"/>
        <v>MMP-9</v>
      </c>
      <c r="C700" s="3" t="str">
        <f t="shared" si="136"/>
        <v>MMP9</v>
      </c>
      <c r="D700" s="3" t="str">
        <f t="shared" si="137"/>
        <v>MMP9_HUMAN</v>
      </c>
      <c r="E700" s="2" t="s">
        <v>55</v>
      </c>
      <c r="F700" s="3" t="str">
        <f t="shared" si="138"/>
        <v>Matrix metalloproteinase-9</v>
      </c>
      <c r="G700" s="4" t="str">
        <f t="shared" si="139"/>
        <v>Tanomastat</v>
      </c>
      <c r="H700" s="3" t="str">
        <f>HYPERLINK("https://www.cortellis.com/drugdiscovery/entity/biomarkers/50774","9-protein Kawasaki's disease panel")</f>
        <v>9-protein Kawasaki's disease panel</v>
      </c>
      <c r="I700" s="2" t="s">
        <v>23</v>
      </c>
      <c r="J700" s="2" t="s">
        <v>17</v>
      </c>
      <c r="K700" s="4" t="str">
        <f>HYPERLINK("https://www.cortellis.com/drugdiscovery/result/proxy/related-content/biomarkers/genestargets/50774","matrix metallopeptidase 9; solute carrier family 11 member 1")</f>
        <v>matrix metallopeptidase 9; solute carrier family 11 member 1</v>
      </c>
    </row>
    <row r="701" spans="1:11" ht="60" customHeight="1" x14ac:dyDescent="0.2">
      <c r="A701" s="2">
        <v>698</v>
      </c>
      <c r="B701" s="3" t="str">
        <f t="shared" si="135"/>
        <v>MMP-9</v>
      </c>
      <c r="C701" s="3" t="str">
        <f t="shared" si="136"/>
        <v>MMP9</v>
      </c>
      <c r="D701" s="3" t="str">
        <f t="shared" si="137"/>
        <v>MMP9_HUMAN</v>
      </c>
      <c r="E701" s="2" t="s">
        <v>55</v>
      </c>
      <c r="F701" s="3" t="str">
        <f t="shared" si="138"/>
        <v>Matrix metalloproteinase-9</v>
      </c>
      <c r="G701" s="4" t="str">
        <f t="shared" si="139"/>
        <v>Tanomastat</v>
      </c>
      <c r="H701" s="3" t="str">
        <f>HYPERLINK("https://www.cortellis.com/drugdiscovery/entity/biomarkers/50815","4-protein serous ovarian cancer panel")</f>
        <v>4-protein serous ovarian cancer panel</v>
      </c>
      <c r="I701" s="2" t="s">
        <v>23</v>
      </c>
      <c r="J701" s="2" t="s">
        <v>17</v>
      </c>
      <c r="K701" s="4" t="str">
        <f>HYPERLINK("https://www.cortellis.com/drugdiscovery/result/proxy/related-content/biomarkers/genestargets/50815","matrix metallopeptidase 9")</f>
        <v>matrix metallopeptidase 9</v>
      </c>
    </row>
    <row r="702" spans="1:11" ht="60" customHeight="1" x14ac:dyDescent="0.2">
      <c r="A702" s="2">
        <v>699</v>
      </c>
      <c r="B702" s="3" t="str">
        <f t="shared" si="135"/>
        <v>MMP-9</v>
      </c>
      <c r="C702" s="3" t="str">
        <f t="shared" si="136"/>
        <v>MMP9</v>
      </c>
      <c r="D702" s="3" t="str">
        <f t="shared" si="137"/>
        <v>MMP9_HUMAN</v>
      </c>
      <c r="E702" s="2" t="s">
        <v>55</v>
      </c>
      <c r="F702" s="3" t="str">
        <f t="shared" si="138"/>
        <v>Matrix metalloproteinase-9</v>
      </c>
      <c r="G702" s="4" t="str">
        <f t="shared" si="139"/>
        <v>Tanomastat</v>
      </c>
      <c r="H702" s="3" t="str">
        <f>HYPERLINK("https://www.cortellis.com/drugdiscovery/entity/biomarkers/51682","Multiplex biomarker panel")</f>
        <v>Multiplex biomarker panel</v>
      </c>
      <c r="I702" s="2" t="s">
        <v>23</v>
      </c>
      <c r="J702" s="2" t="s">
        <v>15</v>
      </c>
      <c r="K702" s="4" t="str">
        <f>HYPERLINK("https://www.cortellis.com/drugdiscovery/result/proxy/related-content/biomarkers/genestargets/51682","matrix metallopeptidase 2; matrix metallopeptidase 9")</f>
        <v>matrix metallopeptidase 2; matrix metallopeptidase 9</v>
      </c>
    </row>
    <row r="703" spans="1:11" ht="60" customHeight="1" x14ac:dyDescent="0.2">
      <c r="A703" s="2">
        <v>700</v>
      </c>
      <c r="B703" s="3" t="str">
        <f t="shared" si="135"/>
        <v>MMP-9</v>
      </c>
      <c r="C703" s="3" t="str">
        <f t="shared" si="136"/>
        <v>MMP9</v>
      </c>
      <c r="D703" s="3" t="str">
        <f t="shared" si="137"/>
        <v>MMP9_HUMAN</v>
      </c>
      <c r="E703" s="2" t="s">
        <v>55</v>
      </c>
      <c r="F703" s="3" t="str">
        <f t="shared" si="138"/>
        <v>Matrix metalloproteinase-9</v>
      </c>
      <c r="G703" s="4" t="str">
        <f t="shared" si="139"/>
        <v>Tanomastat</v>
      </c>
      <c r="H703" s="3" t="str">
        <f>HYPERLINK("https://www.cortellis.com/drugdiscovery/entity/biomarkers/51857","20-protein psychiatric disorders panel")</f>
        <v>20-protein psychiatric disorders panel</v>
      </c>
      <c r="I703" s="2" t="s">
        <v>23</v>
      </c>
      <c r="J703" s="2" t="s">
        <v>17</v>
      </c>
      <c r="K703" s="4" t="str">
        <f>HYPERLINK("https://www.cortellis.com/drugdiscovery/result/proxy/related-content/biomarkers/genestargets/51857","matrix metallopeptidase 9")</f>
        <v>matrix metallopeptidase 9</v>
      </c>
    </row>
    <row r="704" spans="1:11" ht="60" customHeight="1" x14ac:dyDescent="0.2">
      <c r="A704" s="2">
        <v>701</v>
      </c>
      <c r="B704" s="3" t="str">
        <f t="shared" si="135"/>
        <v>MMP-9</v>
      </c>
      <c r="C704" s="3" t="str">
        <f t="shared" si="136"/>
        <v>MMP9</v>
      </c>
      <c r="D704" s="3" t="str">
        <f t="shared" si="137"/>
        <v>MMP9_HUMAN</v>
      </c>
      <c r="E704" s="2" t="s">
        <v>55</v>
      </c>
      <c r="F704" s="3" t="str">
        <f t="shared" si="138"/>
        <v>Matrix metalloproteinase-9</v>
      </c>
      <c r="G704" s="4" t="str">
        <f t="shared" si="139"/>
        <v>Tanomastat</v>
      </c>
      <c r="H704" s="3" t="str">
        <f>HYPERLINK("https://www.cortellis.com/drugdiscovery/entity/biomarkers/51943","3-protein colorectal cancer panel")</f>
        <v>3-protein colorectal cancer panel</v>
      </c>
      <c r="I704" s="2" t="s">
        <v>25</v>
      </c>
      <c r="J704" s="2" t="s">
        <v>17</v>
      </c>
      <c r="K704" s="4" t="str">
        <f>HYPERLINK("https://www.cortellis.com/drugdiscovery/result/proxy/related-content/biomarkers/genestargets/51943","matrix metallopeptidase 9")</f>
        <v>matrix metallopeptidase 9</v>
      </c>
    </row>
    <row r="705" spans="1:11" ht="60" customHeight="1" x14ac:dyDescent="0.2">
      <c r="A705" s="2">
        <v>702</v>
      </c>
      <c r="B705" s="3" t="str">
        <f t="shared" si="135"/>
        <v>MMP-9</v>
      </c>
      <c r="C705" s="3" t="str">
        <f t="shared" si="136"/>
        <v>MMP9</v>
      </c>
      <c r="D705" s="3" t="str">
        <f t="shared" si="137"/>
        <v>MMP9_HUMAN</v>
      </c>
      <c r="E705" s="2" t="s">
        <v>55</v>
      </c>
      <c r="F705" s="3" t="str">
        <f t="shared" si="138"/>
        <v>Matrix metalloproteinase-9</v>
      </c>
      <c r="G705" s="4" t="str">
        <f t="shared" si="139"/>
        <v>Tanomastat</v>
      </c>
      <c r="H705" s="3" t="str">
        <f>HYPERLINK("https://www.cortellis.com/drugdiscovery/entity/biomarkers/53826","10-protein bladder cancer panel")</f>
        <v>10-protein bladder cancer panel</v>
      </c>
      <c r="I705" s="2" t="s">
        <v>23</v>
      </c>
      <c r="J705" s="2" t="s">
        <v>17</v>
      </c>
      <c r="K705" s="4" t="str">
        <f>HYPERLINK("https://www.cortellis.com/drugdiscovery/result/proxy/related-content/biomarkers/genestargets/53826","matrix metallopeptidase 9")</f>
        <v>matrix metallopeptidase 9</v>
      </c>
    </row>
    <row r="706" spans="1:11" ht="60" customHeight="1" x14ac:dyDescent="0.2">
      <c r="A706" s="2">
        <v>703</v>
      </c>
      <c r="B706" s="3" t="str">
        <f t="shared" si="135"/>
        <v>MMP-9</v>
      </c>
      <c r="C706" s="3" t="str">
        <f t="shared" si="136"/>
        <v>MMP9</v>
      </c>
      <c r="D706" s="3" t="str">
        <f t="shared" si="137"/>
        <v>MMP9_HUMAN</v>
      </c>
      <c r="E706" s="2" t="s">
        <v>55</v>
      </c>
      <c r="F706" s="3" t="str">
        <f t="shared" si="138"/>
        <v>Matrix metalloproteinase-9</v>
      </c>
      <c r="G706" s="4" t="str">
        <f t="shared" si="139"/>
        <v>Tanomastat</v>
      </c>
      <c r="H706" s="3" t="str">
        <f>HYPERLINK("https://www.cortellis.com/drugdiscovery/entity/biomarkers/54509","5-protein hepatotoxicty panel")</f>
        <v>5-protein hepatotoxicty panel</v>
      </c>
      <c r="I706" s="2" t="s">
        <v>23</v>
      </c>
      <c r="J706" s="2" t="s">
        <v>17</v>
      </c>
      <c r="K706" s="4" t="str">
        <f>HYPERLINK("https://www.cortellis.com/drugdiscovery/result/proxy/related-content/biomarkers/genestargets/54509","matrix metallopeptidase 9")</f>
        <v>matrix metallopeptidase 9</v>
      </c>
    </row>
    <row r="707" spans="1:11" ht="60" customHeight="1" x14ac:dyDescent="0.2">
      <c r="A707" s="2">
        <v>704</v>
      </c>
      <c r="B707" s="3" t="str">
        <f t="shared" si="135"/>
        <v>MMP-9</v>
      </c>
      <c r="C707" s="3" t="str">
        <f t="shared" si="136"/>
        <v>MMP9</v>
      </c>
      <c r="D707" s="3" t="str">
        <f t="shared" si="137"/>
        <v>MMP9_HUMAN</v>
      </c>
      <c r="E707" s="2" t="s">
        <v>55</v>
      </c>
      <c r="F707" s="3" t="str">
        <f t="shared" si="138"/>
        <v>Matrix metalloproteinase-9</v>
      </c>
      <c r="G707" s="4" t="str">
        <f t="shared" si="139"/>
        <v>Tanomastat</v>
      </c>
      <c r="H707" s="3" t="str">
        <f>HYPERLINK("https://www.cortellis.com/drugdiscovery/entity/biomarkers/55657","4-protein cardiovascular disorder panel")</f>
        <v>4-protein cardiovascular disorder panel</v>
      </c>
      <c r="I707" s="2" t="s">
        <v>29</v>
      </c>
      <c r="J707" s="2" t="s">
        <v>17</v>
      </c>
      <c r="K707" s="4" t="str">
        <f>HYPERLINK("https://www.cortellis.com/drugdiscovery/result/proxy/related-content/biomarkers/genestargets/55657","matrix metallopeptidase 9")</f>
        <v>matrix metallopeptidase 9</v>
      </c>
    </row>
    <row r="708" spans="1:11" ht="60" customHeight="1" x14ac:dyDescent="0.2">
      <c r="A708" s="2">
        <v>705</v>
      </c>
      <c r="B708" s="3" t="str">
        <f t="shared" si="135"/>
        <v>MMP-9</v>
      </c>
      <c r="C708" s="3" t="str">
        <f t="shared" si="136"/>
        <v>MMP9</v>
      </c>
      <c r="D708" s="3" t="str">
        <f t="shared" si="137"/>
        <v>MMP9_HUMAN</v>
      </c>
      <c r="E708" s="2" t="s">
        <v>55</v>
      </c>
      <c r="F708" s="3" t="str">
        <f t="shared" si="138"/>
        <v>Matrix metalloproteinase-9</v>
      </c>
      <c r="G708" s="4" t="str">
        <f t="shared" si="139"/>
        <v>Tanomastat</v>
      </c>
      <c r="H708" s="3" t="str">
        <f>HYPERLINK("https://www.cortellis.com/drugdiscovery/entity/biomarkers/59957","10-protein obstructive pulmonary disease panel")</f>
        <v>10-protein obstructive pulmonary disease panel</v>
      </c>
      <c r="I708" s="2" t="s">
        <v>20</v>
      </c>
      <c r="J708" s="2" t="s">
        <v>17</v>
      </c>
      <c r="K708" s="4" t="str">
        <f>HYPERLINK("https://www.cortellis.com/drugdiscovery/result/proxy/related-content/biomarkers/genestargets/59957","matrix metallopeptidase 9; ribonuclease A family member 3")</f>
        <v>matrix metallopeptidase 9; ribonuclease A family member 3</v>
      </c>
    </row>
    <row r="709" spans="1:11" ht="60" customHeight="1" x14ac:dyDescent="0.2">
      <c r="A709" s="2">
        <v>706</v>
      </c>
      <c r="B709" s="3" t="str">
        <f t="shared" si="135"/>
        <v>MMP-9</v>
      </c>
      <c r="C709" s="3" t="str">
        <f t="shared" si="136"/>
        <v>MMP9</v>
      </c>
      <c r="D709" s="3" t="str">
        <f t="shared" si="137"/>
        <v>MMP9_HUMAN</v>
      </c>
      <c r="E709" s="2" t="s">
        <v>55</v>
      </c>
      <c r="F709" s="3" t="str">
        <f t="shared" si="138"/>
        <v>Matrix metalloproteinase-9</v>
      </c>
      <c r="G709" s="4" t="str">
        <f t="shared" si="139"/>
        <v>Tanomastat</v>
      </c>
      <c r="H709" s="3" t="str">
        <f>HYPERLINK("https://www.cortellis.com/drugdiscovery/entity/biomarkers/59959","13-protein Crohn's disease panel")</f>
        <v>13-protein Crohn's disease panel</v>
      </c>
      <c r="I709" s="2" t="s">
        <v>24</v>
      </c>
      <c r="J709" s="2" t="s">
        <v>17</v>
      </c>
      <c r="K709" s="4" t="str">
        <f>HYPERLINK("https://www.cortellis.com/drugdiscovery/result/proxy/related-content/biomarkers/genestargets/59959","interleukin 7; matrix metallopeptidase 2; matrix metallopeptidase 9")</f>
        <v>interleukin 7; matrix metallopeptidase 2; matrix metallopeptidase 9</v>
      </c>
    </row>
    <row r="710" spans="1:11" ht="60" customHeight="1" x14ac:dyDescent="0.2">
      <c r="A710" s="2">
        <v>707</v>
      </c>
      <c r="B710" s="3" t="str">
        <f t="shared" si="135"/>
        <v>MMP-9</v>
      </c>
      <c r="C710" s="3" t="str">
        <f t="shared" si="136"/>
        <v>MMP9</v>
      </c>
      <c r="D710" s="3" t="str">
        <f t="shared" si="137"/>
        <v>MMP9_HUMAN</v>
      </c>
      <c r="E710" s="2" t="s">
        <v>55</v>
      </c>
      <c r="F710" s="3" t="str">
        <f t="shared" si="138"/>
        <v>Matrix metalloproteinase-9</v>
      </c>
      <c r="G710" s="4" t="str">
        <f t="shared" si="139"/>
        <v>Tanomastat</v>
      </c>
      <c r="H710" s="3" t="str">
        <f>HYPERLINK("https://www.cortellis.com/drugdiscovery/entity/biomarkers/59979","10-protein bladder cancer panel")</f>
        <v>10-protein bladder cancer panel</v>
      </c>
      <c r="I710" s="2" t="s">
        <v>23</v>
      </c>
      <c r="J710" s="2" t="s">
        <v>17</v>
      </c>
      <c r="K710" s="4" t="str">
        <f>HYPERLINK("https://www.cortellis.com/drugdiscovery/result/proxy/related-content/biomarkers/genestargets/59979","matrix metallopeptidase 9")</f>
        <v>matrix metallopeptidase 9</v>
      </c>
    </row>
    <row r="711" spans="1:11" ht="60" customHeight="1" x14ac:dyDescent="0.2">
      <c r="A711" s="2">
        <v>708</v>
      </c>
      <c r="B711" s="3" t="str">
        <f t="shared" si="135"/>
        <v>MMP-9</v>
      </c>
      <c r="C711" s="3" t="str">
        <f t="shared" si="136"/>
        <v>MMP9</v>
      </c>
      <c r="D711" s="3" t="str">
        <f t="shared" si="137"/>
        <v>MMP9_HUMAN</v>
      </c>
      <c r="E711" s="2" t="s">
        <v>55</v>
      </c>
      <c r="F711" s="3" t="str">
        <f t="shared" si="138"/>
        <v>Matrix metalloproteinase-9</v>
      </c>
      <c r="G711" s="4" t="str">
        <f t="shared" ref="G711:G740" si="140">HYPERLINK("https://portal.genego.com/cgi/entity_page.cgi?term=7&amp;id=-961546559","Batimastat")</f>
        <v>Batimastat</v>
      </c>
      <c r="H711" s="3" t="str">
        <f>HYPERLINK("https://www.cortellis.com/drugdiscovery/entity/biomarkers/65","MammaPrint")</f>
        <v>MammaPrint</v>
      </c>
      <c r="I711" s="2" t="s">
        <v>58</v>
      </c>
      <c r="J711" s="2" t="s">
        <v>19</v>
      </c>
      <c r="K711" s="4" t="str">
        <f>HYPERLINK("https://www.cortellis.com/drugdiscovery/result/proxy/related-content/biomarkers/genestargets/65","matrix metallopeptidase 9")</f>
        <v>matrix metallopeptidase 9</v>
      </c>
    </row>
    <row r="712" spans="1:11" ht="60" customHeight="1" x14ac:dyDescent="0.2">
      <c r="A712" s="2">
        <v>709</v>
      </c>
      <c r="B712" s="3" t="str">
        <f t="shared" si="135"/>
        <v>MMP-9</v>
      </c>
      <c r="C712" s="3" t="str">
        <f t="shared" si="136"/>
        <v>MMP9</v>
      </c>
      <c r="D712" s="3" t="str">
        <f t="shared" si="137"/>
        <v>MMP9_HUMAN</v>
      </c>
      <c r="E712" s="2" t="s">
        <v>55</v>
      </c>
      <c r="F712" s="3" t="str">
        <f t="shared" si="138"/>
        <v>Matrix metalloproteinase-9</v>
      </c>
      <c r="G712" s="4" t="str">
        <f t="shared" si="140"/>
        <v>Batimastat</v>
      </c>
      <c r="H712" s="3" t="str">
        <f>HYPERLINK("https://www.cortellis.com/drugdiscovery/entity/biomarkers/173","Matrix metalloproteinase-9")</f>
        <v>Matrix metalloproteinase-9</v>
      </c>
      <c r="I712" s="2" t="s">
        <v>31</v>
      </c>
      <c r="J712" s="2" t="s">
        <v>15</v>
      </c>
      <c r="K712" s="4" t="str">
        <f>HYPERLINK("https://www.cortellis.com/drugdiscovery/result/proxy/related-content/biomarkers/genestargets/173","matrix metallopeptidase 9")</f>
        <v>matrix metallopeptidase 9</v>
      </c>
    </row>
    <row r="713" spans="1:11" ht="60" customHeight="1" x14ac:dyDescent="0.2">
      <c r="A713" s="2">
        <v>710</v>
      </c>
      <c r="B713" s="3" t="str">
        <f t="shared" si="135"/>
        <v>MMP-9</v>
      </c>
      <c r="C713" s="3" t="str">
        <f t="shared" si="136"/>
        <v>MMP9</v>
      </c>
      <c r="D713" s="3" t="str">
        <f t="shared" si="137"/>
        <v>MMP9_HUMAN</v>
      </c>
      <c r="E713" s="2" t="s">
        <v>55</v>
      </c>
      <c r="F713" s="3" t="str">
        <f t="shared" si="138"/>
        <v>Matrix metalloproteinase-9</v>
      </c>
      <c r="G713" s="4" t="str">
        <f t="shared" si="140"/>
        <v>Batimastat</v>
      </c>
      <c r="H713" s="3" t="str">
        <f>HYPERLINK("https://www.cortellis.com/drugdiscovery/entity/biomarkers/26294","160-gene expression liver cancer panel")</f>
        <v>160-gene expression liver cancer panel</v>
      </c>
      <c r="I713" s="2" t="s">
        <v>25</v>
      </c>
      <c r="J713" s="2" t="s">
        <v>19</v>
      </c>
      <c r="K713" s="4" t="str">
        <f>HYPERLINK("https://www.cortellis.com/drugdiscovery/result/proxy/related-content/biomarkers/genestargets/26294","matrix metallopeptidase 9")</f>
        <v>matrix metallopeptidase 9</v>
      </c>
    </row>
    <row r="714" spans="1:11" ht="60" customHeight="1" x14ac:dyDescent="0.2">
      <c r="A714" s="2">
        <v>711</v>
      </c>
      <c r="B714" s="3" t="str">
        <f t="shared" si="135"/>
        <v>MMP-9</v>
      </c>
      <c r="C714" s="3" t="str">
        <f t="shared" si="136"/>
        <v>MMP9</v>
      </c>
      <c r="D714" s="3" t="str">
        <f t="shared" si="137"/>
        <v>MMP9_HUMAN</v>
      </c>
      <c r="E714" s="2" t="s">
        <v>55</v>
      </c>
      <c r="F714" s="3" t="str">
        <f t="shared" si="138"/>
        <v>Matrix metalloproteinase-9</v>
      </c>
      <c r="G714" s="4" t="str">
        <f t="shared" si="140"/>
        <v>Batimastat</v>
      </c>
      <c r="H714" s="3" t="str">
        <f>HYPERLINK("https://www.cortellis.com/drugdiscovery/entity/biomarkers/27598","89-protein neurological alzheimer's panel")</f>
        <v>89-protein neurological alzheimer's panel</v>
      </c>
      <c r="I714" s="2" t="s">
        <v>23</v>
      </c>
      <c r="J714" s="2" t="s">
        <v>17</v>
      </c>
      <c r="K71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715" spans="1:11" ht="60" customHeight="1" x14ac:dyDescent="0.2">
      <c r="A715" s="2">
        <v>712</v>
      </c>
      <c r="B715" s="3" t="str">
        <f t="shared" si="135"/>
        <v>MMP-9</v>
      </c>
      <c r="C715" s="3" t="str">
        <f t="shared" si="136"/>
        <v>MMP9</v>
      </c>
      <c r="D715" s="3" t="str">
        <f t="shared" si="137"/>
        <v>MMP9_HUMAN</v>
      </c>
      <c r="E715" s="2" t="s">
        <v>55</v>
      </c>
      <c r="F715" s="3" t="str">
        <f t="shared" si="138"/>
        <v>Matrix metalloproteinase-9</v>
      </c>
      <c r="G715" s="4" t="str">
        <f t="shared" si="140"/>
        <v>Batimastat</v>
      </c>
      <c r="H715" s="3" t="str">
        <f>HYPERLINK("https://www.cortellis.com/drugdiscovery/entity/biomarkers/27613","9-gene expression ischemic stroke panel")</f>
        <v>9-gene expression ischemic stroke panel</v>
      </c>
      <c r="I715" s="2" t="s">
        <v>23</v>
      </c>
      <c r="J715" s="2" t="s">
        <v>19</v>
      </c>
      <c r="K715" s="4" t="str">
        <f>HYPERLINK("https://www.cortellis.com/drugdiscovery/result/proxy/related-content/biomarkers/genestargets/27613","matrix metallopeptidase 9")</f>
        <v>matrix metallopeptidase 9</v>
      </c>
    </row>
    <row r="716" spans="1:11" ht="60" customHeight="1" x14ac:dyDescent="0.2">
      <c r="A716" s="2">
        <v>713</v>
      </c>
      <c r="B716" s="3" t="str">
        <f t="shared" si="135"/>
        <v>MMP-9</v>
      </c>
      <c r="C716" s="3" t="str">
        <f t="shared" si="136"/>
        <v>MMP9</v>
      </c>
      <c r="D716" s="3" t="str">
        <f t="shared" si="137"/>
        <v>MMP9_HUMAN</v>
      </c>
      <c r="E716" s="2" t="s">
        <v>55</v>
      </c>
      <c r="F716" s="3" t="str">
        <f t="shared" si="138"/>
        <v>Matrix metalloproteinase-9</v>
      </c>
      <c r="G716" s="4" t="str">
        <f t="shared" si="140"/>
        <v>Batimastat</v>
      </c>
      <c r="H716" s="3" t="str">
        <f>HYPERLINK("https://www.cortellis.com/drugdiscovery/entity/biomarkers/28479","24-gene expression breast cancer panel")</f>
        <v>24-gene expression breast cancer panel</v>
      </c>
      <c r="I716" s="2" t="s">
        <v>18</v>
      </c>
      <c r="J716" s="2" t="s">
        <v>19</v>
      </c>
      <c r="K716" s="4" t="str">
        <f>HYPERLINK("https://www.cortellis.com/drugdiscovery/result/proxy/related-content/biomarkers/genestargets/28479","matrix metallopeptidase 9")</f>
        <v>matrix metallopeptidase 9</v>
      </c>
    </row>
    <row r="717" spans="1:11" ht="60" customHeight="1" x14ac:dyDescent="0.2">
      <c r="A717" s="2">
        <v>714</v>
      </c>
      <c r="B717" s="3" t="str">
        <f t="shared" si="135"/>
        <v>MMP-9</v>
      </c>
      <c r="C717" s="3" t="str">
        <f t="shared" si="136"/>
        <v>MMP9</v>
      </c>
      <c r="D717" s="3" t="str">
        <f t="shared" si="137"/>
        <v>MMP9_HUMAN</v>
      </c>
      <c r="E717" s="2" t="s">
        <v>55</v>
      </c>
      <c r="F717" s="3" t="str">
        <f t="shared" si="138"/>
        <v>Matrix metalloproteinase-9</v>
      </c>
      <c r="G717" s="4" t="str">
        <f t="shared" si="140"/>
        <v>Batimastat</v>
      </c>
      <c r="H717" s="3" t="str">
        <f>HYPERLINK("https://www.cortellis.com/drugdiscovery/entity/biomarkers/34465","10-protein 1-biochemical alzheimer's panel")</f>
        <v>10-protein 1-biochemical alzheimer's panel</v>
      </c>
      <c r="I717" s="2" t="s">
        <v>23</v>
      </c>
      <c r="J717" s="2" t="s">
        <v>59</v>
      </c>
      <c r="K717" s="4" t="str">
        <f>HYPERLINK("https://www.cortellis.com/drugdiscovery/result/proxy/related-content/biomarkers/genestargets/34465","matrix metallopeptidase 9")</f>
        <v>matrix metallopeptidase 9</v>
      </c>
    </row>
    <row r="718" spans="1:11" ht="60" customHeight="1" x14ac:dyDescent="0.2">
      <c r="A718" s="2">
        <v>715</v>
      </c>
      <c r="B718" s="3" t="str">
        <f t="shared" si="135"/>
        <v>MMP-9</v>
      </c>
      <c r="C718" s="3" t="str">
        <f t="shared" si="136"/>
        <v>MMP9</v>
      </c>
      <c r="D718" s="3" t="str">
        <f t="shared" si="137"/>
        <v>MMP9_HUMAN</v>
      </c>
      <c r="E718" s="2" t="s">
        <v>55</v>
      </c>
      <c r="F718" s="3" t="str">
        <f t="shared" si="138"/>
        <v>Matrix metalloproteinase-9</v>
      </c>
      <c r="G718" s="4" t="str">
        <f t="shared" si="140"/>
        <v>Batimastat</v>
      </c>
      <c r="H718" s="3" t="str">
        <f>HYPERLINK("https://www.cortellis.com/drugdiscovery/entity/biomarkers/39788","Epithelial-mesenchymal transition gene signature")</f>
        <v>Epithelial-mesenchymal transition gene signature</v>
      </c>
      <c r="I718" s="2" t="s">
        <v>18</v>
      </c>
      <c r="J718" s="2" t="s">
        <v>19</v>
      </c>
      <c r="K718" s="4" t="str">
        <f>HYPERLINK("https://www.cortellis.com/drugdiscovery/result/proxy/related-content/biomarkers/genestargets/39788","C-C motif chemokine ligand 2; matrix metallopeptidase 9")</f>
        <v>C-C motif chemokine ligand 2; matrix metallopeptidase 9</v>
      </c>
    </row>
    <row r="719" spans="1:11" ht="60" customHeight="1" x14ac:dyDescent="0.2">
      <c r="A719" s="2">
        <v>716</v>
      </c>
      <c r="B719" s="3" t="str">
        <f t="shared" ref="B719:B782" si="141">HYPERLINK("https://portal.genego.com/cgi/entity_page.cgi?term=100&amp;id=4125","MMP-9")</f>
        <v>MMP-9</v>
      </c>
      <c r="C719" s="3" t="str">
        <f t="shared" ref="C719:C782" si="142">HYPERLINK("https://portal.genego.com/cgi/entity_page.cgi?term=20&amp;id=1390764486","MMP9")</f>
        <v>MMP9</v>
      </c>
      <c r="D719" s="3" t="str">
        <f t="shared" ref="D719:D782" si="143">HYPERLINK("https://portal.genego.com/cgi/entity_page.cgi?term=7&amp;id=-675020829","MMP9_HUMAN")</f>
        <v>MMP9_HUMAN</v>
      </c>
      <c r="E719" s="2" t="s">
        <v>55</v>
      </c>
      <c r="F719" s="3" t="str">
        <f t="shared" ref="F719:F782" si="144">HYPERLINK("https://portal.genego.com/cgi/entity_page.cgi?term=100&amp;id=4125","Matrix metalloproteinase-9")</f>
        <v>Matrix metalloproteinase-9</v>
      </c>
      <c r="G719" s="4" t="str">
        <f t="shared" si="140"/>
        <v>Batimastat</v>
      </c>
      <c r="H719" s="3" t="str">
        <f>HYPERLINK("https://www.cortellis.com/drugdiscovery/entity/biomarkers/41350","10-protein liver cancer panel")</f>
        <v>10-protein liver cancer panel</v>
      </c>
      <c r="I719" s="2" t="s">
        <v>52</v>
      </c>
      <c r="J719" s="2" t="s">
        <v>17</v>
      </c>
      <c r="K719" s="4" t="str">
        <f>HYPERLINK("https://www.cortellis.com/drugdiscovery/result/proxy/related-content/biomarkers/genestargets/41350","matrix metallopeptidase 9")</f>
        <v>matrix metallopeptidase 9</v>
      </c>
    </row>
    <row r="720" spans="1:11" ht="60" customHeight="1" x14ac:dyDescent="0.2">
      <c r="A720" s="2">
        <v>717</v>
      </c>
      <c r="B720" s="3" t="str">
        <f t="shared" si="141"/>
        <v>MMP-9</v>
      </c>
      <c r="C720" s="3" t="str">
        <f t="shared" si="142"/>
        <v>MMP9</v>
      </c>
      <c r="D720" s="3" t="str">
        <f t="shared" si="143"/>
        <v>MMP9_HUMAN</v>
      </c>
      <c r="E720" s="2" t="s">
        <v>55</v>
      </c>
      <c r="F720" s="3" t="str">
        <f t="shared" si="144"/>
        <v>Matrix metalloproteinase-9</v>
      </c>
      <c r="G720" s="4" t="str">
        <f t="shared" si="140"/>
        <v>Batimastat</v>
      </c>
      <c r="H720" s="3" t="str">
        <f>HYPERLINK("https://www.cortellis.com/drugdiscovery/entity/biomarkers/41936","5-gene expression breast cancer panel")</f>
        <v>5-gene expression breast cancer panel</v>
      </c>
      <c r="I720" s="2" t="s">
        <v>60</v>
      </c>
      <c r="J720" s="2" t="s">
        <v>19</v>
      </c>
      <c r="K720" s="4" t="str">
        <f>HYPERLINK("https://www.cortellis.com/drugdiscovery/result/proxy/related-content/biomarkers/genestargets/41936","matrix metallopeptidase 9")</f>
        <v>matrix metallopeptidase 9</v>
      </c>
    </row>
    <row r="721" spans="1:11" ht="60" customHeight="1" x14ac:dyDescent="0.2">
      <c r="A721" s="2">
        <v>718</v>
      </c>
      <c r="B721" s="3" t="str">
        <f t="shared" si="141"/>
        <v>MMP-9</v>
      </c>
      <c r="C721" s="3" t="str">
        <f t="shared" si="142"/>
        <v>MMP9</v>
      </c>
      <c r="D721" s="3" t="str">
        <f t="shared" si="143"/>
        <v>MMP9_HUMAN</v>
      </c>
      <c r="E721" s="2" t="s">
        <v>55</v>
      </c>
      <c r="F721" s="3" t="str">
        <f t="shared" si="144"/>
        <v>Matrix metalloproteinase-9</v>
      </c>
      <c r="G721" s="4" t="str">
        <f t="shared" si="140"/>
        <v>Batimastat</v>
      </c>
      <c r="H721" s="3" t="str">
        <f>HYPERLINK("https://www.cortellis.com/drugdiscovery/entity/biomarkers/43380","7-protein bladder cancer panel")</f>
        <v>7-protein bladder cancer panel</v>
      </c>
      <c r="I721" s="2" t="s">
        <v>23</v>
      </c>
      <c r="J721" s="2" t="s">
        <v>15</v>
      </c>
      <c r="K721" s="4" t="str">
        <f>HYPERLINK("https://www.cortellis.com/drugdiscovery/result/proxy/related-content/biomarkers/genestargets/43380","matrix metallopeptidase 9")</f>
        <v>matrix metallopeptidase 9</v>
      </c>
    </row>
    <row r="722" spans="1:11" ht="60" customHeight="1" x14ac:dyDescent="0.2">
      <c r="A722" s="2">
        <v>719</v>
      </c>
      <c r="B722" s="3" t="str">
        <f t="shared" si="141"/>
        <v>MMP-9</v>
      </c>
      <c r="C722" s="3" t="str">
        <f t="shared" si="142"/>
        <v>MMP9</v>
      </c>
      <c r="D722" s="3" t="str">
        <f t="shared" si="143"/>
        <v>MMP9_HUMAN</v>
      </c>
      <c r="E722" s="2" t="s">
        <v>55</v>
      </c>
      <c r="F722" s="3" t="str">
        <f t="shared" si="144"/>
        <v>Matrix metalloproteinase-9</v>
      </c>
      <c r="G722" s="4" t="str">
        <f t="shared" si="140"/>
        <v>Batimastat</v>
      </c>
      <c r="H722" s="3" t="str">
        <f>HYPERLINK("https://www.cortellis.com/drugdiscovery/entity/biomarkers/43382","3-protein bladder cancer panel")</f>
        <v>3-protein bladder cancer panel</v>
      </c>
      <c r="I722" s="2" t="s">
        <v>23</v>
      </c>
      <c r="J722" s="2" t="s">
        <v>17</v>
      </c>
      <c r="K722" s="4" t="str">
        <f>HYPERLINK("https://www.cortellis.com/drugdiscovery/result/proxy/related-content/biomarkers/genestargets/43382","matrix metallopeptidase 9")</f>
        <v>matrix metallopeptidase 9</v>
      </c>
    </row>
    <row r="723" spans="1:11" ht="60" customHeight="1" x14ac:dyDescent="0.2">
      <c r="A723" s="2">
        <v>720</v>
      </c>
      <c r="B723" s="3" t="str">
        <f t="shared" si="141"/>
        <v>MMP-9</v>
      </c>
      <c r="C723" s="3" t="str">
        <f t="shared" si="142"/>
        <v>MMP9</v>
      </c>
      <c r="D723" s="3" t="str">
        <f t="shared" si="143"/>
        <v>MMP9_HUMAN</v>
      </c>
      <c r="E723" s="2" t="s">
        <v>55</v>
      </c>
      <c r="F723" s="3" t="str">
        <f t="shared" si="144"/>
        <v>Matrix metalloproteinase-9</v>
      </c>
      <c r="G723" s="4" t="str">
        <f t="shared" si="140"/>
        <v>Batimastat</v>
      </c>
      <c r="H723" s="3" t="str">
        <f>HYPERLINK("https://www.cortellis.com/drugdiscovery/entity/biomarkers/43994","4-gene expression adenomatous polyps panel")</f>
        <v>4-gene expression adenomatous polyps panel</v>
      </c>
      <c r="I723" s="2" t="s">
        <v>23</v>
      </c>
      <c r="J723" s="2" t="s">
        <v>19</v>
      </c>
      <c r="K723" s="4" t="str">
        <f>HYPERLINK("https://www.cortellis.com/drugdiscovery/result/proxy/related-content/biomarkers/genestargets/43994","matrix metallopeptidase 9")</f>
        <v>matrix metallopeptidase 9</v>
      </c>
    </row>
    <row r="724" spans="1:11" ht="60" customHeight="1" x14ac:dyDescent="0.2">
      <c r="A724" s="2">
        <v>721</v>
      </c>
      <c r="B724" s="3" t="str">
        <f t="shared" si="141"/>
        <v>MMP-9</v>
      </c>
      <c r="C724" s="3" t="str">
        <f t="shared" si="142"/>
        <v>MMP9</v>
      </c>
      <c r="D724" s="3" t="str">
        <f t="shared" si="143"/>
        <v>MMP9_HUMAN</v>
      </c>
      <c r="E724" s="2" t="s">
        <v>55</v>
      </c>
      <c r="F724" s="3" t="str">
        <f t="shared" si="144"/>
        <v>Matrix metalloproteinase-9</v>
      </c>
      <c r="G724" s="4" t="str">
        <f t="shared" si="140"/>
        <v>Batimastat</v>
      </c>
      <c r="H724" s="3" t="str">
        <f>HYPERLINK("https://www.cortellis.com/drugdiscovery/entity/biomarkers/43995","8-gene expression colorectal cancer panel")</f>
        <v>8-gene expression colorectal cancer panel</v>
      </c>
      <c r="I724" s="2" t="s">
        <v>23</v>
      </c>
      <c r="J724" s="2" t="s">
        <v>19</v>
      </c>
      <c r="K724" s="4" t="str">
        <f>HYPERLINK("https://www.cortellis.com/drugdiscovery/result/proxy/related-content/biomarkers/genestargets/43995","matrix metallopeptidase 9")</f>
        <v>matrix metallopeptidase 9</v>
      </c>
    </row>
    <row r="725" spans="1:11" ht="60" customHeight="1" x14ac:dyDescent="0.2">
      <c r="A725" s="2">
        <v>722</v>
      </c>
      <c r="B725" s="3" t="str">
        <f t="shared" si="141"/>
        <v>MMP-9</v>
      </c>
      <c r="C725" s="3" t="str">
        <f t="shared" si="142"/>
        <v>MMP9</v>
      </c>
      <c r="D725" s="3" t="str">
        <f t="shared" si="143"/>
        <v>MMP9_HUMAN</v>
      </c>
      <c r="E725" s="2" t="s">
        <v>55</v>
      </c>
      <c r="F725" s="3" t="str">
        <f t="shared" si="144"/>
        <v>Matrix metalloproteinase-9</v>
      </c>
      <c r="G725" s="4" t="str">
        <f t="shared" si="140"/>
        <v>Batimastat</v>
      </c>
      <c r="H725" s="3" t="str">
        <f>HYPERLINK("https://www.cortellis.com/drugdiscovery/entity/biomarkers/45762","37-protein metastatic colon cancer panel")</f>
        <v>37-protein metastatic colon cancer panel</v>
      </c>
      <c r="I725" s="2" t="s">
        <v>20</v>
      </c>
      <c r="J725" s="2" t="s">
        <v>17</v>
      </c>
      <c r="K725" s="4" t="str">
        <f>HYPERLINK("https://www.cortellis.com/drugdiscovery/result/proxy/related-content/biomarkers/genestargets/45762","matrix metallopeptidase 2; matrix metallopeptidase 9")</f>
        <v>matrix metallopeptidase 2; matrix metallopeptidase 9</v>
      </c>
    </row>
    <row r="726" spans="1:11" ht="60" customHeight="1" x14ac:dyDescent="0.2">
      <c r="A726" s="2">
        <v>723</v>
      </c>
      <c r="B726" s="3" t="str">
        <f t="shared" si="141"/>
        <v>MMP-9</v>
      </c>
      <c r="C726" s="3" t="str">
        <f t="shared" si="142"/>
        <v>MMP9</v>
      </c>
      <c r="D726" s="3" t="str">
        <f t="shared" si="143"/>
        <v>MMP9_HUMAN</v>
      </c>
      <c r="E726" s="2" t="s">
        <v>55</v>
      </c>
      <c r="F726" s="3" t="str">
        <f t="shared" si="144"/>
        <v>Matrix metalloproteinase-9</v>
      </c>
      <c r="G726" s="4" t="str">
        <f t="shared" si="140"/>
        <v>Batimastat</v>
      </c>
      <c r="H726" s="3" t="str">
        <f>HYPERLINK("https://www.cortellis.com/drugdiscovery/entity/biomarkers/48821","10-gene expression clear cell renal cell cancer panel")</f>
        <v>10-gene expression clear cell renal cell cancer panel</v>
      </c>
      <c r="I726" s="2" t="s">
        <v>18</v>
      </c>
      <c r="J726" s="2" t="s">
        <v>19</v>
      </c>
      <c r="K726" s="4" t="str">
        <f>HYPERLINK("https://www.cortellis.com/drugdiscovery/result/proxy/related-content/biomarkers/genestargets/48821","matrix metallopeptidase 9")</f>
        <v>matrix metallopeptidase 9</v>
      </c>
    </row>
    <row r="727" spans="1:11" ht="60" customHeight="1" x14ac:dyDescent="0.2">
      <c r="A727" s="2">
        <v>724</v>
      </c>
      <c r="B727" s="3" t="str">
        <f t="shared" si="141"/>
        <v>MMP-9</v>
      </c>
      <c r="C727" s="3" t="str">
        <f t="shared" si="142"/>
        <v>MMP9</v>
      </c>
      <c r="D727" s="3" t="str">
        <f t="shared" si="143"/>
        <v>MMP9_HUMAN</v>
      </c>
      <c r="E727" s="2" t="s">
        <v>55</v>
      </c>
      <c r="F727" s="3" t="str">
        <f t="shared" si="144"/>
        <v>Matrix metalloproteinase-9</v>
      </c>
      <c r="G727" s="4" t="str">
        <f t="shared" si="140"/>
        <v>Batimastat</v>
      </c>
      <c r="H727" s="3" t="str">
        <f>HYPERLINK("https://www.cortellis.com/drugdiscovery/entity/biomarkers/49523","3-protein diffuse B cell lymphoma  panel")</f>
        <v>3-protein diffuse B cell lymphoma  panel</v>
      </c>
      <c r="I727" s="2" t="s">
        <v>23</v>
      </c>
      <c r="J727" s="2" t="s">
        <v>17</v>
      </c>
      <c r="K727" s="4" t="str">
        <f>HYPERLINK("https://www.cortellis.com/drugdiscovery/result/proxy/related-content/biomarkers/genestargets/49523","matrix metallopeptidase 9")</f>
        <v>matrix metallopeptidase 9</v>
      </c>
    </row>
    <row r="728" spans="1:11" ht="60" customHeight="1" x14ac:dyDescent="0.2">
      <c r="A728" s="2">
        <v>725</v>
      </c>
      <c r="B728" s="3" t="str">
        <f t="shared" si="141"/>
        <v>MMP-9</v>
      </c>
      <c r="C728" s="3" t="str">
        <f t="shared" si="142"/>
        <v>MMP9</v>
      </c>
      <c r="D728" s="3" t="str">
        <f t="shared" si="143"/>
        <v>MMP9_HUMAN</v>
      </c>
      <c r="E728" s="2" t="s">
        <v>55</v>
      </c>
      <c r="F728" s="3" t="str">
        <f t="shared" si="144"/>
        <v>Matrix metalloproteinase-9</v>
      </c>
      <c r="G728" s="4" t="str">
        <f t="shared" si="140"/>
        <v>Batimastat</v>
      </c>
      <c r="H728" s="3" t="str">
        <f>HYPERLINK("https://www.cortellis.com/drugdiscovery/entity/biomarkers/49848","29-gene expression colorectal cancer panel")</f>
        <v>29-gene expression colorectal cancer panel</v>
      </c>
      <c r="I728" s="2" t="s">
        <v>23</v>
      </c>
      <c r="J728" s="2" t="s">
        <v>19</v>
      </c>
      <c r="K728" s="4" t="str">
        <f>HYPERLINK("https://www.cortellis.com/drugdiscovery/result/proxy/related-content/biomarkers/genestargets/49848","matrix metallopeptidase 9")</f>
        <v>matrix metallopeptidase 9</v>
      </c>
    </row>
    <row r="729" spans="1:11" ht="60" customHeight="1" x14ac:dyDescent="0.2">
      <c r="A729" s="2">
        <v>726</v>
      </c>
      <c r="B729" s="3" t="str">
        <f t="shared" si="141"/>
        <v>MMP-9</v>
      </c>
      <c r="C729" s="3" t="str">
        <f t="shared" si="142"/>
        <v>MMP9</v>
      </c>
      <c r="D729" s="3" t="str">
        <f t="shared" si="143"/>
        <v>MMP9_HUMAN</v>
      </c>
      <c r="E729" s="2" t="s">
        <v>55</v>
      </c>
      <c r="F729" s="3" t="str">
        <f t="shared" si="144"/>
        <v>Matrix metalloproteinase-9</v>
      </c>
      <c r="G729" s="4" t="str">
        <f t="shared" si="140"/>
        <v>Batimastat</v>
      </c>
      <c r="H729" s="3" t="str">
        <f>HYPERLINK("https://www.cortellis.com/drugdiscovery/entity/biomarkers/50282","10-protein bladder cancer panel")</f>
        <v>10-protein bladder cancer panel</v>
      </c>
      <c r="I729" s="2" t="s">
        <v>52</v>
      </c>
      <c r="J729" s="2" t="s">
        <v>17</v>
      </c>
      <c r="K729" s="4" t="str">
        <f>HYPERLINK("https://www.cortellis.com/drugdiscovery/result/proxy/related-content/biomarkers/genestargets/50282","matrix metallopeptidase 9")</f>
        <v>matrix metallopeptidase 9</v>
      </c>
    </row>
    <row r="730" spans="1:11" ht="60" customHeight="1" x14ac:dyDescent="0.2">
      <c r="A730" s="2">
        <v>727</v>
      </c>
      <c r="B730" s="3" t="str">
        <f t="shared" si="141"/>
        <v>MMP-9</v>
      </c>
      <c r="C730" s="3" t="str">
        <f t="shared" si="142"/>
        <v>MMP9</v>
      </c>
      <c r="D730" s="3" t="str">
        <f t="shared" si="143"/>
        <v>MMP9_HUMAN</v>
      </c>
      <c r="E730" s="2" t="s">
        <v>55</v>
      </c>
      <c r="F730" s="3" t="str">
        <f t="shared" si="144"/>
        <v>Matrix metalloproteinase-9</v>
      </c>
      <c r="G730" s="4" t="str">
        <f t="shared" si="140"/>
        <v>Batimastat</v>
      </c>
      <c r="H730" s="3" t="str">
        <f>HYPERLINK("https://www.cortellis.com/drugdiscovery/entity/biomarkers/50774","9-protein Kawasaki's disease panel")</f>
        <v>9-protein Kawasaki's disease panel</v>
      </c>
      <c r="I730" s="2" t="s">
        <v>23</v>
      </c>
      <c r="J730" s="2" t="s">
        <v>17</v>
      </c>
      <c r="K730" s="4" t="str">
        <f>HYPERLINK("https://www.cortellis.com/drugdiscovery/result/proxy/related-content/biomarkers/genestargets/50774","matrix metallopeptidase 9; solute carrier family 11 member 1")</f>
        <v>matrix metallopeptidase 9; solute carrier family 11 member 1</v>
      </c>
    </row>
    <row r="731" spans="1:11" ht="60" customHeight="1" x14ac:dyDescent="0.2">
      <c r="A731" s="2">
        <v>728</v>
      </c>
      <c r="B731" s="3" t="str">
        <f t="shared" si="141"/>
        <v>MMP-9</v>
      </c>
      <c r="C731" s="3" t="str">
        <f t="shared" si="142"/>
        <v>MMP9</v>
      </c>
      <c r="D731" s="3" t="str">
        <f t="shared" si="143"/>
        <v>MMP9_HUMAN</v>
      </c>
      <c r="E731" s="2" t="s">
        <v>55</v>
      </c>
      <c r="F731" s="3" t="str">
        <f t="shared" si="144"/>
        <v>Matrix metalloproteinase-9</v>
      </c>
      <c r="G731" s="4" t="str">
        <f t="shared" si="140"/>
        <v>Batimastat</v>
      </c>
      <c r="H731" s="3" t="str">
        <f>HYPERLINK("https://www.cortellis.com/drugdiscovery/entity/biomarkers/50815","4-protein serous ovarian cancer panel")</f>
        <v>4-protein serous ovarian cancer panel</v>
      </c>
      <c r="I731" s="2" t="s">
        <v>23</v>
      </c>
      <c r="J731" s="2" t="s">
        <v>17</v>
      </c>
      <c r="K731" s="4" t="str">
        <f>HYPERLINK("https://www.cortellis.com/drugdiscovery/result/proxy/related-content/biomarkers/genestargets/50815","matrix metallopeptidase 9")</f>
        <v>matrix metallopeptidase 9</v>
      </c>
    </row>
    <row r="732" spans="1:11" ht="60" customHeight="1" x14ac:dyDescent="0.2">
      <c r="A732" s="2">
        <v>729</v>
      </c>
      <c r="B732" s="3" t="str">
        <f t="shared" si="141"/>
        <v>MMP-9</v>
      </c>
      <c r="C732" s="3" t="str">
        <f t="shared" si="142"/>
        <v>MMP9</v>
      </c>
      <c r="D732" s="3" t="str">
        <f t="shared" si="143"/>
        <v>MMP9_HUMAN</v>
      </c>
      <c r="E732" s="2" t="s">
        <v>55</v>
      </c>
      <c r="F732" s="3" t="str">
        <f t="shared" si="144"/>
        <v>Matrix metalloproteinase-9</v>
      </c>
      <c r="G732" s="4" t="str">
        <f t="shared" si="140"/>
        <v>Batimastat</v>
      </c>
      <c r="H732" s="3" t="str">
        <f>HYPERLINK("https://www.cortellis.com/drugdiscovery/entity/biomarkers/51682","Multiplex biomarker panel")</f>
        <v>Multiplex biomarker panel</v>
      </c>
      <c r="I732" s="2" t="s">
        <v>23</v>
      </c>
      <c r="J732" s="2" t="s">
        <v>15</v>
      </c>
      <c r="K732" s="4" t="str">
        <f>HYPERLINK("https://www.cortellis.com/drugdiscovery/result/proxy/related-content/biomarkers/genestargets/51682","matrix metallopeptidase 2; matrix metallopeptidase 9")</f>
        <v>matrix metallopeptidase 2; matrix metallopeptidase 9</v>
      </c>
    </row>
    <row r="733" spans="1:11" ht="60" customHeight="1" x14ac:dyDescent="0.2">
      <c r="A733" s="2">
        <v>730</v>
      </c>
      <c r="B733" s="3" t="str">
        <f t="shared" si="141"/>
        <v>MMP-9</v>
      </c>
      <c r="C733" s="3" t="str">
        <f t="shared" si="142"/>
        <v>MMP9</v>
      </c>
      <c r="D733" s="3" t="str">
        <f t="shared" si="143"/>
        <v>MMP9_HUMAN</v>
      </c>
      <c r="E733" s="2" t="s">
        <v>55</v>
      </c>
      <c r="F733" s="3" t="str">
        <f t="shared" si="144"/>
        <v>Matrix metalloproteinase-9</v>
      </c>
      <c r="G733" s="4" t="str">
        <f t="shared" si="140"/>
        <v>Batimastat</v>
      </c>
      <c r="H733" s="3" t="str">
        <f>HYPERLINK("https://www.cortellis.com/drugdiscovery/entity/biomarkers/51857","20-protein psychiatric disorders panel")</f>
        <v>20-protein psychiatric disorders panel</v>
      </c>
      <c r="I733" s="2" t="s">
        <v>23</v>
      </c>
      <c r="J733" s="2" t="s">
        <v>17</v>
      </c>
      <c r="K733" s="4" t="str">
        <f>HYPERLINK("https://www.cortellis.com/drugdiscovery/result/proxy/related-content/biomarkers/genestargets/51857","matrix metallopeptidase 9")</f>
        <v>matrix metallopeptidase 9</v>
      </c>
    </row>
    <row r="734" spans="1:11" ht="60" customHeight="1" x14ac:dyDescent="0.2">
      <c r="A734" s="2">
        <v>731</v>
      </c>
      <c r="B734" s="3" t="str">
        <f t="shared" si="141"/>
        <v>MMP-9</v>
      </c>
      <c r="C734" s="3" t="str">
        <f t="shared" si="142"/>
        <v>MMP9</v>
      </c>
      <c r="D734" s="3" t="str">
        <f t="shared" si="143"/>
        <v>MMP9_HUMAN</v>
      </c>
      <c r="E734" s="2" t="s">
        <v>55</v>
      </c>
      <c r="F734" s="3" t="str">
        <f t="shared" si="144"/>
        <v>Matrix metalloproteinase-9</v>
      </c>
      <c r="G734" s="4" t="str">
        <f t="shared" si="140"/>
        <v>Batimastat</v>
      </c>
      <c r="H734" s="3" t="str">
        <f>HYPERLINK("https://www.cortellis.com/drugdiscovery/entity/biomarkers/51943","3-protein colorectal cancer panel")</f>
        <v>3-protein colorectal cancer panel</v>
      </c>
      <c r="I734" s="2" t="s">
        <v>25</v>
      </c>
      <c r="J734" s="2" t="s">
        <v>17</v>
      </c>
      <c r="K734" s="4" t="str">
        <f>HYPERLINK("https://www.cortellis.com/drugdiscovery/result/proxy/related-content/biomarkers/genestargets/51943","matrix metallopeptidase 9")</f>
        <v>matrix metallopeptidase 9</v>
      </c>
    </row>
    <row r="735" spans="1:11" ht="60" customHeight="1" x14ac:dyDescent="0.2">
      <c r="A735" s="2">
        <v>732</v>
      </c>
      <c r="B735" s="3" t="str">
        <f t="shared" si="141"/>
        <v>MMP-9</v>
      </c>
      <c r="C735" s="3" t="str">
        <f t="shared" si="142"/>
        <v>MMP9</v>
      </c>
      <c r="D735" s="3" t="str">
        <f t="shared" si="143"/>
        <v>MMP9_HUMAN</v>
      </c>
      <c r="E735" s="2" t="s">
        <v>55</v>
      </c>
      <c r="F735" s="3" t="str">
        <f t="shared" si="144"/>
        <v>Matrix metalloproteinase-9</v>
      </c>
      <c r="G735" s="4" t="str">
        <f t="shared" si="140"/>
        <v>Batimastat</v>
      </c>
      <c r="H735" s="3" t="str">
        <f>HYPERLINK("https://www.cortellis.com/drugdiscovery/entity/biomarkers/53826","10-protein bladder cancer panel")</f>
        <v>10-protein bladder cancer panel</v>
      </c>
      <c r="I735" s="2" t="s">
        <v>23</v>
      </c>
      <c r="J735" s="2" t="s">
        <v>17</v>
      </c>
      <c r="K735" s="4" t="str">
        <f>HYPERLINK("https://www.cortellis.com/drugdiscovery/result/proxy/related-content/biomarkers/genestargets/53826","matrix metallopeptidase 9")</f>
        <v>matrix metallopeptidase 9</v>
      </c>
    </row>
    <row r="736" spans="1:11" ht="60" customHeight="1" x14ac:dyDescent="0.2">
      <c r="A736" s="2">
        <v>733</v>
      </c>
      <c r="B736" s="3" t="str">
        <f t="shared" si="141"/>
        <v>MMP-9</v>
      </c>
      <c r="C736" s="3" t="str">
        <f t="shared" si="142"/>
        <v>MMP9</v>
      </c>
      <c r="D736" s="3" t="str">
        <f t="shared" si="143"/>
        <v>MMP9_HUMAN</v>
      </c>
      <c r="E736" s="2" t="s">
        <v>55</v>
      </c>
      <c r="F736" s="3" t="str">
        <f t="shared" si="144"/>
        <v>Matrix metalloproteinase-9</v>
      </c>
      <c r="G736" s="4" t="str">
        <f t="shared" si="140"/>
        <v>Batimastat</v>
      </c>
      <c r="H736" s="3" t="str">
        <f>HYPERLINK("https://www.cortellis.com/drugdiscovery/entity/biomarkers/54509","5-protein hepatotoxicty panel")</f>
        <v>5-protein hepatotoxicty panel</v>
      </c>
      <c r="I736" s="2" t="s">
        <v>23</v>
      </c>
      <c r="J736" s="2" t="s">
        <v>17</v>
      </c>
      <c r="K736" s="4" t="str">
        <f>HYPERLINK("https://www.cortellis.com/drugdiscovery/result/proxy/related-content/biomarkers/genestargets/54509","matrix metallopeptidase 9")</f>
        <v>matrix metallopeptidase 9</v>
      </c>
    </row>
    <row r="737" spans="1:11" ht="60" customHeight="1" x14ac:dyDescent="0.2">
      <c r="A737" s="2">
        <v>734</v>
      </c>
      <c r="B737" s="3" t="str">
        <f t="shared" si="141"/>
        <v>MMP-9</v>
      </c>
      <c r="C737" s="3" t="str">
        <f t="shared" si="142"/>
        <v>MMP9</v>
      </c>
      <c r="D737" s="3" t="str">
        <f t="shared" si="143"/>
        <v>MMP9_HUMAN</v>
      </c>
      <c r="E737" s="2" t="s">
        <v>55</v>
      </c>
      <c r="F737" s="3" t="str">
        <f t="shared" si="144"/>
        <v>Matrix metalloproteinase-9</v>
      </c>
      <c r="G737" s="4" t="str">
        <f t="shared" si="140"/>
        <v>Batimastat</v>
      </c>
      <c r="H737" s="3" t="str">
        <f>HYPERLINK("https://www.cortellis.com/drugdiscovery/entity/biomarkers/55657","4-protein cardiovascular disorder panel")</f>
        <v>4-protein cardiovascular disorder panel</v>
      </c>
      <c r="I737" s="2" t="s">
        <v>29</v>
      </c>
      <c r="J737" s="2" t="s">
        <v>17</v>
      </c>
      <c r="K737" s="4" t="str">
        <f>HYPERLINK("https://www.cortellis.com/drugdiscovery/result/proxy/related-content/biomarkers/genestargets/55657","matrix metallopeptidase 9")</f>
        <v>matrix metallopeptidase 9</v>
      </c>
    </row>
    <row r="738" spans="1:11" ht="60" customHeight="1" x14ac:dyDescent="0.2">
      <c r="A738" s="2">
        <v>735</v>
      </c>
      <c r="B738" s="3" t="str">
        <f t="shared" si="141"/>
        <v>MMP-9</v>
      </c>
      <c r="C738" s="3" t="str">
        <f t="shared" si="142"/>
        <v>MMP9</v>
      </c>
      <c r="D738" s="3" t="str">
        <f t="shared" si="143"/>
        <v>MMP9_HUMAN</v>
      </c>
      <c r="E738" s="2" t="s">
        <v>55</v>
      </c>
      <c r="F738" s="3" t="str">
        <f t="shared" si="144"/>
        <v>Matrix metalloproteinase-9</v>
      </c>
      <c r="G738" s="4" t="str">
        <f t="shared" si="140"/>
        <v>Batimastat</v>
      </c>
      <c r="H738" s="3" t="str">
        <f>HYPERLINK("https://www.cortellis.com/drugdiscovery/entity/biomarkers/59957","10-protein obstructive pulmonary disease panel")</f>
        <v>10-protein obstructive pulmonary disease panel</v>
      </c>
      <c r="I738" s="2" t="s">
        <v>20</v>
      </c>
      <c r="J738" s="2" t="s">
        <v>17</v>
      </c>
      <c r="K738" s="4" t="str">
        <f>HYPERLINK("https://www.cortellis.com/drugdiscovery/result/proxy/related-content/biomarkers/genestargets/59957","matrix metallopeptidase 9; ribonuclease A family member 3")</f>
        <v>matrix metallopeptidase 9; ribonuclease A family member 3</v>
      </c>
    </row>
    <row r="739" spans="1:11" ht="60" customHeight="1" x14ac:dyDescent="0.2">
      <c r="A739" s="2">
        <v>736</v>
      </c>
      <c r="B739" s="3" t="str">
        <f t="shared" si="141"/>
        <v>MMP-9</v>
      </c>
      <c r="C739" s="3" t="str">
        <f t="shared" si="142"/>
        <v>MMP9</v>
      </c>
      <c r="D739" s="3" t="str">
        <f t="shared" si="143"/>
        <v>MMP9_HUMAN</v>
      </c>
      <c r="E739" s="2" t="s">
        <v>55</v>
      </c>
      <c r="F739" s="3" t="str">
        <f t="shared" si="144"/>
        <v>Matrix metalloproteinase-9</v>
      </c>
      <c r="G739" s="4" t="str">
        <f t="shared" si="140"/>
        <v>Batimastat</v>
      </c>
      <c r="H739" s="3" t="str">
        <f>HYPERLINK("https://www.cortellis.com/drugdiscovery/entity/biomarkers/59959","13-protein Crohn's disease panel")</f>
        <v>13-protein Crohn's disease panel</v>
      </c>
      <c r="I739" s="2" t="s">
        <v>24</v>
      </c>
      <c r="J739" s="2" t="s">
        <v>17</v>
      </c>
      <c r="K739" s="4" t="str">
        <f>HYPERLINK("https://www.cortellis.com/drugdiscovery/result/proxy/related-content/biomarkers/genestargets/59959","interleukin 7; matrix metallopeptidase 2; matrix metallopeptidase 9")</f>
        <v>interleukin 7; matrix metallopeptidase 2; matrix metallopeptidase 9</v>
      </c>
    </row>
    <row r="740" spans="1:11" ht="60" customHeight="1" x14ac:dyDescent="0.2">
      <c r="A740" s="2">
        <v>737</v>
      </c>
      <c r="B740" s="3" t="str">
        <f t="shared" si="141"/>
        <v>MMP-9</v>
      </c>
      <c r="C740" s="3" t="str">
        <f t="shared" si="142"/>
        <v>MMP9</v>
      </c>
      <c r="D740" s="3" t="str">
        <f t="shared" si="143"/>
        <v>MMP9_HUMAN</v>
      </c>
      <c r="E740" s="2" t="s">
        <v>55</v>
      </c>
      <c r="F740" s="3" t="str">
        <f t="shared" si="144"/>
        <v>Matrix metalloproteinase-9</v>
      </c>
      <c r="G740" s="4" t="str">
        <f t="shared" si="140"/>
        <v>Batimastat</v>
      </c>
      <c r="H740" s="3" t="str">
        <f>HYPERLINK("https://www.cortellis.com/drugdiscovery/entity/biomarkers/59979","10-protein bladder cancer panel")</f>
        <v>10-protein bladder cancer panel</v>
      </c>
      <c r="I740" s="2" t="s">
        <v>23</v>
      </c>
      <c r="J740" s="2" t="s">
        <v>17</v>
      </c>
      <c r="K740" s="4" t="str">
        <f>HYPERLINK("https://www.cortellis.com/drugdiscovery/result/proxy/related-content/biomarkers/genestargets/59979","matrix metallopeptidase 9")</f>
        <v>matrix metallopeptidase 9</v>
      </c>
    </row>
    <row r="741" spans="1:11" ht="60" customHeight="1" x14ac:dyDescent="0.2">
      <c r="A741" s="2">
        <v>738</v>
      </c>
      <c r="B741" s="3" t="str">
        <f t="shared" si="141"/>
        <v>MMP-9</v>
      </c>
      <c r="C741" s="3" t="str">
        <f t="shared" si="142"/>
        <v>MMP9</v>
      </c>
      <c r="D741" s="3" t="str">
        <f t="shared" si="143"/>
        <v>MMP9_HUMAN</v>
      </c>
      <c r="E741" s="2" t="s">
        <v>55</v>
      </c>
      <c r="F741" s="3" t="str">
        <f t="shared" si="144"/>
        <v>Matrix metalloproteinase-9</v>
      </c>
      <c r="G741" s="4" t="str">
        <f t="shared" ref="G741:G770" si="145">HYPERLINK("https://portal.genego.com/cgi/entity_page.cgi?term=7&amp;id=-29110915","Pravastatin")</f>
        <v>Pravastatin</v>
      </c>
      <c r="H741" s="3" t="str">
        <f>HYPERLINK("https://www.cortellis.com/drugdiscovery/entity/biomarkers/65","MammaPrint")</f>
        <v>MammaPrint</v>
      </c>
      <c r="I741" s="2" t="s">
        <v>58</v>
      </c>
      <c r="J741" s="2" t="s">
        <v>19</v>
      </c>
      <c r="K741" s="4" t="str">
        <f>HYPERLINK("https://www.cortellis.com/drugdiscovery/result/proxy/related-content/biomarkers/genestargets/65","matrix metallopeptidase 9")</f>
        <v>matrix metallopeptidase 9</v>
      </c>
    </row>
    <row r="742" spans="1:11" ht="60" customHeight="1" x14ac:dyDescent="0.2">
      <c r="A742" s="2">
        <v>739</v>
      </c>
      <c r="B742" s="3" t="str">
        <f t="shared" si="141"/>
        <v>MMP-9</v>
      </c>
      <c r="C742" s="3" t="str">
        <f t="shared" si="142"/>
        <v>MMP9</v>
      </c>
      <c r="D742" s="3" t="str">
        <f t="shared" si="143"/>
        <v>MMP9_HUMAN</v>
      </c>
      <c r="E742" s="2" t="s">
        <v>55</v>
      </c>
      <c r="F742" s="3" t="str">
        <f t="shared" si="144"/>
        <v>Matrix metalloproteinase-9</v>
      </c>
      <c r="G742" s="4" t="str">
        <f t="shared" si="145"/>
        <v>Pravastatin</v>
      </c>
      <c r="H742" s="3" t="str">
        <f>HYPERLINK("https://www.cortellis.com/drugdiscovery/entity/biomarkers/173","Matrix metalloproteinase-9")</f>
        <v>Matrix metalloproteinase-9</v>
      </c>
      <c r="I742" s="2" t="s">
        <v>31</v>
      </c>
      <c r="J742" s="2" t="s">
        <v>15</v>
      </c>
      <c r="K742" s="4" t="str">
        <f>HYPERLINK("https://www.cortellis.com/drugdiscovery/result/proxy/related-content/biomarkers/genestargets/173","matrix metallopeptidase 9")</f>
        <v>matrix metallopeptidase 9</v>
      </c>
    </row>
    <row r="743" spans="1:11" ht="60" customHeight="1" x14ac:dyDescent="0.2">
      <c r="A743" s="2">
        <v>740</v>
      </c>
      <c r="B743" s="3" t="str">
        <f t="shared" si="141"/>
        <v>MMP-9</v>
      </c>
      <c r="C743" s="3" t="str">
        <f t="shared" si="142"/>
        <v>MMP9</v>
      </c>
      <c r="D743" s="3" t="str">
        <f t="shared" si="143"/>
        <v>MMP9_HUMAN</v>
      </c>
      <c r="E743" s="2" t="s">
        <v>55</v>
      </c>
      <c r="F743" s="3" t="str">
        <f t="shared" si="144"/>
        <v>Matrix metalloproteinase-9</v>
      </c>
      <c r="G743" s="4" t="str">
        <f t="shared" si="145"/>
        <v>Pravastatin</v>
      </c>
      <c r="H743" s="3" t="str">
        <f>HYPERLINK("https://www.cortellis.com/drugdiscovery/entity/biomarkers/26294","160-gene expression liver cancer panel")</f>
        <v>160-gene expression liver cancer panel</v>
      </c>
      <c r="I743" s="2" t="s">
        <v>25</v>
      </c>
      <c r="J743" s="2" t="s">
        <v>19</v>
      </c>
      <c r="K743" s="4" t="str">
        <f>HYPERLINK("https://www.cortellis.com/drugdiscovery/result/proxy/related-content/biomarkers/genestargets/26294","matrix metallopeptidase 9")</f>
        <v>matrix metallopeptidase 9</v>
      </c>
    </row>
    <row r="744" spans="1:11" ht="60" customHeight="1" x14ac:dyDescent="0.2">
      <c r="A744" s="2">
        <v>741</v>
      </c>
      <c r="B744" s="3" t="str">
        <f t="shared" si="141"/>
        <v>MMP-9</v>
      </c>
      <c r="C744" s="3" t="str">
        <f t="shared" si="142"/>
        <v>MMP9</v>
      </c>
      <c r="D744" s="3" t="str">
        <f t="shared" si="143"/>
        <v>MMP9_HUMAN</v>
      </c>
      <c r="E744" s="2" t="s">
        <v>55</v>
      </c>
      <c r="F744" s="3" t="str">
        <f t="shared" si="144"/>
        <v>Matrix metalloproteinase-9</v>
      </c>
      <c r="G744" s="4" t="str">
        <f t="shared" si="145"/>
        <v>Pravastatin</v>
      </c>
      <c r="H744" s="3" t="str">
        <f>HYPERLINK("https://www.cortellis.com/drugdiscovery/entity/biomarkers/27598","89-protein neurological alzheimer's panel")</f>
        <v>89-protein neurological alzheimer's panel</v>
      </c>
      <c r="I744" s="2" t="s">
        <v>23</v>
      </c>
      <c r="J744" s="2" t="s">
        <v>17</v>
      </c>
      <c r="K74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745" spans="1:11" ht="60" customHeight="1" x14ac:dyDescent="0.2">
      <c r="A745" s="2">
        <v>742</v>
      </c>
      <c r="B745" s="3" t="str">
        <f t="shared" si="141"/>
        <v>MMP-9</v>
      </c>
      <c r="C745" s="3" t="str">
        <f t="shared" si="142"/>
        <v>MMP9</v>
      </c>
      <c r="D745" s="3" t="str">
        <f t="shared" si="143"/>
        <v>MMP9_HUMAN</v>
      </c>
      <c r="E745" s="2" t="s">
        <v>55</v>
      </c>
      <c r="F745" s="3" t="str">
        <f t="shared" si="144"/>
        <v>Matrix metalloproteinase-9</v>
      </c>
      <c r="G745" s="4" t="str">
        <f t="shared" si="145"/>
        <v>Pravastatin</v>
      </c>
      <c r="H745" s="3" t="str">
        <f>HYPERLINK("https://www.cortellis.com/drugdiscovery/entity/biomarkers/27613","9-gene expression ischemic stroke panel")</f>
        <v>9-gene expression ischemic stroke panel</v>
      </c>
      <c r="I745" s="2" t="s">
        <v>23</v>
      </c>
      <c r="J745" s="2" t="s">
        <v>19</v>
      </c>
      <c r="K745" s="4" t="str">
        <f>HYPERLINK("https://www.cortellis.com/drugdiscovery/result/proxy/related-content/biomarkers/genestargets/27613","matrix metallopeptidase 9")</f>
        <v>matrix metallopeptidase 9</v>
      </c>
    </row>
    <row r="746" spans="1:11" ht="60" customHeight="1" x14ac:dyDescent="0.2">
      <c r="A746" s="2">
        <v>743</v>
      </c>
      <c r="B746" s="3" t="str">
        <f t="shared" si="141"/>
        <v>MMP-9</v>
      </c>
      <c r="C746" s="3" t="str">
        <f t="shared" si="142"/>
        <v>MMP9</v>
      </c>
      <c r="D746" s="3" t="str">
        <f t="shared" si="143"/>
        <v>MMP9_HUMAN</v>
      </c>
      <c r="E746" s="2" t="s">
        <v>55</v>
      </c>
      <c r="F746" s="3" t="str">
        <f t="shared" si="144"/>
        <v>Matrix metalloproteinase-9</v>
      </c>
      <c r="G746" s="4" t="str">
        <f t="shared" si="145"/>
        <v>Pravastatin</v>
      </c>
      <c r="H746" s="3" t="str">
        <f>HYPERLINK("https://www.cortellis.com/drugdiscovery/entity/biomarkers/28479","24-gene expression breast cancer panel")</f>
        <v>24-gene expression breast cancer panel</v>
      </c>
      <c r="I746" s="2" t="s">
        <v>18</v>
      </c>
      <c r="J746" s="2" t="s">
        <v>19</v>
      </c>
      <c r="K746" s="4" t="str">
        <f>HYPERLINK("https://www.cortellis.com/drugdiscovery/result/proxy/related-content/biomarkers/genestargets/28479","matrix metallopeptidase 9")</f>
        <v>matrix metallopeptidase 9</v>
      </c>
    </row>
    <row r="747" spans="1:11" ht="60" customHeight="1" x14ac:dyDescent="0.2">
      <c r="A747" s="2">
        <v>744</v>
      </c>
      <c r="B747" s="3" t="str">
        <f t="shared" si="141"/>
        <v>MMP-9</v>
      </c>
      <c r="C747" s="3" t="str">
        <f t="shared" si="142"/>
        <v>MMP9</v>
      </c>
      <c r="D747" s="3" t="str">
        <f t="shared" si="143"/>
        <v>MMP9_HUMAN</v>
      </c>
      <c r="E747" s="2" t="s">
        <v>55</v>
      </c>
      <c r="F747" s="3" t="str">
        <f t="shared" si="144"/>
        <v>Matrix metalloproteinase-9</v>
      </c>
      <c r="G747" s="4" t="str">
        <f t="shared" si="145"/>
        <v>Pravastatin</v>
      </c>
      <c r="H747" s="3" t="str">
        <f>HYPERLINK("https://www.cortellis.com/drugdiscovery/entity/biomarkers/34465","10-protein 1-biochemical alzheimer's panel")</f>
        <v>10-protein 1-biochemical alzheimer's panel</v>
      </c>
      <c r="I747" s="2" t="s">
        <v>23</v>
      </c>
      <c r="J747" s="2" t="s">
        <v>59</v>
      </c>
      <c r="K747" s="4" t="str">
        <f>HYPERLINK("https://www.cortellis.com/drugdiscovery/result/proxy/related-content/biomarkers/genestargets/34465","matrix metallopeptidase 9")</f>
        <v>matrix metallopeptidase 9</v>
      </c>
    </row>
    <row r="748" spans="1:11" ht="60" customHeight="1" x14ac:dyDescent="0.2">
      <c r="A748" s="2">
        <v>745</v>
      </c>
      <c r="B748" s="3" t="str">
        <f t="shared" si="141"/>
        <v>MMP-9</v>
      </c>
      <c r="C748" s="3" t="str">
        <f t="shared" si="142"/>
        <v>MMP9</v>
      </c>
      <c r="D748" s="3" t="str">
        <f t="shared" si="143"/>
        <v>MMP9_HUMAN</v>
      </c>
      <c r="E748" s="2" t="s">
        <v>55</v>
      </c>
      <c r="F748" s="3" t="str">
        <f t="shared" si="144"/>
        <v>Matrix metalloproteinase-9</v>
      </c>
      <c r="G748" s="4" t="str">
        <f t="shared" si="145"/>
        <v>Pravastatin</v>
      </c>
      <c r="H748" s="3" t="str">
        <f>HYPERLINK("https://www.cortellis.com/drugdiscovery/entity/biomarkers/39788","Epithelial-mesenchymal transition gene signature")</f>
        <v>Epithelial-mesenchymal transition gene signature</v>
      </c>
      <c r="I748" s="2" t="s">
        <v>18</v>
      </c>
      <c r="J748" s="2" t="s">
        <v>19</v>
      </c>
      <c r="K748" s="4" t="str">
        <f>HYPERLINK("https://www.cortellis.com/drugdiscovery/result/proxy/related-content/biomarkers/genestargets/39788","C-C motif chemokine ligand 2; matrix metallopeptidase 9")</f>
        <v>C-C motif chemokine ligand 2; matrix metallopeptidase 9</v>
      </c>
    </row>
    <row r="749" spans="1:11" ht="60" customHeight="1" x14ac:dyDescent="0.2">
      <c r="A749" s="2">
        <v>746</v>
      </c>
      <c r="B749" s="3" t="str">
        <f t="shared" si="141"/>
        <v>MMP-9</v>
      </c>
      <c r="C749" s="3" t="str">
        <f t="shared" si="142"/>
        <v>MMP9</v>
      </c>
      <c r="D749" s="3" t="str">
        <f t="shared" si="143"/>
        <v>MMP9_HUMAN</v>
      </c>
      <c r="E749" s="2" t="s">
        <v>55</v>
      </c>
      <c r="F749" s="3" t="str">
        <f t="shared" si="144"/>
        <v>Matrix metalloproteinase-9</v>
      </c>
      <c r="G749" s="4" t="str">
        <f t="shared" si="145"/>
        <v>Pravastatin</v>
      </c>
      <c r="H749" s="3" t="str">
        <f>HYPERLINK("https://www.cortellis.com/drugdiscovery/entity/biomarkers/41350","10-protein liver cancer panel")</f>
        <v>10-protein liver cancer panel</v>
      </c>
      <c r="I749" s="2" t="s">
        <v>52</v>
      </c>
      <c r="J749" s="2" t="s">
        <v>17</v>
      </c>
      <c r="K749" s="4" t="str">
        <f>HYPERLINK("https://www.cortellis.com/drugdiscovery/result/proxy/related-content/biomarkers/genestargets/41350","matrix metallopeptidase 9")</f>
        <v>matrix metallopeptidase 9</v>
      </c>
    </row>
    <row r="750" spans="1:11" ht="60" customHeight="1" x14ac:dyDescent="0.2">
      <c r="A750" s="2">
        <v>747</v>
      </c>
      <c r="B750" s="3" t="str">
        <f t="shared" si="141"/>
        <v>MMP-9</v>
      </c>
      <c r="C750" s="3" t="str">
        <f t="shared" si="142"/>
        <v>MMP9</v>
      </c>
      <c r="D750" s="3" t="str">
        <f t="shared" si="143"/>
        <v>MMP9_HUMAN</v>
      </c>
      <c r="E750" s="2" t="s">
        <v>55</v>
      </c>
      <c r="F750" s="3" t="str">
        <f t="shared" si="144"/>
        <v>Matrix metalloproteinase-9</v>
      </c>
      <c r="G750" s="4" t="str">
        <f t="shared" si="145"/>
        <v>Pravastatin</v>
      </c>
      <c r="H750" s="3" t="str">
        <f>HYPERLINK("https://www.cortellis.com/drugdiscovery/entity/biomarkers/41936","5-gene expression breast cancer panel")</f>
        <v>5-gene expression breast cancer panel</v>
      </c>
      <c r="I750" s="2" t="s">
        <v>60</v>
      </c>
      <c r="J750" s="2" t="s">
        <v>19</v>
      </c>
      <c r="K750" s="4" t="str">
        <f>HYPERLINK("https://www.cortellis.com/drugdiscovery/result/proxy/related-content/biomarkers/genestargets/41936","matrix metallopeptidase 9")</f>
        <v>matrix metallopeptidase 9</v>
      </c>
    </row>
    <row r="751" spans="1:11" ht="60" customHeight="1" x14ac:dyDescent="0.2">
      <c r="A751" s="2">
        <v>748</v>
      </c>
      <c r="B751" s="3" t="str">
        <f t="shared" si="141"/>
        <v>MMP-9</v>
      </c>
      <c r="C751" s="3" t="str">
        <f t="shared" si="142"/>
        <v>MMP9</v>
      </c>
      <c r="D751" s="3" t="str">
        <f t="shared" si="143"/>
        <v>MMP9_HUMAN</v>
      </c>
      <c r="E751" s="2" t="s">
        <v>55</v>
      </c>
      <c r="F751" s="3" t="str">
        <f t="shared" si="144"/>
        <v>Matrix metalloproteinase-9</v>
      </c>
      <c r="G751" s="4" t="str">
        <f t="shared" si="145"/>
        <v>Pravastatin</v>
      </c>
      <c r="H751" s="3" t="str">
        <f>HYPERLINK("https://www.cortellis.com/drugdiscovery/entity/biomarkers/43380","7-protein bladder cancer panel")</f>
        <v>7-protein bladder cancer panel</v>
      </c>
      <c r="I751" s="2" t="s">
        <v>23</v>
      </c>
      <c r="J751" s="2" t="s">
        <v>15</v>
      </c>
      <c r="K751" s="4" t="str">
        <f>HYPERLINK("https://www.cortellis.com/drugdiscovery/result/proxy/related-content/biomarkers/genestargets/43380","matrix metallopeptidase 9")</f>
        <v>matrix metallopeptidase 9</v>
      </c>
    </row>
    <row r="752" spans="1:11" ht="60" customHeight="1" x14ac:dyDescent="0.2">
      <c r="A752" s="2">
        <v>749</v>
      </c>
      <c r="B752" s="3" t="str">
        <f t="shared" si="141"/>
        <v>MMP-9</v>
      </c>
      <c r="C752" s="3" t="str">
        <f t="shared" si="142"/>
        <v>MMP9</v>
      </c>
      <c r="D752" s="3" t="str">
        <f t="shared" si="143"/>
        <v>MMP9_HUMAN</v>
      </c>
      <c r="E752" s="2" t="s">
        <v>55</v>
      </c>
      <c r="F752" s="3" t="str">
        <f t="shared" si="144"/>
        <v>Matrix metalloproteinase-9</v>
      </c>
      <c r="G752" s="4" t="str">
        <f t="shared" si="145"/>
        <v>Pravastatin</v>
      </c>
      <c r="H752" s="3" t="str">
        <f>HYPERLINK("https://www.cortellis.com/drugdiscovery/entity/biomarkers/43382","3-protein bladder cancer panel")</f>
        <v>3-protein bladder cancer panel</v>
      </c>
      <c r="I752" s="2" t="s">
        <v>23</v>
      </c>
      <c r="J752" s="2" t="s">
        <v>17</v>
      </c>
      <c r="K752" s="4" t="str">
        <f>HYPERLINK("https://www.cortellis.com/drugdiscovery/result/proxy/related-content/biomarkers/genestargets/43382","matrix metallopeptidase 9")</f>
        <v>matrix metallopeptidase 9</v>
      </c>
    </row>
    <row r="753" spans="1:11" ht="60" customHeight="1" x14ac:dyDescent="0.2">
      <c r="A753" s="2">
        <v>750</v>
      </c>
      <c r="B753" s="3" t="str">
        <f t="shared" si="141"/>
        <v>MMP-9</v>
      </c>
      <c r="C753" s="3" t="str">
        <f t="shared" si="142"/>
        <v>MMP9</v>
      </c>
      <c r="D753" s="3" t="str">
        <f t="shared" si="143"/>
        <v>MMP9_HUMAN</v>
      </c>
      <c r="E753" s="2" t="s">
        <v>55</v>
      </c>
      <c r="F753" s="3" t="str">
        <f t="shared" si="144"/>
        <v>Matrix metalloproteinase-9</v>
      </c>
      <c r="G753" s="4" t="str">
        <f t="shared" si="145"/>
        <v>Pravastatin</v>
      </c>
      <c r="H753" s="3" t="str">
        <f>HYPERLINK("https://www.cortellis.com/drugdiscovery/entity/biomarkers/43994","4-gene expression adenomatous polyps panel")</f>
        <v>4-gene expression adenomatous polyps panel</v>
      </c>
      <c r="I753" s="2" t="s">
        <v>23</v>
      </c>
      <c r="J753" s="2" t="s">
        <v>19</v>
      </c>
      <c r="K753" s="4" t="str">
        <f>HYPERLINK("https://www.cortellis.com/drugdiscovery/result/proxy/related-content/biomarkers/genestargets/43994","matrix metallopeptidase 9")</f>
        <v>matrix metallopeptidase 9</v>
      </c>
    </row>
    <row r="754" spans="1:11" ht="60" customHeight="1" x14ac:dyDescent="0.2">
      <c r="A754" s="2">
        <v>751</v>
      </c>
      <c r="B754" s="3" t="str">
        <f t="shared" si="141"/>
        <v>MMP-9</v>
      </c>
      <c r="C754" s="3" t="str">
        <f t="shared" si="142"/>
        <v>MMP9</v>
      </c>
      <c r="D754" s="3" t="str">
        <f t="shared" si="143"/>
        <v>MMP9_HUMAN</v>
      </c>
      <c r="E754" s="2" t="s">
        <v>55</v>
      </c>
      <c r="F754" s="3" t="str">
        <f t="shared" si="144"/>
        <v>Matrix metalloproteinase-9</v>
      </c>
      <c r="G754" s="4" t="str">
        <f t="shared" si="145"/>
        <v>Pravastatin</v>
      </c>
      <c r="H754" s="3" t="str">
        <f>HYPERLINK("https://www.cortellis.com/drugdiscovery/entity/biomarkers/43995","8-gene expression colorectal cancer panel")</f>
        <v>8-gene expression colorectal cancer panel</v>
      </c>
      <c r="I754" s="2" t="s">
        <v>23</v>
      </c>
      <c r="J754" s="2" t="s">
        <v>19</v>
      </c>
      <c r="K754" s="4" t="str">
        <f>HYPERLINK("https://www.cortellis.com/drugdiscovery/result/proxy/related-content/biomarkers/genestargets/43995","matrix metallopeptidase 9")</f>
        <v>matrix metallopeptidase 9</v>
      </c>
    </row>
    <row r="755" spans="1:11" ht="60" customHeight="1" x14ac:dyDescent="0.2">
      <c r="A755" s="2">
        <v>752</v>
      </c>
      <c r="B755" s="3" t="str">
        <f t="shared" si="141"/>
        <v>MMP-9</v>
      </c>
      <c r="C755" s="3" t="str">
        <f t="shared" si="142"/>
        <v>MMP9</v>
      </c>
      <c r="D755" s="3" t="str">
        <f t="shared" si="143"/>
        <v>MMP9_HUMAN</v>
      </c>
      <c r="E755" s="2" t="s">
        <v>55</v>
      </c>
      <c r="F755" s="3" t="str">
        <f t="shared" si="144"/>
        <v>Matrix metalloproteinase-9</v>
      </c>
      <c r="G755" s="4" t="str">
        <f t="shared" si="145"/>
        <v>Pravastatin</v>
      </c>
      <c r="H755" s="3" t="str">
        <f>HYPERLINK("https://www.cortellis.com/drugdiscovery/entity/biomarkers/45762","37-protein metastatic colon cancer panel")</f>
        <v>37-protein metastatic colon cancer panel</v>
      </c>
      <c r="I755" s="2" t="s">
        <v>20</v>
      </c>
      <c r="J755" s="2" t="s">
        <v>17</v>
      </c>
      <c r="K755" s="4" t="str">
        <f>HYPERLINK("https://www.cortellis.com/drugdiscovery/result/proxy/related-content/biomarkers/genestargets/45762","matrix metallopeptidase 2; matrix metallopeptidase 9")</f>
        <v>matrix metallopeptidase 2; matrix metallopeptidase 9</v>
      </c>
    </row>
    <row r="756" spans="1:11" ht="60" customHeight="1" x14ac:dyDescent="0.2">
      <c r="A756" s="2">
        <v>753</v>
      </c>
      <c r="B756" s="3" t="str">
        <f t="shared" si="141"/>
        <v>MMP-9</v>
      </c>
      <c r="C756" s="3" t="str">
        <f t="shared" si="142"/>
        <v>MMP9</v>
      </c>
      <c r="D756" s="3" t="str">
        <f t="shared" si="143"/>
        <v>MMP9_HUMAN</v>
      </c>
      <c r="E756" s="2" t="s">
        <v>55</v>
      </c>
      <c r="F756" s="3" t="str">
        <f t="shared" si="144"/>
        <v>Matrix metalloproteinase-9</v>
      </c>
      <c r="G756" s="4" t="str">
        <f t="shared" si="145"/>
        <v>Pravastatin</v>
      </c>
      <c r="H756" s="3" t="str">
        <f>HYPERLINK("https://www.cortellis.com/drugdiscovery/entity/biomarkers/48821","10-gene expression clear cell renal cell cancer panel")</f>
        <v>10-gene expression clear cell renal cell cancer panel</v>
      </c>
      <c r="I756" s="2" t="s">
        <v>18</v>
      </c>
      <c r="J756" s="2" t="s">
        <v>19</v>
      </c>
      <c r="K756" s="4" t="str">
        <f>HYPERLINK("https://www.cortellis.com/drugdiscovery/result/proxy/related-content/biomarkers/genestargets/48821","matrix metallopeptidase 9")</f>
        <v>matrix metallopeptidase 9</v>
      </c>
    </row>
    <row r="757" spans="1:11" ht="60" customHeight="1" x14ac:dyDescent="0.2">
      <c r="A757" s="2">
        <v>754</v>
      </c>
      <c r="B757" s="3" t="str">
        <f t="shared" si="141"/>
        <v>MMP-9</v>
      </c>
      <c r="C757" s="3" t="str">
        <f t="shared" si="142"/>
        <v>MMP9</v>
      </c>
      <c r="D757" s="3" t="str">
        <f t="shared" si="143"/>
        <v>MMP9_HUMAN</v>
      </c>
      <c r="E757" s="2" t="s">
        <v>55</v>
      </c>
      <c r="F757" s="3" t="str">
        <f t="shared" si="144"/>
        <v>Matrix metalloproteinase-9</v>
      </c>
      <c r="G757" s="4" t="str">
        <f t="shared" si="145"/>
        <v>Pravastatin</v>
      </c>
      <c r="H757" s="3" t="str">
        <f>HYPERLINK("https://www.cortellis.com/drugdiscovery/entity/biomarkers/49523","3-protein diffuse B cell lymphoma  panel")</f>
        <v>3-protein diffuse B cell lymphoma  panel</v>
      </c>
      <c r="I757" s="2" t="s">
        <v>23</v>
      </c>
      <c r="J757" s="2" t="s">
        <v>17</v>
      </c>
      <c r="K757" s="4" t="str">
        <f>HYPERLINK("https://www.cortellis.com/drugdiscovery/result/proxy/related-content/biomarkers/genestargets/49523","matrix metallopeptidase 9")</f>
        <v>matrix metallopeptidase 9</v>
      </c>
    </row>
    <row r="758" spans="1:11" ht="60" customHeight="1" x14ac:dyDescent="0.2">
      <c r="A758" s="2">
        <v>755</v>
      </c>
      <c r="B758" s="3" t="str">
        <f t="shared" si="141"/>
        <v>MMP-9</v>
      </c>
      <c r="C758" s="3" t="str">
        <f t="shared" si="142"/>
        <v>MMP9</v>
      </c>
      <c r="D758" s="3" t="str">
        <f t="shared" si="143"/>
        <v>MMP9_HUMAN</v>
      </c>
      <c r="E758" s="2" t="s">
        <v>55</v>
      </c>
      <c r="F758" s="3" t="str">
        <f t="shared" si="144"/>
        <v>Matrix metalloproteinase-9</v>
      </c>
      <c r="G758" s="4" t="str">
        <f t="shared" si="145"/>
        <v>Pravastatin</v>
      </c>
      <c r="H758" s="3" t="str">
        <f>HYPERLINK("https://www.cortellis.com/drugdiscovery/entity/biomarkers/49848","29-gene expression colorectal cancer panel")</f>
        <v>29-gene expression colorectal cancer panel</v>
      </c>
      <c r="I758" s="2" t="s">
        <v>23</v>
      </c>
      <c r="J758" s="2" t="s">
        <v>19</v>
      </c>
      <c r="K758" s="4" t="str">
        <f>HYPERLINK("https://www.cortellis.com/drugdiscovery/result/proxy/related-content/biomarkers/genestargets/49848","matrix metallopeptidase 9")</f>
        <v>matrix metallopeptidase 9</v>
      </c>
    </row>
    <row r="759" spans="1:11" ht="60" customHeight="1" x14ac:dyDescent="0.2">
      <c r="A759" s="2">
        <v>756</v>
      </c>
      <c r="B759" s="3" t="str">
        <f t="shared" si="141"/>
        <v>MMP-9</v>
      </c>
      <c r="C759" s="3" t="str">
        <f t="shared" si="142"/>
        <v>MMP9</v>
      </c>
      <c r="D759" s="3" t="str">
        <f t="shared" si="143"/>
        <v>MMP9_HUMAN</v>
      </c>
      <c r="E759" s="2" t="s">
        <v>55</v>
      </c>
      <c r="F759" s="3" t="str">
        <f t="shared" si="144"/>
        <v>Matrix metalloproteinase-9</v>
      </c>
      <c r="G759" s="4" t="str">
        <f t="shared" si="145"/>
        <v>Pravastatin</v>
      </c>
      <c r="H759" s="3" t="str">
        <f>HYPERLINK("https://www.cortellis.com/drugdiscovery/entity/biomarkers/50282","10-protein bladder cancer panel")</f>
        <v>10-protein bladder cancer panel</v>
      </c>
      <c r="I759" s="2" t="s">
        <v>52</v>
      </c>
      <c r="J759" s="2" t="s">
        <v>17</v>
      </c>
      <c r="K759" s="4" t="str">
        <f>HYPERLINK("https://www.cortellis.com/drugdiscovery/result/proxy/related-content/biomarkers/genestargets/50282","matrix metallopeptidase 9")</f>
        <v>matrix metallopeptidase 9</v>
      </c>
    </row>
    <row r="760" spans="1:11" ht="60" customHeight="1" x14ac:dyDescent="0.2">
      <c r="A760" s="2">
        <v>757</v>
      </c>
      <c r="B760" s="3" t="str">
        <f t="shared" si="141"/>
        <v>MMP-9</v>
      </c>
      <c r="C760" s="3" t="str">
        <f t="shared" si="142"/>
        <v>MMP9</v>
      </c>
      <c r="D760" s="3" t="str">
        <f t="shared" si="143"/>
        <v>MMP9_HUMAN</v>
      </c>
      <c r="E760" s="2" t="s">
        <v>55</v>
      </c>
      <c r="F760" s="3" t="str">
        <f t="shared" si="144"/>
        <v>Matrix metalloproteinase-9</v>
      </c>
      <c r="G760" s="4" t="str">
        <f t="shared" si="145"/>
        <v>Pravastatin</v>
      </c>
      <c r="H760" s="3" t="str">
        <f>HYPERLINK("https://www.cortellis.com/drugdiscovery/entity/biomarkers/50774","9-protein Kawasaki's disease panel")</f>
        <v>9-protein Kawasaki's disease panel</v>
      </c>
      <c r="I760" s="2" t="s">
        <v>23</v>
      </c>
      <c r="J760" s="2" t="s">
        <v>17</v>
      </c>
      <c r="K760" s="4" t="str">
        <f>HYPERLINK("https://www.cortellis.com/drugdiscovery/result/proxy/related-content/biomarkers/genestargets/50774","matrix metallopeptidase 9; solute carrier family 11 member 1")</f>
        <v>matrix metallopeptidase 9; solute carrier family 11 member 1</v>
      </c>
    </row>
    <row r="761" spans="1:11" ht="60" customHeight="1" x14ac:dyDescent="0.2">
      <c r="A761" s="2">
        <v>758</v>
      </c>
      <c r="B761" s="3" t="str">
        <f t="shared" si="141"/>
        <v>MMP-9</v>
      </c>
      <c r="C761" s="3" t="str">
        <f t="shared" si="142"/>
        <v>MMP9</v>
      </c>
      <c r="D761" s="3" t="str">
        <f t="shared" si="143"/>
        <v>MMP9_HUMAN</v>
      </c>
      <c r="E761" s="2" t="s">
        <v>55</v>
      </c>
      <c r="F761" s="3" t="str">
        <f t="shared" si="144"/>
        <v>Matrix metalloproteinase-9</v>
      </c>
      <c r="G761" s="4" t="str">
        <f t="shared" si="145"/>
        <v>Pravastatin</v>
      </c>
      <c r="H761" s="3" t="str">
        <f>HYPERLINK("https://www.cortellis.com/drugdiscovery/entity/biomarkers/50815","4-protein serous ovarian cancer panel")</f>
        <v>4-protein serous ovarian cancer panel</v>
      </c>
      <c r="I761" s="2" t="s">
        <v>23</v>
      </c>
      <c r="J761" s="2" t="s">
        <v>17</v>
      </c>
      <c r="K761" s="4" t="str">
        <f>HYPERLINK("https://www.cortellis.com/drugdiscovery/result/proxy/related-content/biomarkers/genestargets/50815","matrix metallopeptidase 9")</f>
        <v>matrix metallopeptidase 9</v>
      </c>
    </row>
    <row r="762" spans="1:11" ht="60" customHeight="1" x14ac:dyDescent="0.2">
      <c r="A762" s="2">
        <v>759</v>
      </c>
      <c r="B762" s="3" t="str">
        <f t="shared" si="141"/>
        <v>MMP-9</v>
      </c>
      <c r="C762" s="3" t="str">
        <f t="shared" si="142"/>
        <v>MMP9</v>
      </c>
      <c r="D762" s="3" t="str">
        <f t="shared" si="143"/>
        <v>MMP9_HUMAN</v>
      </c>
      <c r="E762" s="2" t="s">
        <v>55</v>
      </c>
      <c r="F762" s="3" t="str">
        <f t="shared" si="144"/>
        <v>Matrix metalloproteinase-9</v>
      </c>
      <c r="G762" s="4" t="str">
        <f t="shared" si="145"/>
        <v>Pravastatin</v>
      </c>
      <c r="H762" s="3" t="str">
        <f>HYPERLINK("https://www.cortellis.com/drugdiscovery/entity/biomarkers/51682","Multiplex biomarker panel")</f>
        <v>Multiplex biomarker panel</v>
      </c>
      <c r="I762" s="2" t="s">
        <v>23</v>
      </c>
      <c r="J762" s="2" t="s">
        <v>15</v>
      </c>
      <c r="K762" s="4" t="str">
        <f>HYPERLINK("https://www.cortellis.com/drugdiscovery/result/proxy/related-content/biomarkers/genestargets/51682","matrix metallopeptidase 2; matrix metallopeptidase 9")</f>
        <v>matrix metallopeptidase 2; matrix metallopeptidase 9</v>
      </c>
    </row>
    <row r="763" spans="1:11" ht="60" customHeight="1" x14ac:dyDescent="0.2">
      <c r="A763" s="2">
        <v>760</v>
      </c>
      <c r="B763" s="3" t="str">
        <f t="shared" si="141"/>
        <v>MMP-9</v>
      </c>
      <c r="C763" s="3" t="str">
        <f t="shared" si="142"/>
        <v>MMP9</v>
      </c>
      <c r="D763" s="3" t="str">
        <f t="shared" si="143"/>
        <v>MMP9_HUMAN</v>
      </c>
      <c r="E763" s="2" t="s">
        <v>55</v>
      </c>
      <c r="F763" s="3" t="str">
        <f t="shared" si="144"/>
        <v>Matrix metalloproteinase-9</v>
      </c>
      <c r="G763" s="4" t="str">
        <f t="shared" si="145"/>
        <v>Pravastatin</v>
      </c>
      <c r="H763" s="3" t="str">
        <f>HYPERLINK("https://www.cortellis.com/drugdiscovery/entity/biomarkers/51857","20-protein psychiatric disorders panel")</f>
        <v>20-protein psychiatric disorders panel</v>
      </c>
      <c r="I763" s="2" t="s">
        <v>23</v>
      </c>
      <c r="J763" s="2" t="s">
        <v>17</v>
      </c>
      <c r="K763" s="4" t="str">
        <f>HYPERLINK("https://www.cortellis.com/drugdiscovery/result/proxy/related-content/biomarkers/genestargets/51857","matrix metallopeptidase 9")</f>
        <v>matrix metallopeptidase 9</v>
      </c>
    </row>
    <row r="764" spans="1:11" ht="60" customHeight="1" x14ac:dyDescent="0.2">
      <c r="A764" s="2">
        <v>761</v>
      </c>
      <c r="B764" s="3" t="str">
        <f t="shared" si="141"/>
        <v>MMP-9</v>
      </c>
      <c r="C764" s="3" t="str">
        <f t="shared" si="142"/>
        <v>MMP9</v>
      </c>
      <c r="D764" s="3" t="str">
        <f t="shared" si="143"/>
        <v>MMP9_HUMAN</v>
      </c>
      <c r="E764" s="2" t="s">
        <v>55</v>
      </c>
      <c r="F764" s="3" t="str">
        <f t="shared" si="144"/>
        <v>Matrix metalloproteinase-9</v>
      </c>
      <c r="G764" s="4" t="str">
        <f t="shared" si="145"/>
        <v>Pravastatin</v>
      </c>
      <c r="H764" s="3" t="str">
        <f>HYPERLINK("https://www.cortellis.com/drugdiscovery/entity/biomarkers/51943","3-protein colorectal cancer panel")</f>
        <v>3-protein colorectal cancer panel</v>
      </c>
      <c r="I764" s="2" t="s">
        <v>25</v>
      </c>
      <c r="J764" s="2" t="s">
        <v>17</v>
      </c>
      <c r="K764" s="4" t="str">
        <f>HYPERLINK("https://www.cortellis.com/drugdiscovery/result/proxy/related-content/biomarkers/genestargets/51943","matrix metallopeptidase 9")</f>
        <v>matrix metallopeptidase 9</v>
      </c>
    </row>
    <row r="765" spans="1:11" ht="60" customHeight="1" x14ac:dyDescent="0.2">
      <c r="A765" s="2">
        <v>762</v>
      </c>
      <c r="B765" s="3" t="str">
        <f t="shared" si="141"/>
        <v>MMP-9</v>
      </c>
      <c r="C765" s="3" t="str">
        <f t="shared" si="142"/>
        <v>MMP9</v>
      </c>
      <c r="D765" s="3" t="str">
        <f t="shared" si="143"/>
        <v>MMP9_HUMAN</v>
      </c>
      <c r="E765" s="2" t="s">
        <v>55</v>
      </c>
      <c r="F765" s="3" t="str">
        <f t="shared" si="144"/>
        <v>Matrix metalloproteinase-9</v>
      </c>
      <c r="G765" s="4" t="str">
        <f t="shared" si="145"/>
        <v>Pravastatin</v>
      </c>
      <c r="H765" s="3" t="str">
        <f>HYPERLINK("https://www.cortellis.com/drugdiscovery/entity/biomarkers/53826","10-protein bladder cancer panel")</f>
        <v>10-protein bladder cancer panel</v>
      </c>
      <c r="I765" s="2" t="s">
        <v>23</v>
      </c>
      <c r="J765" s="2" t="s">
        <v>17</v>
      </c>
      <c r="K765" s="4" t="str">
        <f>HYPERLINK("https://www.cortellis.com/drugdiscovery/result/proxy/related-content/biomarkers/genestargets/53826","matrix metallopeptidase 9")</f>
        <v>matrix metallopeptidase 9</v>
      </c>
    </row>
    <row r="766" spans="1:11" ht="60" customHeight="1" x14ac:dyDescent="0.2">
      <c r="A766" s="2">
        <v>763</v>
      </c>
      <c r="B766" s="3" t="str">
        <f t="shared" si="141"/>
        <v>MMP-9</v>
      </c>
      <c r="C766" s="3" t="str">
        <f t="shared" si="142"/>
        <v>MMP9</v>
      </c>
      <c r="D766" s="3" t="str">
        <f t="shared" si="143"/>
        <v>MMP9_HUMAN</v>
      </c>
      <c r="E766" s="2" t="s">
        <v>55</v>
      </c>
      <c r="F766" s="3" t="str">
        <f t="shared" si="144"/>
        <v>Matrix metalloproteinase-9</v>
      </c>
      <c r="G766" s="4" t="str">
        <f t="shared" si="145"/>
        <v>Pravastatin</v>
      </c>
      <c r="H766" s="3" t="str">
        <f>HYPERLINK("https://www.cortellis.com/drugdiscovery/entity/biomarkers/54509","5-protein hepatotoxicty panel")</f>
        <v>5-protein hepatotoxicty panel</v>
      </c>
      <c r="I766" s="2" t="s">
        <v>23</v>
      </c>
      <c r="J766" s="2" t="s">
        <v>17</v>
      </c>
      <c r="K766" s="4" t="str">
        <f>HYPERLINK("https://www.cortellis.com/drugdiscovery/result/proxy/related-content/biomarkers/genestargets/54509","matrix metallopeptidase 9")</f>
        <v>matrix metallopeptidase 9</v>
      </c>
    </row>
    <row r="767" spans="1:11" ht="60" customHeight="1" x14ac:dyDescent="0.2">
      <c r="A767" s="2">
        <v>764</v>
      </c>
      <c r="B767" s="3" t="str">
        <f t="shared" si="141"/>
        <v>MMP-9</v>
      </c>
      <c r="C767" s="3" t="str">
        <f t="shared" si="142"/>
        <v>MMP9</v>
      </c>
      <c r="D767" s="3" t="str">
        <f t="shared" si="143"/>
        <v>MMP9_HUMAN</v>
      </c>
      <c r="E767" s="2" t="s">
        <v>55</v>
      </c>
      <c r="F767" s="3" t="str">
        <f t="shared" si="144"/>
        <v>Matrix metalloproteinase-9</v>
      </c>
      <c r="G767" s="4" t="str">
        <f t="shared" si="145"/>
        <v>Pravastatin</v>
      </c>
      <c r="H767" s="3" t="str">
        <f>HYPERLINK("https://www.cortellis.com/drugdiscovery/entity/biomarkers/55657","4-protein cardiovascular disorder panel")</f>
        <v>4-protein cardiovascular disorder panel</v>
      </c>
      <c r="I767" s="2" t="s">
        <v>29</v>
      </c>
      <c r="J767" s="2" t="s">
        <v>17</v>
      </c>
      <c r="K767" s="4" t="str">
        <f>HYPERLINK("https://www.cortellis.com/drugdiscovery/result/proxy/related-content/biomarkers/genestargets/55657","matrix metallopeptidase 9")</f>
        <v>matrix metallopeptidase 9</v>
      </c>
    </row>
    <row r="768" spans="1:11" ht="60" customHeight="1" x14ac:dyDescent="0.2">
      <c r="A768" s="2">
        <v>765</v>
      </c>
      <c r="B768" s="3" t="str">
        <f t="shared" si="141"/>
        <v>MMP-9</v>
      </c>
      <c r="C768" s="3" t="str">
        <f t="shared" si="142"/>
        <v>MMP9</v>
      </c>
      <c r="D768" s="3" t="str">
        <f t="shared" si="143"/>
        <v>MMP9_HUMAN</v>
      </c>
      <c r="E768" s="2" t="s">
        <v>55</v>
      </c>
      <c r="F768" s="3" t="str">
        <f t="shared" si="144"/>
        <v>Matrix metalloproteinase-9</v>
      </c>
      <c r="G768" s="4" t="str">
        <f t="shared" si="145"/>
        <v>Pravastatin</v>
      </c>
      <c r="H768" s="3" t="str">
        <f>HYPERLINK("https://www.cortellis.com/drugdiscovery/entity/biomarkers/59957","10-protein obstructive pulmonary disease panel")</f>
        <v>10-protein obstructive pulmonary disease panel</v>
      </c>
      <c r="I768" s="2" t="s">
        <v>20</v>
      </c>
      <c r="J768" s="2" t="s">
        <v>17</v>
      </c>
      <c r="K768" s="4" t="str">
        <f>HYPERLINK("https://www.cortellis.com/drugdiscovery/result/proxy/related-content/biomarkers/genestargets/59957","matrix metallopeptidase 9; ribonuclease A family member 3")</f>
        <v>matrix metallopeptidase 9; ribonuclease A family member 3</v>
      </c>
    </row>
    <row r="769" spans="1:11" ht="60" customHeight="1" x14ac:dyDescent="0.2">
      <c r="A769" s="2">
        <v>766</v>
      </c>
      <c r="B769" s="3" t="str">
        <f t="shared" si="141"/>
        <v>MMP-9</v>
      </c>
      <c r="C769" s="3" t="str">
        <f t="shared" si="142"/>
        <v>MMP9</v>
      </c>
      <c r="D769" s="3" t="str">
        <f t="shared" si="143"/>
        <v>MMP9_HUMAN</v>
      </c>
      <c r="E769" s="2" t="s">
        <v>55</v>
      </c>
      <c r="F769" s="3" t="str">
        <f t="shared" si="144"/>
        <v>Matrix metalloproteinase-9</v>
      </c>
      <c r="G769" s="4" t="str">
        <f t="shared" si="145"/>
        <v>Pravastatin</v>
      </c>
      <c r="H769" s="3" t="str">
        <f>HYPERLINK("https://www.cortellis.com/drugdiscovery/entity/biomarkers/59959","13-protein Crohn's disease panel")</f>
        <v>13-protein Crohn's disease panel</v>
      </c>
      <c r="I769" s="2" t="s">
        <v>24</v>
      </c>
      <c r="J769" s="2" t="s">
        <v>17</v>
      </c>
      <c r="K769" s="4" t="str">
        <f>HYPERLINK("https://www.cortellis.com/drugdiscovery/result/proxy/related-content/biomarkers/genestargets/59959","interleukin 7; matrix metallopeptidase 2; matrix metallopeptidase 9")</f>
        <v>interleukin 7; matrix metallopeptidase 2; matrix metallopeptidase 9</v>
      </c>
    </row>
    <row r="770" spans="1:11" ht="60" customHeight="1" x14ac:dyDescent="0.2">
      <c r="A770" s="2">
        <v>767</v>
      </c>
      <c r="B770" s="3" t="str">
        <f t="shared" si="141"/>
        <v>MMP-9</v>
      </c>
      <c r="C770" s="3" t="str">
        <f t="shared" si="142"/>
        <v>MMP9</v>
      </c>
      <c r="D770" s="3" t="str">
        <f t="shared" si="143"/>
        <v>MMP9_HUMAN</v>
      </c>
      <c r="E770" s="2" t="s">
        <v>55</v>
      </c>
      <c r="F770" s="3" t="str">
        <f t="shared" si="144"/>
        <v>Matrix metalloproteinase-9</v>
      </c>
      <c r="G770" s="4" t="str">
        <f t="shared" si="145"/>
        <v>Pravastatin</v>
      </c>
      <c r="H770" s="3" t="str">
        <f>HYPERLINK("https://www.cortellis.com/drugdiscovery/entity/biomarkers/59979","10-protein bladder cancer panel")</f>
        <v>10-protein bladder cancer panel</v>
      </c>
      <c r="I770" s="2" t="s">
        <v>23</v>
      </c>
      <c r="J770" s="2" t="s">
        <v>17</v>
      </c>
      <c r="K770" s="4" t="str">
        <f>HYPERLINK("https://www.cortellis.com/drugdiscovery/result/proxy/related-content/biomarkers/genestargets/59979","matrix metallopeptidase 9")</f>
        <v>matrix metallopeptidase 9</v>
      </c>
    </row>
    <row r="771" spans="1:11" ht="60" customHeight="1" x14ac:dyDescent="0.2">
      <c r="A771" s="2">
        <v>768</v>
      </c>
      <c r="B771" s="3" t="str">
        <f t="shared" si="141"/>
        <v>MMP-9</v>
      </c>
      <c r="C771" s="3" t="str">
        <f t="shared" si="142"/>
        <v>MMP9</v>
      </c>
      <c r="D771" s="3" t="str">
        <f t="shared" si="143"/>
        <v>MMP9_HUMAN</v>
      </c>
      <c r="E771" s="2" t="s">
        <v>55</v>
      </c>
      <c r="F771" s="3" t="str">
        <f t="shared" si="144"/>
        <v>Matrix metalloproteinase-9</v>
      </c>
      <c r="G771" s="4" t="str">
        <f t="shared" ref="G771:G800" si="146">HYPERLINK("https://portal.genego.com/cgi/entity_page.cgi?term=7&amp;id=456844259","ONO4817")</f>
        <v>ONO4817</v>
      </c>
      <c r="H771" s="3" t="str">
        <f>HYPERLINK("https://www.cortellis.com/drugdiscovery/entity/biomarkers/65","MammaPrint")</f>
        <v>MammaPrint</v>
      </c>
      <c r="I771" s="2" t="s">
        <v>58</v>
      </c>
      <c r="J771" s="2" t="s">
        <v>19</v>
      </c>
      <c r="K771" s="4" t="str">
        <f>HYPERLINK("https://www.cortellis.com/drugdiscovery/result/proxy/related-content/biomarkers/genestargets/65","matrix metallopeptidase 9")</f>
        <v>matrix metallopeptidase 9</v>
      </c>
    </row>
    <row r="772" spans="1:11" ht="60" customHeight="1" x14ac:dyDescent="0.2">
      <c r="A772" s="2">
        <v>769</v>
      </c>
      <c r="B772" s="3" t="str">
        <f t="shared" si="141"/>
        <v>MMP-9</v>
      </c>
      <c r="C772" s="3" t="str">
        <f t="shared" si="142"/>
        <v>MMP9</v>
      </c>
      <c r="D772" s="3" t="str">
        <f t="shared" si="143"/>
        <v>MMP9_HUMAN</v>
      </c>
      <c r="E772" s="2" t="s">
        <v>55</v>
      </c>
      <c r="F772" s="3" t="str">
        <f t="shared" si="144"/>
        <v>Matrix metalloproteinase-9</v>
      </c>
      <c r="G772" s="4" t="str">
        <f t="shared" si="146"/>
        <v>ONO4817</v>
      </c>
      <c r="H772" s="3" t="str">
        <f>HYPERLINK("https://www.cortellis.com/drugdiscovery/entity/biomarkers/173","Matrix metalloproteinase-9")</f>
        <v>Matrix metalloproteinase-9</v>
      </c>
      <c r="I772" s="2" t="s">
        <v>31</v>
      </c>
      <c r="J772" s="2" t="s">
        <v>15</v>
      </c>
      <c r="K772" s="4" t="str">
        <f>HYPERLINK("https://www.cortellis.com/drugdiscovery/result/proxy/related-content/biomarkers/genestargets/173","matrix metallopeptidase 9")</f>
        <v>matrix metallopeptidase 9</v>
      </c>
    </row>
    <row r="773" spans="1:11" ht="60" customHeight="1" x14ac:dyDescent="0.2">
      <c r="A773" s="2">
        <v>770</v>
      </c>
      <c r="B773" s="3" t="str">
        <f t="shared" si="141"/>
        <v>MMP-9</v>
      </c>
      <c r="C773" s="3" t="str">
        <f t="shared" si="142"/>
        <v>MMP9</v>
      </c>
      <c r="D773" s="3" t="str">
        <f t="shared" si="143"/>
        <v>MMP9_HUMAN</v>
      </c>
      <c r="E773" s="2" t="s">
        <v>55</v>
      </c>
      <c r="F773" s="3" t="str">
        <f t="shared" si="144"/>
        <v>Matrix metalloproteinase-9</v>
      </c>
      <c r="G773" s="4" t="str">
        <f t="shared" si="146"/>
        <v>ONO4817</v>
      </c>
      <c r="H773" s="3" t="str">
        <f>HYPERLINK("https://www.cortellis.com/drugdiscovery/entity/biomarkers/26294","160-gene expression liver cancer panel")</f>
        <v>160-gene expression liver cancer panel</v>
      </c>
      <c r="I773" s="2" t="s">
        <v>25</v>
      </c>
      <c r="J773" s="2" t="s">
        <v>19</v>
      </c>
      <c r="K773" s="4" t="str">
        <f>HYPERLINK("https://www.cortellis.com/drugdiscovery/result/proxy/related-content/biomarkers/genestargets/26294","matrix metallopeptidase 9")</f>
        <v>matrix metallopeptidase 9</v>
      </c>
    </row>
    <row r="774" spans="1:11" ht="60" customHeight="1" x14ac:dyDescent="0.2">
      <c r="A774" s="2">
        <v>771</v>
      </c>
      <c r="B774" s="3" t="str">
        <f t="shared" si="141"/>
        <v>MMP-9</v>
      </c>
      <c r="C774" s="3" t="str">
        <f t="shared" si="142"/>
        <v>MMP9</v>
      </c>
      <c r="D774" s="3" t="str">
        <f t="shared" si="143"/>
        <v>MMP9_HUMAN</v>
      </c>
      <c r="E774" s="2" t="s">
        <v>55</v>
      </c>
      <c r="F774" s="3" t="str">
        <f t="shared" si="144"/>
        <v>Matrix metalloproteinase-9</v>
      </c>
      <c r="G774" s="4" t="str">
        <f t="shared" si="146"/>
        <v>ONO4817</v>
      </c>
      <c r="H774" s="3" t="str">
        <f>HYPERLINK("https://www.cortellis.com/drugdiscovery/entity/biomarkers/27598","89-protein neurological alzheimer's panel")</f>
        <v>89-protein neurological alzheimer's panel</v>
      </c>
      <c r="I774" s="2" t="s">
        <v>23</v>
      </c>
      <c r="J774" s="2" t="s">
        <v>17</v>
      </c>
      <c r="K77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775" spans="1:11" ht="60" customHeight="1" x14ac:dyDescent="0.2">
      <c r="A775" s="2">
        <v>772</v>
      </c>
      <c r="B775" s="3" t="str">
        <f t="shared" si="141"/>
        <v>MMP-9</v>
      </c>
      <c r="C775" s="3" t="str">
        <f t="shared" si="142"/>
        <v>MMP9</v>
      </c>
      <c r="D775" s="3" t="str">
        <f t="shared" si="143"/>
        <v>MMP9_HUMAN</v>
      </c>
      <c r="E775" s="2" t="s">
        <v>55</v>
      </c>
      <c r="F775" s="3" t="str">
        <f t="shared" si="144"/>
        <v>Matrix metalloproteinase-9</v>
      </c>
      <c r="G775" s="4" t="str">
        <f t="shared" si="146"/>
        <v>ONO4817</v>
      </c>
      <c r="H775" s="3" t="str">
        <f>HYPERLINK("https://www.cortellis.com/drugdiscovery/entity/biomarkers/27613","9-gene expression ischemic stroke panel")</f>
        <v>9-gene expression ischemic stroke panel</v>
      </c>
      <c r="I775" s="2" t="s">
        <v>23</v>
      </c>
      <c r="J775" s="2" t="s">
        <v>19</v>
      </c>
      <c r="K775" s="4" t="str">
        <f>HYPERLINK("https://www.cortellis.com/drugdiscovery/result/proxy/related-content/biomarkers/genestargets/27613","matrix metallopeptidase 9")</f>
        <v>matrix metallopeptidase 9</v>
      </c>
    </row>
    <row r="776" spans="1:11" ht="60" customHeight="1" x14ac:dyDescent="0.2">
      <c r="A776" s="2">
        <v>773</v>
      </c>
      <c r="B776" s="3" t="str">
        <f t="shared" si="141"/>
        <v>MMP-9</v>
      </c>
      <c r="C776" s="3" t="str">
        <f t="shared" si="142"/>
        <v>MMP9</v>
      </c>
      <c r="D776" s="3" t="str">
        <f t="shared" si="143"/>
        <v>MMP9_HUMAN</v>
      </c>
      <c r="E776" s="2" t="s">
        <v>55</v>
      </c>
      <c r="F776" s="3" t="str">
        <f t="shared" si="144"/>
        <v>Matrix metalloproteinase-9</v>
      </c>
      <c r="G776" s="4" t="str">
        <f t="shared" si="146"/>
        <v>ONO4817</v>
      </c>
      <c r="H776" s="3" t="str">
        <f>HYPERLINK("https://www.cortellis.com/drugdiscovery/entity/biomarkers/28479","24-gene expression breast cancer panel")</f>
        <v>24-gene expression breast cancer panel</v>
      </c>
      <c r="I776" s="2" t="s">
        <v>18</v>
      </c>
      <c r="J776" s="2" t="s">
        <v>19</v>
      </c>
      <c r="K776" s="4" t="str">
        <f>HYPERLINK("https://www.cortellis.com/drugdiscovery/result/proxy/related-content/biomarkers/genestargets/28479","matrix metallopeptidase 9")</f>
        <v>matrix metallopeptidase 9</v>
      </c>
    </row>
    <row r="777" spans="1:11" ht="60" customHeight="1" x14ac:dyDescent="0.2">
      <c r="A777" s="2">
        <v>774</v>
      </c>
      <c r="B777" s="3" t="str">
        <f t="shared" si="141"/>
        <v>MMP-9</v>
      </c>
      <c r="C777" s="3" t="str">
        <f t="shared" si="142"/>
        <v>MMP9</v>
      </c>
      <c r="D777" s="3" t="str">
        <f t="shared" si="143"/>
        <v>MMP9_HUMAN</v>
      </c>
      <c r="E777" s="2" t="s">
        <v>55</v>
      </c>
      <c r="F777" s="3" t="str">
        <f t="shared" si="144"/>
        <v>Matrix metalloproteinase-9</v>
      </c>
      <c r="G777" s="4" t="str">
        <f t="shared" si="146"/>
        <v>ONO4817</v>
      </c>
      <c r="H777" s="3" t="str">
        <f>HYPERLINK("https://www.cortellis.com/drugdiscovery/entity/biomarkers/34465","10-protein 1-biochemical alzheimer's panel")</f>
        <v>10-protein 1-biochemical alzheimer's panel</v>
      </c>
      <c r="I777" s="2" t="s">
        <v>23</v>
      </c>
      <c r="J777" s="2" t="s">
        <v>59</v>
      </c>
      <c r="K777" s="4" t="str">
        <f>HYPERLINK("https://www.cortellis.com/drugdiscovery/result/proxy/related-content/biomarkers/genestargets/34465","matrix metallopeptidase 9")</f>
        <v>matrix metallopeptidase 9</v>
      </c>
    </row>
    <row r="778" spans="1:11" ht="60" customHeight="1" x14ac:dyDescent="0.2">
      <c r="A778" s="2">
        <v>775</v>
      </c>
      <c r="B778" s="3" t="str">
        <f t="shared" si="141"/>
        <v>MMP-9</v>
      </c>
      <c r="C778" s="3" t="str">
        <f t="shared" si="142"/>
        <v>MMP9</v>
      </c>
      <c r="D778" s="3" t="str">
        <f t="shared" si="143"/>
        <v>MMP9_HUMAN</v>
      </c>
      <c r="E778" s="2" t="s">
        <v>55</v>
      </c>
      <c r="F778" s="3" t="str">
        <f t="shared" si="144"/>
        <v>Matrix metalloproteinase-9</v>
      </c>
      <c r="G778" s="4" t="str">
        <f t="shared" si="146"/>
        <v>ONO4817</v>
      </c>
      <c r="H778" s="3" t="str">
        <f>HYPERLINK("https://www.cortellis.com/drugdiscovery/entity/biomarkers/39788","Epithelial-mesenchymal transition gene signature")</f>
        <v>Epithelial-mesenchymal transition gene signature</v>
      </c>
      <c r="I778" s="2" t="s">
        <v>18</v>
      </c>
      <c r="J778" s="2" t="s">
        <v>19</v>
      </c>
      <c r="K778" s="4" t="str">
        <f>HYPERLINK("https://www.cortellis.com/drugdiscovery/result/proxy/related-content/biomarkers/genestargets/39788","C-C motif chemokine ligand 2; matrix metallopeptidase 9")</f>
        <v>C-C motif chemokine ligand 2; matrix metallopeptidase 9</v>
      </c>
    </row>
    <row r="779" spans="1:11" ht="60" customHeight="1" x14ac:dyDescent="0.2">
      <c r="A779" s="2">
        <v>776</v>
      </c>
      <c r="B779" s="3" t="str">
        <f t="shared" si="141"/>
        <v>MMP-9</v>
      </c>
      <c r="C779" s="3" t="str">
        <f t="shared" si="142"/>
        <v>MMP9</v>
      </c>
      <c r="D779" s="3" t="str">
        <f t="shared" si="143"/>
        <v>MMP9_HUMAN</v>
      </c>
      <c r="E779" s="2" t="s">
        <v>55</v>
      </c>
      <c r="F779" s="3" t="str">
        <f t="shared" si="144"/>
        <v>Matrix metalloproteinase-9</v>
      </c>
      <c r="G779" s="4" t="str">
        <f t="shared" si="146"/>
        <v>ONO4817</v>
      </c>
      <c r="H779" s="3" t="str">
        <f>HYPERLINK("https://www.cortellis.com/drugdiscovery/entity/biomarkers/41350","10-protein liver cancer panel")</f>
        <v>10-protein liver cancer panel</v>
      </c>
      <c r="I779" s="2" t="s">
        <v>52</v>
      </c>
      <c r="J779" s="2" t="s">
        <v>17</v>
      </c>
      <c r="K779" s="4" t="str">
        <f>HYPERLINK("https://www.cortellis.com/drugdiscovery/result/proxy/related-content/biomarkers/genestargets/41350","matrix metallopeptidase 9")</f>
        <v>matrix metallopeptidase 9</v>
      </c>
    </row>
    <row r="780" spans="1:11" ht="60" customHeight="1" x14ac:dyDescent="0.2">
      <c r="A780" s="2">
        <v>777</v>
      </c>
      <c r="B780" s="3" t="str">
        <f t="shared" si="141"/>
        <v>MMP-9</v>
      </c>
      <c r="C780" s="3" t="str">
        <f t="shared" si="142"/>
        <v>MMP9</v>
      </c>
      <c r="D780" s="3" t="str">
        <f t="shared" si="143"/>
        <v>MMP9_HUMAN</v>
      </c>
      <c r="E780" s="2" t="s">
        <v>55</v>
      </c>
      <c r="F780" s="3" t="str">
        <f t="shared" si="144"/>
        <v>Matrix metalloproteinase-9</v>
      </c>
      <c r="G780" s="4" t="str">
        <f t="shared" si="146"/>
        <v>ONO4817</v>
      </c>
      <c r="H780" s="3" t="str">
        <f>HYPERLINK("https://www.cortellis.com/drugdiscovery/entity/biomarkers/41936","5-gene expression breast cancer panel")</f>
        <v>5-gene expression breast cancer panel</v>
      </c>
      <c r="I780" s="2" t="s">
        <v>60</v>
      </c>
      <c r="J780" s="2" t="s">
        <v>19</v>
      </c>
      <c r="K780" s="4" t="str">
        <f>HYPERLINK("https://www.cortellis.com/drugdiscovery/result/proxy/related-content/biomarkers/genestargets/41936","matrix metallopeptidase 9")</f>
        <v>matrix metallopeptidase 9</v>
      </c>
    </row>
    <row r="781" spans="1:11" ht="60" customHeight="1" x14ac:dyDescent="0.2">
      <c r="A781" s="2">
        <v>778</v>
      </c>
      <c r="B781" s="3" t="str">
        <f t="shared" si="141"/>
        <v>MMP-9</v>
      </c>
      <c r="C781" s="3" t="str">
        <f t="shared" si="142"/>
        <v>MMP9</v>
      </c>
      <c r="D781" s="3" t="str">
        <f t="shared" si="143"/>
        <v>MMP9_HUMAN</v>
      </c>
      <c r="E781" s="2" t="s">
        <v>55</v>
      </c>
      <c r="F781" s="3" t="str">
        <f t="shared" si="144"/>
        <v>Matrix metalloproteinase-9</v>
      </c>
      <c r="G781" s="4" t="str">
        <f t="shared" si="146"/>
        <v>ONO4817</v>
      </c>
      <c r="H781" s="3" t="str">
        <f>HYPERLINK("https://www.cortellis.com/drugdiscovery/entity/biomarkers/43380","7-protein bladder cancer panel")</f>
        <v>7-protein bladder cancer panel</v>
      </c>
      <c r="I781" s="2" t="s">
        <v>23</v>
      </c>
      <c r="J781" s="2" t="s">
        <v>15</v>
      </c>
      <c r="K781" s="4" t="str">
        <f>HYPERLINK("https://www.cortellis.com/drugdiscovery/result/proxy/related-content/biomarkers/genestargets/43380","matrix metallopeptidase 9")</f>
        <v>matrix metallopeptidase 9</v>
      </c>
    </row>
    <row r="782" spans="1:11" ht="60" customHeight="1" x14ac:dyDescent="0.2">
      <c r="A782" s="2">
        <v>779</v>
      </c>
      <c r="B782" s="3" t="str">
        <f t="shared" si="141"/>
        <v>MMP-9</v>
      </c>
      <c r="C782" s="3" t="str">
        <f t="shared" si="142"/>
        <v>MMP9</v>
      </c>
      <c r="D782" s="3" t="str">
        <f t="shared" si="143"/>
        <v>MMP9_HUMAN</v>
      </c>
      <c r="E782" s="2" t="s">
        <v>55</v>
      </c>
      <c r="F782" s="3" t="str">
        <f t="shared" si="144"/>
        <v>Matrix metalloproteinase-9</v>
      </c>
      <c r="G782" s="4" t="str">
        <f t="shared" si="146"/>
        <v>ONO4817</v>
      </c>
      <c r="H782" s="3" t="str">
        <f>HYPERLINK("https://www.cortellis.com/drugdiscovery/entity/biomarkers/43382","3-protein bladder cancer panel")</f>
        <v>3-protein bladder cancer panel</v>
      </c>
      <c r="I782" s="2" t="s">
        <v>23</v>
      </c>
      <c r="J782" s="2" t="s">
        <v>17</v>
      </c>
      <c r="K782" s="4" t="str">
        <f>HYPERLINK("https://www.cortellis.com/drugdiscovery/result/proxy/related-content/biomarkers/genestargets/43382","matrix metallopeptidase 9")</f>
        <v>matrix metallopeptidase 9</v>
      </c>
    </row>
    <row r="783" spans="1:11" ht="60" customHeight="1" x14ac:dyDescent="0.2">
      <c r="A783" s="2">
        <v>780</v>
      </c>
      <c r="B783" s="3" t="str">
        <f t="shared" ref="B783:B846" si="147">HYPERLINK("https://portal.genego.com/cgi/entity_page.cgi?term=100&amp;id=4125","MMP-9")</f>
        <v>MMP-9</v>
      </c>
      <c r="C783" s="3" t="str">
        <f t="shared" ref="C783:C846" si="148">HYPERLINK("https://portal.genego.com/cgi/entity_page.cgi?term=20&amp;id=1390764486","MMP9")</f>
        <v>MMP9</v>
      </c>
      <c r="D783" s="3" t="str">
        <f t="shared" ref="D783:D846" si="149">HYPERLINK("https://portal.genego.com/cgi/entity_page.cgi?term=7&amp;id=-675020829","MMP9_HUMAN")</f>
        <v>MMP9_HUMAN</v>
      </c>
      <c r="E783" s="2" t="s">
        <v>55</v>
      </c>
      <c r="F783" s="3" t="str">
        <f t="shared" ref="F783:F846" si="150">HYPERLINK("https://portal.genego.com/cgi/entity_page.cgi?term=100&amp;id=4125","Matrix metalloproteinase-9")</f>
        <v>Matrix metalloproteinase-9</v>
      </c>
      <c r="G783" s="4" t="str">
        <f t="shared" si="146"/>
        <v>ONO4817</v>
      </c>
      <c r="H783" s="3" t="str">
        <f>HYPERLINK("https://www.cortellis.com/drugdiscovery/entity/biomarkers/43994","4-gene expression adenomatous polyps panel")</f>
        <v>4-gene expression adenomatous polyps panel</v>
      </c>
      <c r="I783" s="2" t="s">
        <v>23</v>
      </c>
      <c r="J783" s="2" t="s">
        <v>19</v>
      </c>
      <c r="K783" s="4" t="str">
        <f>HYPERLINK("https://www.cortellis.com/drugdiscovery/result/proxy/related-content/biomarkers/genestargets/43994","matrix metallopeptidase 9")</f>
        <v>matrix metallopeptidase 9</v>
      </c>
    </row>
    <row r="784" spans="1:11" ht="60" customHeight="1" x14ac:dyDescent="0.2">
      <c r="A784" s="2">
        <v>781</v>
      </c>
      <c r="B784" s="3" t="str">
        <f t="shared" si="147"/>
        <v>MMP-9</v>
      </c>
      <c r="C784" s="3" t="str">
        <f t="shared" si="148"/>
        <v>MMP9</v>
      </c>
      <c r="D784" s="3" t="str">
        <f t="shared" si="149"/>
        <v>MMP9_HUMAN</v>
      </c>
      <c r="E784" s="2" t="s">
        <v>55</v>
      </c>
      <c r="F784" s="3" t="str">
        <f t="shared" si="150"/>
        <v>Matrix metalloproteinase-9</v>
      </c>
      <c r="G784" s="4" t="str">
        <f t="shared" si="146"/>
        <v>ONO4817</v>
      </c>
      <c r="H784" s="3" t="str">
        <f>HYPERLINK("https://www.cortellis.com/drugdiscovery/entity/biomarkers/43995","8-gene expression colorectal cancer panel")</f>
        <v>8-gene expression colorectal cancer panel</v>
      </c>
      <c r="I784" s="2" t="s">
        <v>23</v>
      </c>
      <c r="J784" s="2" t="s">
        <v>19</v>
      </c>
      <c r="K784" s="4" t="str">
        <f>HYPERLINK("https://www.cortellis.com/drugdiscovery/result/proxy/related-content/biomarkers/genestargets/43995","matrix metallopeptidase 9")</f>
        <v>matrix metallopeptidase 9</v>
      </c>
    </row>
    <row r="785" spans="1:11" ht="60" customHeight="1" x14ac:dyDescent="0.2">
      <c r="A785" s="2">
        <v>782</v>
      </c>
      <c r="B785" s="3" t="str">
        <f t="shared" si="147"/>
        <v>MMP-9</v>
      </c>
      <c r="C785" s="3" t="str">
        <f t="shared" si="148"/>
        <v>MMP9</v>
      </c>
      <c r="D785" s="3" t="str">
        <f t="shared" si="149"/>
        <v>MMP9_HUMAN</v>
      </c>
      <c r="E785" s="2" t="s">
        <v>55</v>
      </c>
      <c r="F785" s="3" t="str">
        <f t="shared" si="150"/>
        <v>Matrix metalloproteinase-9</v>
      </c>
      <c r="G785" s="4" t="str">
        <f t="shared" si="146"/>
        <v>ONO4817</v>
      </c>
      <c r="H785" s="3" t="str">
        <f>HYPERLINK("https://www.cortellis.com/drugdiscovery/entity/biomarkers/45762","37-protein metastatic colon cancer panel")</f>
        <v>37-protein metastatic colon cancer panel</v>
      </c>
      <c r="I785" s="2" t="s">
        <v>20</v>
      </c>
      <c r="J785" s="2" t="s">
        <v>17</v>
      </c>
      <c r="K785" s="4" t="str">
        <f>HYPERLINK("https://www.cortellis.com/drugdiscovery/result/proxy/related-content/biomarkers/genestargets/45762","matrix metallopeptidase 2; matrix metallopeptidase 9")</f>
        <v>matrix metallopeptidase 2; matrix metallopeptidase 9</v>
      </c>
    </row>
    <row r="786" spans="1:11" ht="60" customHeight="1" x14ac:dyDescent="0.2">
      <c r="A786" s="2">
        <v>783</v>
      </c>
      <c r="B786" s="3" t="str">
        <f t="shared" si="147"/>
        <v>MMP-9</v>
      </c>
      <c r="C786" s="3" t="str">
        <f t="shared" si="148"/>
        <v>MMP9</v>
      </c>
      <c r="D786" s="3" t="str">
        <f t="shared" si="149"/>
        <v>MMP9_HUMAN</v>
      </c>
      <c r="E786" s="2" t="s">
        <v>55</v>
      </c>
      <c r="F786" s="3" t="str">
        <f t="shared" si="150"/>
        <v>Matrix metalloproteinase-9</v>
      </c>
      <c r="G786" s="4" t="str">
        <f t="shared" si="146"/>
        <v>ONO4817</v>
      </c>
      <c r="H786" s="3" t="str">
        <f>HYPERLINK("https://www.cortellis.com/drugdiscovery/entity/biomarkers/48821","10-gene expression clear cell renal cell cancer panel")</f>
        <v>10-gene expression clear cell renal cell cancer panel</v>
      </c>
      <c r="I786" s="2" t="s">
        <v>18</v>
      </c>
      <c r="J786" s="2" t="s">
        <v>19</v>
      </c>
      <c r="K786" s="4" t="str">
        <f>HYPERLINK("https://www.cortellis.com/drugdiscovery/result/proxy/related-content/biomarkers/genestargets/48821","matrix metallopeptidase 9")</f>
        <v>matrix metallopeptidase 9</v>
      </c>
    </row>
    <row r="787" spans="1:11" ht="60" customHeight="1" x14ac:dyDescent="0.2">
      <c r="A787" s="2">
        <v>784</v>
      </c>
      <c r="B787" s="3" t="str">
        <f t="shared" si="147"/>
        <v>MMP-9</v>
      </c>
      <c r="C787" s="3" t="str">
        <f t="shared" si="148"/>
        <v>MMP9</v>
      </c>
      <c r="D787" s="3" t="str">
        <f t="shared" si="149"/>
        <v>MMP9_HUMAN</v>
      </c>
      <c r="E787" s="2" t="s">
        <v>55</v>
      </c>
      <c r="F787" s="3" t="str">
        <f t="shared" si="150"/>
        <v>Matrix metalloproteinase-9</v>
      </c>
      <c r="G787" s="4" t="str">
        <f t="shared" si="146"/>
        <v>ONO4817</v>
      </c>
      <c r="H787" s="3" t="str">
        <f>HYPERLINK("https://www.cortellis.com/drugdiscovery/entity/biomarkers/49523","3-protein diffuse B cell lymphoma  panel")</f>
        <v>3-protein diffuse B cell lymphoma  panel</v>
      </c>
      <c r="I787" s="2" t="s">
        <v>23</v>
      </c>
      <c r="J787" s="2" t="s">
        <v>17</v>
      </c>
      <c r="K787" s="4" t="str">
        <f>HYPERLINK("https://www.cortellis.com/drugdiscovery/result/proxy/related-content/biomarkers/genestargets/49523","matrix metallopeptidase 9")</f>
        <v>matrix metallopeptidase 9</v>
      </c>
    </row>
    <row r="788" spans="1:11" ht="60" customHeight="1" x14ac:dyDescent="0.2">
      <c r="A788" s="2">
        <v>785</v>
      </c>
      <c r="B788" s="3" t="str">
        <f t="shared" si="147"/>
        <v>MMP-9</v>
      </c>
      <c r="C788" s="3" t="str">
        <f t="shared" si="148"/>
        <v>MMP9</v>
      </c>
      <c r="D788" s="3" t="str">
        <f t="shared" si="149"/>
        <v>MMP9_HUMAN</v>
      </c>
      <c r="E788" s="2" t="s">
        <v>55</v>
      </c>
      <c r="F788" s="3" t="str">
        <f t="shared" si="150"/>
        <v>Matrix metalloproteinase-9</v>
      </c>
      <c r="G788" s="4" t="str">
        <f t="shared" si="146"/>
        <v>ONO4817</v>
      </c>
      <c r="H788" s="3" t="str">
        <f>HYPERLINK("https://www.cortellis.com/drugdiscovery/entity/biomarkers/49848","29-gene expression colorectal cancer panel")</f>
        <v>29-gene expression colorectal cancer panel</v>
      </c>
      <c r="I788" s="2" t="s">
        <v>23</v>
      </c>
      <c r="J788" s="2" t="s">
        <v>19</v>
      </c>
      <c r="K788" s="4" t="str">
        <f>HYPERLINK("https://www.cortellis.com/drugdiscovery/result/proxy/related-content/biomarkers/genestargets/49848","matrix metallopeptidase 9")</f>
        <v>matrix metallopeptidase 9</v>
      </c>
    </row>
    <row r="789" spans="1:11" ht="60" customHeight="1" x14ac:dyDescent="0.2">
      <c r="A789" s="2">
        <v>786</v>
      </c>
      <c r="B789" s="3" t="str">
        <f t="shared" si="147"/>
        <v>MMP-9</v>
      </c>
      <c r="C789" s="3" t="str">
        <f t="shared" si="148"/>
        <v>MMP9</v>
      </c>
      <c r="D789" s="3" t="str">
        <f t="shared" si="149"/>
        <v>MMP9_HUMAN</v>
      </c>
      <c r="E789" s="2" t="s">
        <v>55</v>
      </c>
      <c r="F789" s="3" t="str">
        <f t="shared" si="150"/>
        <v>Matrix metalloproteinase-9</v>
      </c>
      <c r="G789" s="4" t="str">
        <f t="shared" si="146"/>
        <v>ONO4817</v>
      </c>
      <c r="H789" s="3" t="str">
        <f>HYPERLINK("https://www.cortellis.com/drugdiscovery/entity/biomarkers/50282","10-protein bladder cancer panel")</f>
        <v>10-protein bladder cancer panel</v>
      </c>
      <c r="I789" s="2" t="s">
        <v>52</v>
      </c>
      <c r="J789" s="2" t="s">
        <v>17</v>
      </c>
      <c r="K789" s="4" t="str">
        <f>HYPERLINK("https://www.cortellis.com/drugdiscovery/result/proxy/related-content/biomarkers/genestargets/50282","matrix metallopeptidase 9")</f>
        <v>matrix metallopeptidase 9</v>
      </c>
    </row>
    <row r="790" spans="1:11" ht="60" customHeight="1" x14ac:dyDescent="0.2">
      <c r="A790" s="2">
        <v>787</v>
      </c>
      <c r="B790" s="3" t="str">
        <f t="shared" si="147"/>
        <v>MMP-9</v>
      </c>
      <c r="C790" s="3" t="str">
        <f t="shared" si="148"/>
        <v>MMP9</v>
      </c>
      <c r="D790" s="3" t="str">
        <f t="shared" si="149"/>
        <v>MMP9_HUMAN</v>
      </c>
      <c r="E790" s="2" t="s">
        <v>55</v>
      </c>
      <c r="F790" s="3" t="str">
        <f t="shared" si="150"/>
        <v>Matrix metalloproteinase-9</v>
      </c>
      <c r="G790" s="4" t="str">
        <f t="shared" si="146"/>
        <v>ONO4817</v>
      </c>
      <c r="H790" s="3" t="str">
        <f>HYPERLINK("https://www.cortellis.com/drugdiscovery/entity/biomarkers/50774","9-protein Kawasaki's disease panel")</f>
        <v>9-protein Kawasaki's disease panel</v>
      </c>
      <c r="I790" s="2" t="s">
        <v>23</v>
      </c>
      <c r="J790" s="2" t="s">
        <v>17</v>
      </c>
      <c r="K790" s="4" t="str">
        <f>HYPERLINK("https://www.cortellis.com/drugdiscovery/result/proxy/related-content/biomarkers/genestargets/50774","matrix metallopeptidase 9; solute carrier family 11 member 1")</f>
        <v>matrix metallopeptidase 9; solute carrier family 11 member 1</v>
      </c>
    </row>
    <row r="791" spans="1:11" ht="60" customHeight="1" x14ac:dyDescent="0.2">
      <c r="A791" s="2">
        <v>788</v>
      </c>
      <c r="B791" s="3" t="str">
        <f t="shared" si="147"/>
        <v>MMP-9</v>
      </c>
      <c r="C791" s="3" t="str">
        <f t="shared" si="148"/>
        <v>MMP9</v>
      </c>
      <c r="D791" s="3" t="str">
        <f t="shared" si="149"/>
        <v>MMP9_HUMAN</v>
      </c>
      <c r="E791" s="2" t="s">
        <v>55</v>
      </c>
      <c r="F791" s="3" t="str">
        <f t="shared" si="150"/>
        <v>Matrix metalloproteinase-9</v>
      </c>
      <c r="G791" s="4" t="str">
        <f t="shared" si="146"/>
        <v>ONO4817</v>
      </c>
      <c r="H791" s="3" t="str">
        <f>HYPERLINK("https://www.cortellis.com/drugdiscovery/entity/biomarkers/50815","4-protein serous ovarian cancer panel")</f>
        <v>4-protein serous ovarian cancer panel</v>
      </c>
      <c r="I791" s="2" t="s">
        <v>23</v>
      </c>
      <c r="J791" s="2" t="s">
        <v>17</v>
      </c>
      <c r="K791" s="4" t="str">
        <f>HYPERLINK("https://www.cortellis.com/drugdiscovery/result/proxy/related-content/biomarkers/genestargets/50815","matrix metallopeptidase 9")</f>
        <v>matrix metallopeptidase 9</v>
      </c>
    </row>
    <row r="792" spans="1:11" ht="60" customHeight="1" x14ac:dyDescent="0.2">
      <c r="A792" s="2">
        <v>789</v>
      </c>
      <c r="B792" s="3" t="str">
        <f t="shared" si="147"/>
        <v>MMP-9</v>
      </c>
      <c r="C792" s="3" t="str">
        <f t="shared" si="148"/>
        <v>MMP9</v>
      </c>
      <c r="D792" s="3" t="str">
        <f t="shared" si="149"/>
        <v>MMP9_HUMAN</v>
      </c>
      <c r="E792" s="2" t="s">
        <v>55</v>
      </c>
      <c r="F792" s="3" t="str">
        <f t="shared" si="150"/>
        <v>Matrix metalloproteinase-9</v>
      </c>
      <c r="G792" s="4" t="str">
        <f t="shared" si="146"/>
        <v>ONO4817</v>
      </c>
      <c r="H792" s="3" t="str">
        <f>HYPERLINK("https://www.cortellis.com/drugdiscovery/entity/biomarkers/51682","Multiplex biomarker panel")</f>
        <v>Multiplex biomarker panel</v>
      </c>
      <c r="I792" s="2" t="s">
        <v>23</v>
      </c>
      <c r="J792" s="2" t="s">
        <v>15</v>
      </c>
      <c r="K792" s="4" t="str">
        <f>HYPERLINK("https://www.cortellis.com/drugdiscovery/result/proxy/related-content/biomarkers/genestargets/51682","matrix metallopeptidase 2; matrix metallopeptidase 9")</f>
        <v>matrix metallopeptidase 2; matrix metallopeptidase 9</v>
      </c>
    </row>
    <row r="793" spans="1:11" ht="60" customHeight="1" x14ac:dyDescent="0.2">
      <c r="A793" s="2">
        <v>790</v>
      </c>
      <c r="B793" s="3" t="str">
        <f t="shared" si="147"/>
        <v>MMP-9</v>
      </c>
      <c r="C793" s="3" t="str">
        <f t="shared" si="148"/>
        <v>MMP9</v>
      </c>
      <c r="D793" s="3" t="str">
        <f t="shared" si="149"/>
        <v>MMP9_HUMAN</v>
      </c>
      <c r="E793" s="2" t="s">
        <v>55</v>
      </c>
      <c r="F793" s="3" t="str">
        <f t="shared" si="150"/>
        <v>Matrix metalloproteinase-9</v>
      </c>
      <c r="G793" s="4" t="str">
        <f t="shared" si="146"/>
        <v>ONO4817</v>
      </c>
      <c r="H793" s="3" t="str">
        <f>HYPERLINK("https://www.cortellis.com/drugdiscovery/entity/biomarkers/51857","20-protein psychiatric disorders panel")</f>
        <v>20-protein psychiatric disorders panel</v>
      </c>
      <c r="I793" s="2" t="s">
        <v>23</v>
      </c>
      <c r="J793" s="2" t="s">
        <v>17</v>
      </c>
      <c r="K793" s="4" t="str">
        <f>HYPERLINK("https://www.cortellis.com/drugdiscovery/result/proxy/related-content/biomarkers/genestargets/51857","matrix metallopeptidase 9")</f>
        <v>matrix metallopeptidase 9</v>
      </c>
    </row>
    <row r="794" spans="1:11" ht="60" customHeight="1" x14ac:dyDescent="0.2">
      <c r="A794" s="2">
        <v>791</v>
      </c>
      <c r="B794" s="3" t="str">
        <f t="shared" si="147"/>
        <v>MMP-9</v>
      </c>
      <c r="C794" s="3" t="str">
        <f t="shared" si="148"/>
        <v>MMP9</v>
      </c>
      <c r="D794" s="3" t="str">
        <f t="shared" si="149"/>
        <v>MMP9_HUMAN</v>
      </c>
      <c r="E794" s="2" t="s">
        <v>55</v>
      </c>
      <c r="F794" s="3" t="str">
        <f t="shared" si="150"/>
        <v>Matrix metalloproteinase-9</v>
      </c>
      <c r="G794" s="4" t="str">
        <f t="shared" si="146"/>
        <v>ONO4817</v>
      </c>
      <c r="H794" s="3" t="str">
        <f>HYPERLINK("https://www.cortellis.com/drugdiscovery/entity/biomarkers/51943","3-protein colorectal cancer panel")</f>
        <v>3-protein colorectal cancer panel</v>
      </c>
      <c r="I794" s="2" t="s">
        <v>25</v>
      </c>
      <c r="J794" s="2" t="s">
        <v>17</v>
      </c>
      <c r="K794" s="4" t="str">
        <f>HYPERLINK("https://www.cortellis.com/drugdiscovery/result/proxy/related-content/biomarkers/genestargets/51943","matrix metallopeptidase 9")</f>
        <v>matrix metallopeptidase 9</v>
      </c>
    </row>
    <row r="795" spans="1:11" ht="60" customHeight="1" x14ac:dyDescent="0.2">
      <c r="A795" s="2">
        <v>792</v>
      </c>
      <c r="B795" s="3" t="str">
        <f t="shared" si="147"/>
        <v>MMP-9</v>
      </c>
      <c r="C795" s="3" t="str">
        <f t="shared" si="148"/>
        <v>MMP9</v>
      </c>
      <c r="D795" s="3" t="str">
        <f t="shared" si="149"/>
        <v>MMP9_HUMAN</v>
      </c>
      <c r="E795" s="2" t="s">
        <v>55</v>
      </c>
      <c r="F795" s="3" t="str">
        <f t="shared" si="150"/>
        <v>Matrix metalloproteinase-9</v>
      </c>
      <c r="G795" s="4" t="str">
        <f t="shared" si="146"/>
        <v>ONO4817</v>
      </c>
      <c r="H795" s="3" t="str">
        <f>HYPERLINK("https://www.cortellis.com/drugdiscovery/entity/biomarkers/53826","10-protein bladder cancer panel")</f>
        <v>10-protein bladder cancer panel</v>
      </c>
      <c r="I795" s="2" t="s">
        <v>23</v>
      </c>
      <c r="J795" s="2" t="s">
        <v>17</v>
      </c>
      <c r="K795" s="4" t="str">
        <f>HYPERLINK("https://www.cortellis.com/drugdiscovery/result/proxy/related-content/biomarkers/genestargets/53826","matrix metallopeptidase 9")</f>
        <v>matrix metallopeptidase 9</v>
      </c>
    </row>
    <row r="796" spans="1:11" ht="60" customHeight="1" x14ac:dyDescent="0.2">
      <c r="A796" s="2">
        <v>793</v>
      </c>
      <c r="B796" s="3" t="str">
        <f t="shared" si="147"/>
        <v>MMP-9</v>
      </c>
      <c r="C796" s="3" t="str">
        <f t="shared" si="148"/>
        <v>MMP9</v>
      </c>
      <c r="D796" s="3" t="str">
        <f t="shared" si="149"/>
        <v>MMP9_HUMAN</v>
      </c>
      <c r="E796" s="2" t="s">
        <v>55</v>
      </c>
      <c r="F796" s="3" t="str">
        <f t="shared" si="150"/>
        <v>Matrix metalloproteinase-9</v>
      </c>
      <c r="G796" s="4" t="str">
        <f t="shared" si="146"/>
        <v>ONO4817</v>
      </c>
      <c r="H796" s="3" t="str">
        <f>HYPERLINK("https://www.cortellis.com/drugdiscovery/entity/biomarkers/54509","5-protein hepatotoxicty panel")</f>
        <v>5-protein hepatotoxicty panel</v>
      </c>
      <c r="I796" s="2" t="s">
        <v>23</v>
      </c>
      <c r="J796" s="2" t="s">
        <v>17</v>
      </c>
      <c r="K796" s="4" t="str">
        <f>HYPERLINK("https://www.cortellis.com/drugdiscovery/result/proxy/related-content/biomarkers/genestargets/54509","matrix metallopeptidase 9")</f>
        <v>matrix metallopeptidase 9</v>
      </c>
    </row>
    <row r="797" spans="1:11" ht="60" customHeight="1" x14ac:dyDescent="0.2">
      <c r="A797" s="2">
        <v>794</v>
      </c>
      <c r="B797" s="3" t="str">
        <f t="shared" si="147"/>
        <v>MMP-9</v>
      </c>
      <c r="C797" s="3" t="str">
        <f t="shared" si="148"/>
        <v>MMP9</v>
      </c>
      <c r="D797" s="3" t="str">
        <f t="shared" si="149"/>
        <v>MMP9_HUMAN</v>
      </c>
      <c r="E797" s="2" t="s">
        <v>55</v>
      </c>
      <c r="F797" s="3" t="str">
        <f t="shared" si="150"/>
        <v>Matrix metalloproteinase-9</v>
      </c>
      <c r="G797" s="4" t="str">
        <f t="shared" si="146"/>
        <v>ONO4817</v>
      </c>
      <c r="H797" s="3" t="str">
        <f>HYPERLINK("https://www.cortellis.com/drugdiscovery/entity/biomarkers/55657","4-protein cardiovascular disorder panel")</f>
        <v>4-protein cardiovascular disorder panel</v>
      </c>
      <c r="I797" s="2" t="s">
        <v>29</v>
      </c>
      <c r="J797" s="2" t="s">
        <v>17</v>
      </c>
      <c r="K797" s="4" t="str">
        <f>HYPERLINK("https://www.cortellis.com/drugdiscovery/result/proxy/related-content/biomarkers/genestargets/55657","matrix metallopeptidase 9")</f>
        <v>matrix metallopeptidase 9</v>
      </c>
    </row>
    <row r="798" spans="1:11" ht="60" customHeight="1" x14ac:dyDescent="0.2">
      <c r="A798" s="2">
        <v>795</v>
      </c>
      <c r="B798" s="3" t="str">
        <f t="shared" si="147"/>
        <v>MMP-9</v>
      </c>
      <c r="C798" s="3" t="str">
        <f t="shared" si="148"/>
        <v>MMP9</v>
      </c>
      <c r="D798" s="3" t="str">
        <f t="shared" si="149"/>
        <v>MMP9_HUMAN</v>
      </c>
      <c r="E798" s="2" t="s">
        <v>55</v>
      </c>
      <c r="F798" s="3" t="str">
        <f t="shared" si="150"/>
        <v>Matrix metalloproteinase-9</v>
      </c>
      <c r="G798" s="4" t="str">
        <f t="shared" si="146"/>
        <v>ONO4817</v>
      </c>
      <c r="H798" s="3" t="str">
        <f>HYPERLINK("https://www.cortellis.com/drugdiscovery/entity/biomarkers/59957","10-protein obstructive pulmonary disease panel")</f>
        <v>10-protein obstructive pulmonary disease panel</v>
      </c>
      <c r="I798" s="2" t="s">
        <v>20</v>
      </c>
      <c r="J798" s="2" t="s">
        <v>17</v>
      </c>
      <c r="K798" s="4" t="str">
        <f>HYPERLINK("https://www.cortellis.com/drugdiscovery/result/proxy/related-content/biomarkers/genestargets/59957","matrix metallopeptidase 9; ribonuclease A family member 3")</f>
        <v>matrix metallopeptidase 9; ribonuclease A family member 3</v>
      </c>
    </row>
    <row r="799" spans="1:11" ht="60" customHeight="1" x14ac:dyDescent="0.2">
      <c r="A799" s="2">
        <v>796</v>
      </c>
      <c r="B799" s="3" t="str">
        <f t="shared" si="147"/>
        <v>MMP-9</v>
      </c>
      <c r="C799" s="3" t="str">
        <f t="shared" si="148"/>
        <v>MMP9</v>
      </c>
      <c r="D799" s="3" t="str">
        <f t="shared" si="149"/>
        <v>MMP9_HUMAN</v>
      </c>
      <c r="E799" s="2" t="s">
        <v>55</v>
      </c>
      <c r="F799" s="3" t="str">
        <f t="shared" si="150"/>
        <v>Matrix metalloproteinase-9</v>
      </c>
      <c r="G799" s="4" t="str">
        <f t="shared" si="146"/>
        <v>ONO4817</v>
      </c>
      <c r="H799" s="3" t="str">
        <f>HYPERLINK("https://www.cortellis.com/drugdiscovery/entity/biomarkers/59959","13-protein Crohn's disease panel")</f>
        <v>13-protein Crohn's disease panel</v>
      </c>
      <c r="I799" s="2" t="s">
        <v>24</v>
      </c>
      <c r="J799" s="2" t="s">
        <v>17</v>
      </c>
      <c r="K799" s="4" t="str">
        <f>HYPERLINK("https://www.cortellis.com/drugdiscovery/result/proxy/related-content/biomarkers/genestargets/59959","interleukin 7; matrix metallopeptidase 2; matrix metallopeptidase 9")</f>
        <v>interleukin 7; matrix metallopeptidase 2; matrix metallopeptidase 9</v>
      </c>
    </row>
    <row r="800" spans="1:11" ht="60" customHeight="1" x14ac:dyDescent="0.2">
      <c r="A800" s="2">
        <v>797</v>
      </c>
      <c r="B800" s="3" t="str">
        <f t="shared" si="147"/>
        <v>MMP-9</v>
      </c>
      <c r="C800" s="3" t="str">
        <f t="shared" si="148"/>
        <v>MMP9</v>
      </c>
      <c r="D800" s="3" t="str">
        <f t="shared" si="149"/>
        <v>MMP9_HUMAN</v>
      </c>
      <c r="E800" s="2" t="s">
        <v>55</v>
      </c>
      <c r="F800" s="3" t="str">
        <f t="shared" si="150"/>
        <v>Matrix metalloproteinase-9</v>
      </c>
      <c r="G800" s="4" t="str">
        <f t="shared" si="146"/>
        <v>ONO4817</v>
      </c>
      <c r="H800" s="3" t="str">
        <f>HYPERLINK("https://www.cortellis.com/drugdiscovery/entity/biomarkers/59979","10-protein bladder cancer panel")</f>
        <v>10-protein bladder cancer panel</v>
      </c>
      <c r="I800" s="2" t="s">
        <v>23</v>
      </c>
      <c r="J800" s="2" t="s">
        <v>17</v>
      </c>
      <c r="K800" s="4" t="str">
        <f>HYPERLINK("https://www.cortellis.com/drugdiscovery/result/proxy/related-content/biomarkers/genestargets/59979","matrix metallopeptidase 9")</f>
        <v>matrix metallopeptidase 9</v>
      </c>
    </row>
    <row r="801" spans="1:11" ht="60" customHeight="1" x14ac:dyDescent="0.2">
      <c r="A801" s="2">
        <v>798</v>
      </c>
      <c r="B801" s="3" t="str">
        <f t="shared" si="147"/>
        <v>MMP-9</v>
      </c>
      <c r="C801" s="3" t="str">
        <f t="shared" si="148"/>
        <v>MMP9</v>
      </c>
      <c r="D801" s="3" t="str">
        <f t="shared" si="149"/>
        <v>MMP9_HUMAN</v>
      </c>
      <c r="E801" s="2" t="s">
        <v>55</v>
      </c>
      <c r="F801" s="3" t="str">
        <f t="shared" si="150"/>
        <v>Matrix metalloproteinase-9</v>
      </c>
      <c r="G801" s="4" t="str">
        <f t="shared" ref="G801:G830" si="151">HYPERLINK("https://portal.genego.com/cgi/entity_page.cgi?term=7&amp;id=1046735388","S-3304")</f>
        <v>S-3304</v>
      </c>
      <c r="H801" s="3" t="str">
        <f>HYPERLINK("https://www.cortellis.com/drugdiscovery/entity/biomarkers/65","MammaPrint")</f>
        <v>MammaPrint</v>
      </c>
      <c r="I801" s="2" t="s">
        <v>58</v>
      </c>
      <c r="J801" s="2" t="s">
        <v>19</v>
      </c>
      <c r="K801" s="4" t="str">
        <f>HYPERLINK("https://www.cortellis.com/drugdiscovery/result/proxy/related-content/biomarkers/genestargets/65","matrix metallopeptidase 9")</f>
        <v>matrix metallopeptidase 9</v>
      </c>
    </row>
    <row r="802" spans="1:11" ht="60" customHeight="1" x14ac:dyDescent="0.2">
      <c r="A802" s="2">
        <v>799</v>
      </c>
      <c r="B802" s="3" t="str">
        <f t="shared" si="147"/>
        <v>MMP-9</v>
      </c>
      <c r="C802" s="3" t="str">
        <f t="shared" si="148"/>
        <v>MMP9</v>
      </c>
      <c r="D802" s="3" t="str">
        <f t="shared" si="149"/>
        <v>MMP9_HUMAN</v>
      </c>
      <c r="E802" s="2" t="s">
        <v>55</v>
      </c>
      <c r="F802" s="3" t="str">
        <f t="shared" si="150"/>
        <v>Matrix metalloproteinase-9</v>
      </c>
      <c r="G802" s="4" t="str">
        <f t="shared" si="151"/>
        <v>S-3304</v>
      </c>
      <c r="H802" s="3" t="str">
        <f>HYPERLINK("https://www.cortellis.com/drugdiscovery/entity/biomarkers/173","Matrix metalloproteinase-9")</f>
        <v>Matrix metalloproteinase-9</v>
      </c>
      <c r="I802" s="2" t="s">
        <v>31</v>
      </c>
      <c r="J802" s="2" t="s">
        <v>15</v>
      </c>
      <c r="K802" s="4" t="str">
        <f>HYPERLINK("https://www.cortellis.com/drugdiscovery/result/proxy/related-content/biomarkers/genestargets/173","matrix metallopeptidase 9")</f>
        <v>matrix metallopeptidase 9</v>
      </c>
    </row>
    <row r="803" spans="1:11" ht="60" customHeight="1" x14ac:dyDescent="0.2">
      <c r="A803" s="2">
        <v>800</v>
      </c>
      <c r="B803" s="3" t="str">
        <f t="shared" si="147"/>
        <v>MMP-9</v>
      </c>
      <c r="C803" s="3" t="str">
        <f t="shared" si="148"/>
        <v>MMP9</v>
      </c>
      <c r="D803" s="3" t="str">
        <f t="shared" si="149"/>
        <v>MMP9_HUMAN</v>
      </c>
      <c r="E803" s="2" t="s">
        <v>55</v>
      </c>
      <c r="F803" s="3" t="str">
        <f t="shared" si="150"/>
        <v>Matrix metalloproteinase-9</v>
      </c>
      <c r="G803" s="4" t="str">
        <f t="shared" si="151"/>
        <v>S-3304</v>
      </c>
      <c r="H803" s="3" t="str">
        <f>HYPERLINK("https://www.cortellis.com/drugdiscovery/entity/biomarkers/26294","160-gene expression liver cancer panel")</f>
        <v>160-gene expression liver cancer panel</v>
      </c>
      <c r="I803" s="2" t="s">
        <v>25</v>
      </c>
      <c r="J803" s="2" t="s">
        <v>19</v>
      </c>
      <c r="K803" s="4" t="str">
        <f>HYPERLINK("https://www.cortellis.com/drugdiscovery/result/proxy/related-content/biomarkers/genestargets/26294","matrix metallopeptidase 9")</f>
        <v>matrix metallopeptidase 9</v>
      </c>
    </row>
    <row r="804" spans="1:11" ht="60" customHeight="1" x14ac:dyDescent="0.2">
      <c r="A804" s="2">
        <v>801</v>
      </c>
      <c r="B804" s="3" t="str">
        <f t="shared" si="147"/>
        <v>MMP-9</v>
      </c>
      <c r="C804" s="3" t="str">
        <f t="shared" si="148"/>
        <v>MMP9</v>
      </c>
      <c r="D804" s="3" t="str">
        <f t="shared" si="149"/>
        <v>MMP9_HUMAN</v>
      </c>
      <c r="E804" s="2" t="s">
        <v>55</v>
      </c>
      <c r="F804" s="3" t="str">
        <f t="shared" si="150"/>
        <v>Matrix metalloproteinase-9</v>
      </c>
      <c r="G804" s="4" t="str">
        <f t="shared" si="151"/>
        <v>S-3304</v>
      </c>
      <c r="H804" s="3" t="str">
        <f>HYPERLINK("https://www.cortellis.com/drugdiscovery/entity/biomarkers/27598","89-protein neurological alzheimer's panel")</f>
        <v>89-protein neurological alzheimer's panel</v>
      </c>
      <c r="I804" s="2" t="s">
        <v>23</v>
      </c>
      <c r="J804" s="2" t="s">
        <v>17</v>
      </c>
      <c r="K80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805" spans="1:11" ht="60" customHeight="1" x14ac:dyDescent="0.2">
      <c r="A805" s="2">
        <v>802</v>
      </c>
      <c r="B805" s="3" t="str">
        <f t="shared" si="147"/>
        <v>MMP-9</v>
      </c>
      <c r="C805" s="3" t="str">
        <f t="shared" si="148"/>
        <v>MMP9</v>
      </c>
      <c r="D805" s="3" t="str">
        <f t="shared" si="149"/>
        <v>MMP9_HUMAN</v>
      </c>
      <c r="E805" s="2" t="s">
        <v>55</v>
      </c>
      <c r="F805" s="3" t="str">
        <f t="shared" si="150"/>
        <v>Matrix metalloproteinase-9</v>
      </c>
      <c r="G805" s="4" t="str">
        <f t="shared" si="151"/>
        <v>S-3304</v>
      </c>
      <c r="H805" s="3" t="str">
        <f>HYPERLINK("https://www.cortellis.com/drugdiscovery/entity/biomarkers/27613","9-gene expression ischemic stroke panel")</f>
        <v>9-gene expression ischemic stroke panel</v>
      </c>
      <c r="I805" s="2" t="s">
        <v>23</v>
      </c>
      <c r="J805" s="2" t="s">
        <v>19</v>
      </c>
      <c r="K805" s="4" t="str">
        <f>HYPERLINK("https://www.cortellis.com/drugdiscovery/result/proxy/related-content/biomarkers/genestargets/27613","matrix metallopeptidase 9")</f>
        <v>matrix metallopeptidase 9</v>
      </c>
    </row>
    <row r="806" spans="1:11" ht="60" customHeight="1" x14ac:dyDescent="0.2">
      <c r="A806" s="2">
        <v>803</v>
      </c>
      <c r="B806" s="3" t="str">
        <f t="shared" si="147"/>
        <v>MMP-9</v>
      </c>
      <c r="C806" s="3" t="str">
        <f t="shared" si="148"/>
        <v>MMP9</v>
      </c>
      <c r="D806" s="3" t="str">
        <f t="shared" si="149"/>
        <v>MMP9_HUMAN</v>
      </c>
      <c r="E806" s="2" t="s">
        <v>55</v>
      </c>
      <c r="F806" s="3" t="str">
        <f t="shared" si="150"/>
        <v>Matrix metalloproteinase-9</v>
      </c>
      <c r="G806" s="4" t="str">
        <f t="shared" si="151"/>
        <v>S-3304</v>
      </c>
      <c r="H806" s="3" t="str">
        <f>HYPERLINK("https://www.cortellis.com/drugdiscovery/entity/biomarkers/28479","24-gene expression breast cancer panel")</f>
        <v>24-gene expression breast cancer panel</v>
      </c>
      <c r="I806" s="2" t="s">
        <v>18</v>
      </c>
      <c r="J806" s="2" t="s">
        <v>19</v>
      </c>
      <c r="K806" s="4" t="str">
        <f>HYPERLINK("https://www.cortellis.com/drugdiscovery/result/proxy/related-content/biomarkers/genestargets/28479","matrix metallopeptidase 9")</f>
        <v>matrix metallopeptidase 9</v>
      </c>
    </row>
    <row r="807" spans="1:11" ht="60" customHeight="1" x14ac:dyDescent="0.2">
      <c r="A807" s="2">
        <v>804</v>
      </c>
      <c r="B807" s="3" t="str">
        <f t="shared" si="147"/>
        <v>MMP-9</v>
      </c>
      <c r="C807" s="3" t="str">
        <f t="shared" si="148"/>
        <v>MMP9</v>
      </c>
      <c r="D807" s="3" t="str">
        <f t="shared" si="149"/>
        <v>MMP9_HUMAN</v>
      </c>
      <c r="E807" s="2" t="s">
        <v>55</v>
      </c>
      <c r="F807" s="3" t="str">
        <f t="shared" si="150"/>
        <v>Matrix metalloproteinase-9</v>
      </c>
      <c r="G807" s="4" t="str">
        <f t="shared" si="151"/>
        <v>S-3304</v>
      </c>
      <c r="H807" s="3" t="str">
        <f>HYPERLINK("https://www.cortellis.com/drugdiscovery/entity/biomarkers/34465","10-protein 1-biochemical alzheimer's panel")</f>
        <v>10-protein 1-biochemical alzheimer's panel</v>
      </c>
      <c r="I807" s="2" t="s">
        <v>23</v>
      </c>
      <c r="J807" s="2" t="s">
        <v>59</v>
      </c>
      <c r="K807" s="4" t="str">
        <f>HYPERLINK("https://www.cortellis.com/drugdiscovery/result/proxy/related-content/biomarkers/genestargets/34465","matrix metallopeptidase 9")</f>
        <v>matrix metallopeptidase 9</v>
      </c>
    </row>
    <row r="808" spans="1:11" ht="60" customHeight="1" x14ac:dyDescent="0.2">
      <c r="A808" s="2">
        <v>805</v>
      </c>
      <c r="B808" s="3" t="str">
        <f t="shared" si="147"/>
        <v>MMP-9</v>
      </c>
      <c r="C808" s="3" t="str">
        <f t="shared" si="148"/>
        <v>MMP9</v>
      </c>
      <c r="D808" s="3" t="str">
        <f t="shared" si="149"/>
        <v>MMP9_HUMAN</v>
      </c>
      <c r="E808" s="2" t="s">
        <v>55</v>
      </c>
      <c r="F808" s="3" t="str">
        <f t="shared" si="150"/>
        <v>Matrix metalloproteinase-9</v>
      </c>
      <c r="G808" s="4" t="str">
        <f t="shared" si="151"/>
        <v>S-3304</v>
      </c>
      <c r="H808" s="3" t="str">
        <f>HYPERLINK("https://www.cortellis.com/drugdiscovery/entity/biomarkers/39788","Epithelial-mesenchymal transition gene signature")</f>
        <v>Epithelial-mesenchymal transition gene signature</v>
      </c>
      <c r="I808" s="2" t="s">
        <v>18</v>
      </c>
      <c r="J808" s="2" t="s">
        <v>19</v>
      </c>
      <c r="K808" s="4" t="str">
        <f>HYPERLINK("https://www.cortellis.com/drugdiscovery/result/proxy/related-content/biomarkers/genestargets/39788","C-C motif chemokine ligand 2; matrix metallopeptidase 9")</f>
        <v>C-C motif chemokine ligand 2; matrix metallopeptidase 9</v>
      </c>
    </row>
    <row r="809" spans="1:11" ht="60" customHeight="1" x14ac:dyDescent="0.2">
      <c r="A809" s="2">
        <v>806</v>
      </c>
      <c r="B809" s="3" t="str">
        <f t="shared" si="147"/>
        <v>MMP-9</v>
      </c>
      <c r="C809" s="3" t="str">
        <f t="shared" si="148"/>
        <v>MMP9</v>
      </c>
      <c r="D809" s="3" t="str">
        <f t="shared" si="149"/>
        <v>MMP9_HUMAN</v>
      </c>
      <c r="E809" s="2" t="s">
        <v>55</v>
      </c>
      <c r="F809" s="3" t="str">
        <f t="shared" si="150"/>
        <v>Matrix metalloproteinase-9</v>
      </c>
      <c r="G809" s="4" t="str">
        <f t="shared" si="151"/>
        <v>S-3304</v>
      </c>
      <c r="H809" s="3" t="str">
        <f>HYPERLINK("https://www.cortellis.com/drugdiscovery/entity/biomarkers/41350","10-protein liver cancer panel")</f>
        <v>10-protein liver cancer panel</v>
      </c>
      <c r="I809" s="2" t="s">
        <v>52</v>
      </c>
      <c r="J809" s="2" t="s">
        <v>17</v>
      </c>
      <c r="K809" s="4" t="str">
        <f>HYPERLINK("https://www.cortellis.com/drugdiscovery/result/proxy/related-content/biomarkers/genestargets/41350","matrix metallopeptidase 9")</f>
        <v>matrix metallopeptidase 9</v>
      </c>
    </row>
    <row r="810" spans="1:11" ht="60" customHeight="1" x14ac:dyDescent="0.2">
      <c r="A810" s="2">
        <v>807</v>
      </c>
      <c r="B810" s="3" t="str">
        <f t="shared" si="147"/>
        <v>MMP-9</v>
      </c>
      <c r="C810" s="3" t="str">
        <f t="shared" si="148"/>
        <v>MMP9</v>
      </c>
      <c r="D810" s="3" t="str">
        <f t="shared" si="149"/>
        <v>MMP9_HUMAN</v>
      </c>
      <c r="E810" s="2" t="s">
        <v>55</v>
      </c>
      <c r="F810" s="3" t="str">
        <f t="shared" si="150"/>
        <v>Matrix metalloproteinase-9</v>
      </c>
      <c r="G810" s="4" t="str">
        <f t="shared" si="151"/>
        <v>S-3304</v>
      </c>
      <c r="H810" s="3" t="str">
        <f>HYPERLINK("https://www.cortellis.com/drugdiscovery/entity/biomarkers/41936","5-gene expression breast cancer panel")</f>
        <v>5-gene expression breast cancer panel</v>
      </c>
      <c r="I810" s="2" t="s">
        <v>60</v>
      </c>
      <c r="J810" s="2" t="s">
        <v>19</v>
      </c>
      <c r="K810" s="4" t="str">
        <f>HYPERLINK("https://www.cortellis.com/drugdiscovery/result/proxy/related-content/biomarkers/genestargets/41936","matrix metallopeptidase 9")</f>
        <v>matrix metallopeptidase 9</v>
      </c>
    </row>
    <row r="811" spans="1:11" ht="60" customHeight="1" x14ac:dyDescent="0.2">
      <c r="A811" s="2">
        <v>808</v>
      </c>
      <c r="B811" s="3" t="str">
        <f t="shared" si="147"/>
        <v>MMP-9</v>
      </c>
      <c r="C811" s="3" t="str">
        <f t="shared" si="148"/>
        <v>MMP9</v>
      </c>
      <c r="D811" s="3" t="str">
        <f t="shared" si="149"/>
        <v>MMP9_HUMAN</v>
      </c>
      <c r="E811" s="2" t="s">
        <v>55</v>
      </c>
      <c r="F811" s="3" t="str">
        <f t="shared" si="150"/>
        <v>Matrix metalloproteinase-9</v>
      </c>
      <c r="G811" s="4" t="str">
        <f t="shared" si="151"/>
        <v>S-3304</v>
      </c>
      <c r="H811" s="3" t="str">
        <f>HYPERLINK("https://www.cortellis.com/drugdiscovery/entity/biomarkers/43380","7-protein bladder cancer panel")</f>
        <v>7-protein bladder cancer panel</v>
      </c>
      <c r="I811" s="2" t="s">
        <v>23</v>
      </c>
      <c r="J811" s="2" t="s">
        <v>15</v>
      </c>
      <c r="K811" s="4" t="str">
        <f>HYPERLINK("https://www.cortellis.com/drugdiscovery/result/proxy/related-content/biomarkers/genestargets/43380","matrix metallopeptidase 9")</f>
        <v>matrix metallopeptidase 9</v>
      </c>
    </row>
    <row r="812" spans="1:11" ht="60" customHeight="1" x14ac:dyDescent="0.2">
      <c r="A812" s="2">
        <v>809</v>
      </c>
      <c r="B812" s="3" t="str">
        <f t="shared" si="147"/>
        <v>MMP-9</v>
      </c>
      <c r="C812" s="3" t="str">
        <f t="shared" si="148"/>
        <v>MMP9</v>
      </c>
      <c r="D812" s="3" t="str">
        <f t="shared" si="149"/>
        <v>MMP9_HUMAN</v>
      </c>
      <c r="E812" s="2" t="s">
        <v>55</v>
      </c>
      <c r="F812" s="3" t="str">
        <f t="shared" si="150"/>
        <v>Matrix metalloproteinase-9</v>
      </c>
      <c r="G812" s="4" t="str">
        <f t="shared" si="151"/>
        <v>S-3304</v>
      </c>
      <c r="H812" s="3" t="str">
        <f>HYPERLINK("https://www.cortellis.com/drugdiscovery/entity/biomarkers/43382","3-protein bladder cancer panel")</f>
        <v>3-protein bladder cancer panel</v>
      </c>
      <c r="I812" s="2" t="s">
        <v>23</v>
      </c>
      <c r="J812" s="2" t="s">
        <v>17</v>
      </c>
      <c r="K812" s="4" t="str">
        <f>HYPERLINK("https://www.cortellis.com/drugdiscovery/result/proxy/related-content/biomarkers/genestargets/43382","matrix metallopeptidase 9")</f>
        <v>matrix metallopeptidase 9</v>
      </c>
    </row>
    <row r="813" spans="1:11" ht="60" customHeight="1" x14ac:dyDescent="0.2">
      <c r="A813" s="2">
        <v>810</v>
      </c>
      <c r="B813" s="3" t="str">
        <f t="shared" si="147"/>
        <v>MMP-9</v>
      </c>
      <c r="C813" s="3" t="str">
        <f t="shared" si="148"/>
        <v>MMP9</v>
      </c>
      <c r="D813" s="3" t="str">
        <f t="shared" si="149"/>
        <v>MMP9_HUMAN</v>
      </c>
      <c r="E813" s="2" t="s">
        <v>55</v>
      </c>
      <c r="F813" s="3" t="str">
        <f t="shared" si="150"/>
        <v>Matrix metalloproteinase-9</v>
      </c>
      <c r="G813" s="4" t="str">
        <f t="shared" si="151"/>
        <v>S-3304</v>
      </c>
      <c r="H813" s="3" t="str">
        <f>HYPERLINK("https://www.cortellis.com/drugdiscovery/entity/biomarkers/43994","4-gene expression adenomatous polyps panel")</f>
        <v>4-gene expression adenomatous polyps panel</v>
      </c>
      <c r="I813" s="2" t="s">
        <v>23</v>
      </c>
      <c r="J813" s="2" t="s">
        <v>19</v>
      </c>
      <c r="K813" s="4" t="str">
        <f>HYPERLINK("https://www.cortellis.com/drugdiscovery/result/proxy/related-content/biomarkers/genestargets/43994","matrix metallopeptidase 9")</f>
        <v>matrix metallopeptidase 9</v>
      </c>
    </row>
    <row r="814" spans="1:11" ht="60" customHeight="1" x14ac:dyDescent="0.2">
      <c r="A814" s="2">
        <v>811</v>
      </c>
      <c r="B814" s="3" t="str">
        <f t="shared" si="147"/>
        <v>MMP-9</v>
      </c>
      <c r="C814" s="3" t="str">
        <f t="shared" si="148"/>
        <v>MMP9</v>
      </c>
      <c r="D814" s="3" t="str">
        <f t="shared" si="149"/>
        <v>MMP9_HUMAN</v>
      </c>
      <c r="E814" s="2" t="s">
        <v>55</v>
      </c>
      <c r="F814" s="3" t="str">
        <f t="shared" si="150"/>
        <v>Matrix metalloproteinase-9</v>
      </c>
      <c r="G814" s="4" t="str">
        <f t="shared" si="151"/>
        <v>S-3304</v>
      </c>
      <c r="H814" s="3" t="str">
        <f>HYPERLINK("https://www.cortellis.com/drugdiscovery/entity/biomarkers/43995","8-gene expression colorectal cancer panel")</f>
        <v>8-gene expression colorectal cancer panel</v>
      </c>
      <c r="I814" s="2" t="s">
        <v>23</v>
      </c>
      <c r="J814" s="2" t="s">
        <v>19</v>
      </c>
      <c r="K814" s="4" t="str">
        <f>HYPERLINK("https://www.cortellis.com/drugdiscovery/result/proxy/related-content/biomarkers/genestargets/43995","matrix metallopeptidase 9")</f>
        <v>matrix metallopeptidase 9</v>
      </c>
    </row>
    <row r="815" spans="1:11" ht="60" customHeight="1" x14ac:dyDescent="0.2">
      <c r="A815" s="2">
        <v>812</v>
      </c>
      <c r="B815" s="3" t="str">
        <f t="shared" si="147"/>
        <v>MMP-9</v>
      </c>
      <c r="C815" s="3" t="str">
        <f t="shared" si="148"/>
        <v>MMP9</v>
      </c>
      <c r="D815" s="3" t="str">
        <f t="shared" si="149"/>
        <v>MMP9_HUMAN</v>
      </c>
      <c r="E815" s="2" t="s">
        <v>55</v>
      </c>
      <c r="F815" s="3" t="str">
        <f t="shared" si="150"/>
        <v>Matrix metalloproteinase-9</v>
      </c>
      <c r="G815" s="4" t="str">
        <f t="shared" si="151"/>
        <v>S-3304</v>
      </c>
      <c r="H815" s="3" t="str">
        <f>HYPERLINK("https://www.cortellis.com/drugdiscovery/entity/biomarkers/45762","37-protein metastatic colon cancer panel")</f>
        <v>37-protein metastatic colon cancer panel</v>
      </c>
      <c r="I815" s="2" t="s">
        <v>20</v>
      </c>
      <c r="J815" s="2" t="s">
        <v>17</v>
      </c>
      <c r="K815" s="4" t="str">
        <f>HYPERLINK("https://www.cortellis.com/drugdiscovery/result/proxy/related-content/biomarkers/genestargets/45762","matrix metallopeptidase 2; matrix metallopeptidase 9")</f>
        <v>matrix metallopeptidase 2; matrix metallopeptidase 9</v>
      </c>
    </row>
    <row r="816" spans="1:11" ht="60" customHeight="1" x14ac:dyDescent="0.2">
      <c r="A816" s="2">
        <v>813</v>
      </c>
      <c r="B816" s="3" t="str">
        <f t="shared" si="147"/>
        <v>MMP-9</v>
      </c>
      <c r="C816" s="3" t="str">
        <f t="shared" si="148"/>
        <v>MMP9</v>
      </c>
      <c r="D816" s="3" t="str">
        <f t="shared" si="149"/>
        <v>MMP9_HUMAN</v>
      </c>
      <c r="E816" s="2" t="s">
        <v>55</v>
      </c>
      <c r="F816" s="3" t="str">
        <f t="shared" si="150"/>
        <v>Matrix metalloproteinase-9</v>
      </c>
      <c r="G816" s="4" t="str">
        <f t="shared" si="151"/>
        <v>S-3304</v>
      </c>
      <c r="H816" s="3" t="str">
        <f>HYPERLINK("https://www.cortellis.com/drugdiscovery/entity/biomarkers/48821","10-gene expression clear cell renal cell cancer panel")</f>
        <v>10-gene expression clear cell renal cell cancer panel</v>
      </c>
      <c r="I816" s="2" t="s">
        <v>18</v>
      </c>
      <c r="J816" s="2" t="s">
        <v>19</v>
      </c>
      <c r="K816" s="4" t="str">
        <f>HYPERLINK("https://www.cortellis.com/drugdiscovery/result/proxy/related-content/biomarkers/genestargets/48821","matrix metallopeptidase 9")</f>
        <v>matrix metallopeptidase 9</v>
      </c>
    </row>
    <row r="817" spans="1:11" ht="60" customHeight="1" x14ac:dyDescent="0.2">
      <c r="A817" s="2">
        <v>814</v>
      </c>
      <c r="B817" s="3" t="str">
        <f t="shared" si="147"/>
        <v>MMP-9</v>
      </c>
      <c r="C817" s="3" t="str">
        <f t="shared" si="148"/>
        <v>MMP9</v>
      </c>
      <c r="D817" s="3" t="str">
        <f t="shared" si="149"/>
        <v>MMP9_HUMAN</v>
      </c>
      <c r="E817" s="2" t="s">
        <v>55</v>
      </c>
      <c r="F817" s="3" t="str">
        <f t="shared" si="150"/>
        <v>Matrix metalloproteinase-9</v>
      </c>
      <c r="G817" s="4" t="str">
        <f t="shared" si="151"/>
        <v>S-3304</v>
      </c>
      <c r="H817" s="3" t="str">
        <f>HYPERLINK("https://www.cortellis.com/drugdiscovery/entity/biomarkers/49523","3-protein diffuse B cell lymphoma  panel")</f>
        <v>3-protein diffuse B cell lymphoma  panel</v>
      </c>
      <c r="I817" s="2" t="s">
        <v>23</v>
      </c>
      <c r="J817" s="2" t="s">
        <v>17</v>
      </c>
      <c r="K817" s="4" t="str">
        <f>HYPERLINK("https://www.cortellis.com/drugdiscovery/result/proxy/related-content/biomarkers/genestargets/49523","matrix metallopeptidase 9")</f>
        <v>matrix metallopeptidase 9</v>
      </c>
    </row>
    <row r="818" spans="1:11" ht="60" customHeight="1" x14ac:dyDescent="0.2">
      <c r="A818" s="2">
        <v>815</v>
      </c>
      <c r="B818" s="3" t="str">
        <f t="shared" si="147"/>
        <v>MMP-9</v>
      </c>
      <c r="C818" s="3" t="str">
        <f t="shared" si="148"/>
        <v>MMP9</v>
      </c>
      <c r="D818" s="3" t="str">
        <f t="shared" si="149"/>
        <v>MMP9_HUMAN</v>
      </c>
      <c r="E818" s="2" t="s">
        <v>55</v>
      </c>
      <c r="F818" s="3" t="str">
        <f t="shared" si="150"/>
        <v>Matrix metalloproteinase-9</v>
      </c>
      <c r="G818" s="4" t="str">
        <f t="shared" si="151"/>
        <v>S-3304</v>
      </c>
      <c r="H818" s="3" t="str">
        <f>HYPERLINK("https://www.cortellis.com/drugdiscovery/entity/biomarkers/49848","29-gene expression colorectal cancer panel")</f>
        <v>29-gene expression colorectal cancer panel</v>
      </c>
      <c r="I818" s="2" t="s">
        <v>23</v>
      </c>
      <c r="J818" s="2" t="s">
        <v>19</v>
      </c>
      <c r="K818" s="4" t="str">
        <f>HYPERLINK("https://www.cortellis.com/drugdiscovery/result/proxy/related-content/biomarkers/genestargets/49848","matrix metallopeptidase 9")</f>
        <v>matrix metallopeptidase 9</v>
      </c>
    </row>
    <row r="819" spans="1:11" ht="60" customHeight="1" x14ac:dyDescent="0.2">
      <c r="A819" s="2">
        <v>816</v>
      </c>
      <c r="B819" s="3" t="str">
        <f t="shared" si="147"/>
        <v>MMP-9</v>
      </c>
      <c r="C819" s="3" t="str">
        <f t="shared" si="148"/>
        <v>MMP9</v>
      </c>
      <c r="D819" s="3" t="str">
        <f t="shared" si="149"/>
        <v>MMP9_HUMAN</v>
      </c>
      <c r="E819" s="2" t="s">
        <v>55</v>
      </c>
      <c r="F819" s="3" t="str">
        <f t="shared" si="150"/>
        <v>Matrix metalloproteinase-9</v>
      </c>
      <c r="G819" s="4" t="str">
        <f t="shared" si="151"/>
        <v>S-3304</v>
      </c>
      <c r="H819" s="3" t="str">
        <f>HYPERLINK("https://www.cortellis.com/drugdiscovery/entity/biomarkers/50282","10-protein bladder cancer panel")</f>
        <v>10-protein bladder cancer panel</v>
      </c>
      <c r="I819" s="2" t="s">
        <v>52</v>
      </c>
      <c r="J819" s="2" t="s">
        <v>17</v>
      </c>
      <c r="K819" s="4" t="str">
        <f>HYPERLINK("https://www.cortellis.com/drugdiscovery/result/proxy/related-content/biomarkers/genestargets/50282","matrix metallopeptidase 9")</f>
        <v>matrix metallopeptidase 9</v>
      </c>
    </row>
    <row r="820" spans="1:11" ht="60" customHeight="1" x14ac:dyDescent="0.2">
      <c r="A820" s="2">
        <v>817</v>
      </c>
      <c r="B820" s="3" t="str">
        <f t="shared" si="147"/>
        <v>MMP-9</v>
      </c>
      <c r="C820" s="3" t="str">
        <f t="shared" si="148"/>
        <v>MMP9</v>
      </c>
      <c r="D820" s="3" t="str">
        <f t="shared" si="149"/>
        <v>MMP9_HUMAN</v>
      </c>
      <c r="E820" s="2" t="s">
        <v>55</v>
      </c>
      <c r="F820" s="3" t="str">
        <f t="shared" si="150"/>
        <v>Matrix metalloproteinase-9</v>
      </c>
      <c r="G820" s="4" t="str">
        <f t="shared" si="151"/>
        <v>S-3304</v>
      </c>
      <c r="H820" s="3" t="str">
        <f>HYPERLINK("https://www.cortellis.com/drugdiscovery/entity/biomarkers/50774","9-protein Kawasaki's disease panel")</f>
        <v>9-protein Kawasaki's disease panel</v>
      </c>
      <c r="I820" s="2" t="s">
        <v>23</v>
      </c>
      <c r="J820" s="2" t="s">
        <v>17</v>
      </c>
      <c r="K820" s="4" t="str">
        <f>HYPERLINK("https://www.cortellis.com/drugdiscovery/result/proxy/related-content/biomarkers/genestargets/50774","matrix metallopeptidase 9; solute carrier family 11 member 1")</f>
        <v>matrix metallopeptidase 9; solute carrier family 11 member 1</v>
      </c>
    </row>
    <row r="821" spans="1:11" ht="60" customHeight="1" x14ac:dyDescent="0.2">
      <c r="A821" s="2">
        <v>818</v>
      </c>
      <c r="B821" s="3" t="str">
        <f t="shared" si="147"/>
        <v>MMP-9</v>
      </c>
      <c r="C821" s="3" t="str">
        <f t="shared" si="148"/>
        <v>MMP9</v>
      </c>
      <c r="D821" s="3" t="str">
        <f t="shared" si="149"/>
        <v>MMP9_HUMAN</v>
      </c>
      <c r="E821" s="2" t="s">
        <v>55</v>
      </c>
      <c r="F821" s="3" t="str">
        <f t="shared" si="150"/>
        <v>Matrix metalloproteinase-9</v>
      </c>
      <c r="G821" s="4" t="str">
        <f t="shared" si="151"/>
        <v>S-3304</v>
      </c>
      <c r="H821" s="3" t="str">
        <f>HYPERLINK("https://www.cortellis.com/drugdiscovery/entity/biomarkers/50815","4-protein serous ovarian cancer panel")</f>
        <v>4-protein serous ovarian cancer panel</v>
      </c>
      <c r="I821" s="2" t="s">
        <v>23</v>
      </c>
      <c r="J821" s="2" t="s">
        <v>17</v>
      </c>
      <c r="K821" s="4" t="str">
        <f>HYPERLINK("https://www.cortellis.com/drugdiscovery/result/proxy/related-content/biomarkers/genestargets/50815","matrix metallopeptidase 9")</f>
        <v>matrix metallopeptidase 9</v>
      </c>
    </row>
    <row r="822" spans="1:11" ht="60" customHeight="1" x14ac:dyDescent="0.2">
      <c r="A822" s="2">
        <v>819</v>
      </c>
      <c r="B822" s="3" t="str">
        <f t="shared" si="147"/>
        <v>MMP-9</v>
      </c>
      <c r="C822" s="3" t="str">
        <f t="shared" si="148"/>
        <v>MMP9</v>
      </c>
      <c r="D822" s="3" t="str">
        <f t="shared" si="149"/>
        <v>MMP9_HUMAN</v>
      </c>
      <c r="E822" s="2" t="s">
        <v>55</v>
      </c>
      <c r="F822" s="3" t="str">
        <f t="shared" si="150"/>
        <v>Matrix metalloproteinase-9</v>
      </c>
      <c r="G822" s="4" t="str">
        <f t="shared" si="151"/>
        <v>S-3304</v>
      </c>
      <c r="H822" s="3" t="str">
        <f>HYPERLINK("https://www.cortellis.com/drugdiscovery/entity/biomarkers/51682","Multiplex biomarker panel")</f>
        <v>Multiplex biomarker panel</v>
      </c>
      <c r="I822" s="2" t="s">
        <v>23</v>
      </c>
      <c r="J822" s="2" t="s">
        <v>15</v>
      </c>
      <c r="K822" s="4" t="str">
        <f>HYPERLINK("https://www.cortellis.com/drugdiscovery/result/proxy/related-content/biomarkers/genestargets/51682","matrix metallopeptidase 2; matrix metallopeptidase 9")</f>
        <v>matrix metallopeptidase 2; matrix metallopeptidase 9</v>
      </c>
    </row>
    <row r="823" spans="1:11" ht="60" customHeight="1" x14ac:dyDescent="0.2">
      <c r="A823" s="2">
        <v>820</v>
      </c>
      <c r="B823" s="3" t="str">
        <f t="shared" si="147"/>
        <v>MMP-9</v>
      </c>
      <c r="C823" s="3" t="str">
        <f t="shared" si="148"/>
        <v>MMP9</v>
      </c>
      <c r="D823" s="3" t="str">
        <f t="shared" si="149"/>
        <v>MMP9_HUMAN</v>
      </c>
      <c r="E823" s="2" t="s">
        <v>55</v>
      </c>
      <c r="F823" s="3" t="str">
        <f t="shared" si="150"/>
        <v>Matrix metalloproteinase-9</v>
      </c>
      <c r="G823" s="4" t="str">
        <f t="shared" si="151"/>
        <v>S-3304</v>
      </c>
      <c r="H823" s="3" t="str">
        <f>HYPERLINK("https://www.cortellis.com/drugdiscovery/entity/biomarkers/51857","20-protein psychiatric disorders panel")</f>
        <v>20-protein psychiatric disorders panel</v>
      </c>
      <c r="I823" s="2" t="s">
        <v>23</v>
      </c>
      <c r="J823" s="2" t="s">
        <v>17</v>
      </c>
      <c r="K823" s="4" t="str">
        <f>HYPERLINK("https://www.cortellis.com/drugdiscovery/result/proxy/related-content/biomarkers/genestargets/51857","matrix metallopeptidase 9")</f>
        <v>matrix metallopeptidase 9</v>
      </c>
    </row>
    <row r="824" spans="1:11" ht="60" customHeight="1" x14ac:dyDescent="0.2">
      <c r="A824" s="2">
        <v>821</v>
      </c>
      <c r="B824" s="3" t="str">
        <f t="shared" si="147"/>
        <v>MMP-9</v>
      </c>
      <c r="C824" s="3" t="str">
        <f t="shared" si="148"/>
        <v>MMP9</v>
      </c>
      <c r="D824" s="3" t="str">
        <f t="shared" si="149"/>
        <v>MMP9_HUMAN</v>
      </c>
      <c r="E824" s="2" t="s">
        <v>55</v>
      </c>
      <c r="F824" s="3" t="str">
        <f t="shared" si="150"/>
        <v>Matrix metalloproteinase-9</v>
      </c>
      <c r="G824" s="4" t="str">
        <f t="shared" si="151"/>
        <v>S-3304</v>
      </c>
      <c r="H824" s="3" t="str">
        <f>HYPERLINK("https://www.cortellis.com/drugdiscovery/entity/biomarkers/51943","3-protein colorectal cancer panel")</f>
        <v>3-protein colorectal cancer panel</v>
      </c>
      <c r="I824" s="2" t="s">
        <v>25</v>
      </c>
      <c r="J824" s="2" t="s">
        <v>17</v>
      </c>
      <c r="K824" s="4" t="str">
        <f>HYPERLINK("https://www.cortellis.com/drugdiscovery/result/proxy/related-content/biomarkers/genestargets/51943","matrix metallopeptidase 9")</f>
        <v>matrix metallopeptidase 9</v>
      </c>
    </row>
    <row r="825" spans="1:11" ht="60" customHeight="1" x14ac:dyDescent="0.2">
      <c r="A825" s="2">
        <v>822</v>
      </c>
      <c r="B825" s="3" t="str">
        <f t="shared" si="147"/>
        <v>MMP-9</v>
      </c>
      <c r="C825" s="3" t="str">
        <f t="shared" si="148"/>
        <v>MMP9</v>
      </c>
      <c r="D825" s="3" t="str">
        <f t="shared" si="149"/>
        <v>MMP9_HUMAN</v>
      </c>
      <c r="E825" s="2" t="s">
        <v>55</v>
      </c>
      <c r="F825" s="3" t="str">
        <f t="shared" si="150"/>
        <v>Matrix metalloproteinase-9</v>
      </c>
      <c r="G825" s="4" t="str">
        <f t="shared" si="151"/>
        <v>S-3304</v>
      </c>
      <c r="H825" s="3" t="str">
        <f>HYPERLINK("https://www.cortellis.com/drugdiscovery/entity/biomarkers/53826","10-protein bladder cancer panel")</f>
        <v>10-protein bladder cancer panel</v>
      </c>
      <c r="I825" s="2" t="s">
        <v>23</v>
      </c>
      <c r="J825" s="2" t="s">
        <v>17</v>
      </c>
      <c r="K825" s="4" t="str">
        <f>HYPERLINK("https://www.cortellis.com/drugdiscovery/result/proxy/related-content/biomarkers/genestargets/53826","matrix metallopeptidase 9")</f>
        <v>matrix metallopeptidase 9</v>
      </c>
    </row>
    <row r="826" spans="1:11" ht="60" customHeight="1" x14ac:dyDescent="0.2">
      <c r="A826" s="2">
        <v>823</v>
      </c>
      <c r="B826" s="3" t="str">
        <f t="shared" si="147"/>
        <v>MMP-9</v>
      </c>
      <c r="C826" s="3" t="str">
        <f t="shared" si="148"/>
        <v>MMP9</v>
      </c>
      <c r="D826" s="3" t="str">
        <f t="shared" si="149"/>
        <v>MMP9_HUMAN</v>
      </c>
      <c r="E826" s="2" t="s">
        <v>55</v>
      </c>
      <c r="F826" s="3" t="str">
        <f t="shared" si="150"/>
        <v>Matrix metalloproteinase-9</v>
      </c>
      <c r="G826" s="4" t="str">
        <f t="shared" si="151"/>
        <v>S-3304</v>
      </c>
      <c r="H826" s="3" t="str">
        <f>HYPERLINK("https://www.cortellis.com/drugdiscovery/entity/biomarkers/54509","5-protein hepatotoxicty panel")</f>
        <v>5-protein hepatotoxicty panel</v>
      </c>
      <c r="I826" s="2" t="s">
        <v>23</v>
      </c>
      <c r="J826" s="2" t="s">
        <v>17</v>
      </c>
      <c r="K826" s="4" t="str">
        <f>HYPERLINK("https://www.cortellis.com/drugdiscovery/result/proxy/related-content/biomarkers/genestargets/54509","matrix metallopeptidase 9")</f>
        <v>matrix metallopeptidase 9</v>
      </c>
    </row>
    <row r="827" spans="1:11" ht="60" customHeight="1" x14ac:dyDescent="0.2">
      <c r="A827" s="2">
        <v>824</v>
      </c>
      <c r="B827" s="3" t="str">
        <f t="shared" si="147"/>
        <v>MMP-9</v>
      </c>
      <c r="C827" s="3" t="str">
        <f t="shared" si="148"/>
        <v>MMP9</v>
      </c>
      <c r="D827" s="3" t="str">
        <f t="shared" si="149"/>
        <v>MMP9_HUMAN</v>
      </c>
      <c r="E827" s="2" t="s">
        <v>55</v>
      </c>
      <c r="F827" s="3" t="str">
        <f t="shared" si="150"/>
        <v>Matrix metalloproteinase-9</v>
      </c>
      <c r="G827" s="4" t="str">
        <f t="shared" si="151"/>
        <v>S-3304</v>
      </c>
      <c r="H827" s="3" t="str">
        <f>HYPERLINK("https://www.cortellis.com/drugdiscovery/entity/biomarkers/55657","4-protein cardiovascular disorder panel")</f>
        <v>4-protein cardiovascular disorder panel</v>
      </c>
      <c r="I827" s="2" t="s">
        <v>29</v>
      </c>
      <c r="J827" s="2" t="s">
        <v>17</v>
      </c>
      <c r="K827" s="4" t="str">
        <f>HYPERLINK("https://www.cortellis.com/drugdiscovery/result/proxy/related-content/biomarkers/genestargets/55657","matrix metallopeptidase 9")</f>
        <v>matrix metallopeptidase 9</v>
      </c>
    </row>
    <row r="828" spans="1:11" ht="60" customHeight="1" x14ac:dyDescent="0.2">
      <c r="A828" s="2">
        <v>825</v>
      </c>
      <c r="B828" s="3" t="str">
        <f t="shared" si="147"/>
        <v>MMP-9</v>
      </c>
      <c r="C828" s="3" t="str">
        <f t="shared" si="148"/>
        <v>MMP9</v>
      </c>
      <c r="D828" s="3" t="str">
        <f t="shared" si="149"/>
        <v>MMP9_HUMAN</v>
      </c>
      <c r="E828" s="2" t="s">
        <v>55</v>
      </c>
      <c r="F828" s="3" t="str">
        <f t="shared" si="150"/>
        <v>Matrix metalloproteinase-9</v>
      </c>
      <c r="G828" s="4" t="str">
        <f t="shared" si="151"/>
        <v>S-3304</v>
      </c>
      <c r="H828" s="3" t="str">
        <f>HYPERLINK("https://www.cortellis.com/drugdiscovery/entity/biomarkers/59957","10-protein obstructive pulmonary disease panel")</f>
        <v>10-protein obstructive pulmonary disease panel</v>
      </c>
      <c r="I828" s="2" t="s">
        <v>20</v>
      </c>
      <c r="J828" s="2" t="s">
        <v>17</v>
      </c>
      <c r="K828" s="4" t="str">
        <f>HYPERLINK("https://www.cortellis.com/drugdiscovery/result/proxy/related-content/biomarkers/genestargets/59957","matrix metallopeptidase 9; ribonuclease A family member 3")</f>
        <v>matrix metallopeptidase 9; ribonuclease A family member 3</v>
      </c>
    </row>
    <row r="829" spans="1:11" ht="60" customHeight="1" x14ac:dyDescent="0.2">
      <c r="A829" s="2">
        <v>826</v>
      </c>
      <c r="B829" s="3" t="str">
        <f t="shared" si="147"/>
        <v>MMP-9</v>
      </c>
      <c r="C829" s="3" t="str">
        <f t="shared" si="148"/>
        <v>MMP9</v>
      </c>
      <c r="D829" s="3" t="str">
        <f t="shared" si="149"/>
        <v>MMP9_HUMAN</v>
      </c>
      <c r="E829" s="2" t="s">
        <v>55</v>
      </c>
      <c r="F829" s="3" t="str">
        <f t="shared" si="150"/>
        <v>Matrix metalloproteinase-9</v>
      </c>
      <c r="G829" s="4" t="str">
        <f t="shared" si="151"/>
        <v>S-3304</v>
      </c>
      <c r="H829" s="3" t="str">
        <f>HYPERLINK("https://www.cortellis.com/drugdiscovery/entity/biomarkers/59959","13-protein Crohn's disease panel")</f>
        <v>13-protein Crohn's disease panel</v>
      </c>
      <c r="I829" s="2" t="s">
        <v>24</v>
      </c>
      <c r="J829" s="2" t="s">
        <v>17</v>
      </c>
      <c r="K829" s="4" t="str">
        <f>HYPERLINK("https://www.cortellis.com/drugdiscovery/result/proxy/related-content/biomarkers/genestargets/59959","interleukin 7; matrix metallopeptidase 2; matrix metallopeptidase 9")</f>
        <v>interleukin 7; matrix metallopeptidase 2; matrix metallopeptidase 9</v>
      </c>
    </row>
    <row r="830" spans="1:11" ht="60" customHeight="1" x14ac:dyDescent="0.2">
      <c r="A830" s="2">
        <v>827</v>
      </c>
      <c r="B830" s="3" t="str">
        <f t="shared" si="147"/>
        <v>MMP-9</v>
      </c>
      <c r="C830" s="3" t="str">
        <f t="shared" si="148"/>
        <v>MMP9</v>
      </c>
      <c r="D830" s="3" t="str">
        <f t="shared" si="149"/>
        <v>MMP9_HUMAN</v>
      </c>
      <c r="E830" s="2" t="s">
        <v>55</v>
      </c>
      <c r="F830" s="3" t="str">
        <f t="shared" si="150"/>
        <v>Matrix metalloproteinase-9</v>
      </c>
      <c r="G830" s="4" t="str">
        <f t="shared" si="151"/>
        <v>S-3304</v>
      </c>
      <c r="H830" s="3" t="str">
        <f>HYPERLINK("https://www.cortellis.com/drugdiscovery/entity/biomarkers/59979","10-protein bladder cancer panel")</f>
        <v>10-protein bladder cancer panel</v>
      </c>
      <c r="I830" s="2" t="s">
        <v>23</v>
      </c>
      <c r="J830" s="2" t="s">
        <v>17</v>
      </c>
      <c r="K830" s="4" t="str">
        <f>HYPERLINK("https://www.cortellis.com/drugdiscovery/result/proxy/related-content/biomarkers/genestargets/59979","matrix metallopeptidase 9")</f>
        <v>matrix metallopeptidase 9</v>
      </c>
    </row>
    <row r="831" spans="1:11" ht="60" customHeight="1" x14ac:dyDescent="0.2">
      <c r="A831" s="2">
        <v>828</v>
      </c>
      <c r="B831" s="3" t="str">
        <f t="shared" si="147"/>
        <v>MMP-9</v>
      </c>
      <c r="C831" s="3" t="str">
        <f t="shared" si="148"/>
        <v>MMP9</v>
      </c>
      <c r="D831" s="3" t="str">
        <f t="shared" si="149"/>
        <v>MMP9_HUMAN</v>
      </c>
      <c r="E831" s="2" t="s">
        <v>55</v>
      </c>
      <c r="F831" s="3" t="str">
        <f t="shared" si="150"/>
        <v>Matrix metalloproteinase-9</v>
      </c>
      <c r="G831" s="4" t="str">
        <f t="shared" ref="G831:G860" si="152">HYPERLINK("https://portal.genego.com/cgi/entity_page.cgi?term=7&amp;id=1579572486","Rebimastat")</f>
        <v>Rebimastat</v>
      </c>
      <c r="H831" s="3" t="str">
        <f>HYPERLINK("https://www.cortellis.com/drugdiscovery/entity/biomarkers/65","MammaPrint")</f>
        <v>MammaPrint</v>
      </c>
      <c r="I831" s="2" t="s">
        <v>58</v>
      </c>
      <c r="J831" s="2" t="s">
        <v>19</v>
      </c>
      <c r="K831" s="4" t="str">
        <f>HYPERLINK("https://www.cortellis.com/drugdiscovery/result/proxy/related-content/biomarkers/genestargets/65","matrix metallopeptidase 9")</f>
        <v>matrix metallopeptidase 9</v>
      </c>
    </row>
    <row r="832" spans="1:11" ht="60" customHeight="1" x14ac:dyDescent="0.2">
      <c r="A832" s="2">
        <v>829</v>
      </c>
      <c r="B832" s="3" t="str">
        <f t="shared" si="147"/>
        <v>MMP-9</v>
      </c>
      <c r="C832" s="3" t="str">
        <f t="shared" si="148"/>
        <v>MMP9</v>
      </c>
      <c r="D832" s="3" t="str">
        <f t="shared" si="149"/>
        <v>MMP9_HUMAN</v>
      </c>
      <c r="E832" s="2" t="s">
        <v>55</v>
      </c>
      <c r="F832" s="3" t="str">
        <f t="shared" si="150"/>
        <v>Matrix metalloproteinase-9</v>
      </c>
      <c r="G832" s="4" t="str">
        <f t="shared" si="152"/>
        <v>Rebimastat</v>
      </c>
      <c r="H832" s="3" t="str">
        <f>HYPERLINK("https://www.cortellis.com/drugdiscovery/entity/biomarkers/173","Matrix metalloproteinase-9")</f>
        <v>Matrix metalloproteinase-9</v>
      </c>
      <c r="I832" s="2" t="s">
        <v>31</v>
      </c>
      <c r="J832" s="2" t="s">
        <v>15</v>
      </c>
      <c r="K832" s="4" t="str">
        <f>HYPERLINK("https://www.cortellis.com/drugdiscovery/result/proxy/related-content/biomarkers/genestargets/173","matrix metallopeptidase 9")</f>
        <v>matrix metallopeptidase 9</v>
      </c>
    </row>
    <row r="833" spans="1:11" ht="60" customHeight="1" x14ac:dyDescent="0.2">
      <c r="A833" s="2">
        <v>830</v>
      </c>
      <c r="B833" s="3" t="str">
        <f t="shared" si="147"/>
        <v>MMP-9</v>
      </c>
      <c r="C833" s="3" t="str">
        <f t="shared" si="148"/>
        <v>MMP9</v>
      </c>
      <c r="D833" s="3" t="str">
        <f t="shared" si="149"/>
        <v>MMP9_HUMAN</v>
      </c>
      <c r="E833" s="2" t="s">
        <v>55</v>
      </c>
      <c r="F833" s="3" t="str">
        <f t="shared" si="150"/>
        <v>Matrix metalloproteinase-9</v>
      </c>
      <c r="G833" s="4" t="str">
        <f t="shared" si="152"/>
        <v>Rebimastat</v>
      </c>
      <c r="H833" s="3" t="str">
        <f>HYPERLINK("https://www.cortellis.com/drugdiscovery/entity/biomarkers/26294","160-gene expression liver cancer panel")</f>
        <v>160-gene expression liver cancer panel</v>
      </c>
      <c r="I833" s="2" t="s">
        <v>25</v>
      </c>
      <c r="J833" s="2" t="s">
        <v>19</v>
      </c>
      <c r="K833" s="4" t="str">
        <f>HYPERLINK("https://www.cortellis.com/drugdiscovery/result/proxy/related-content/biomarkers/genestargets/26294","matrix metallopeptidase 9")</f>
        <v>matrix metallopeptidase 9</v>
      </c>
    </row>
    <row r="834" spans="1:11" ht="60" customHeight="1" x14ac:dyDescent="0.2">
      <c r="A834" s="2">
        <v>831</v>
      </c>
      <c r="B834" s="3" t="str">
        <f t="shared" si="147"/>
        <v>MMP-9</v>
      </c>
      <c r="C834" s="3" t="str">
        <f t="shared" si="148"/>
        <v>MMP9</v>
      </c>
      <c r="D834" s="3" t="str">
        <f t="shared" si="149"/>
        <v>MMP9_HUMAN</v>
      </c>
      <c r="E834" s="2" t="s">
        <v>55</v>
      </c>
      <c r="F834" s="3" t="str">
        <f t="shared" si="150"/>
        <v>Matrix metalloproteinase-9</v>
      </c>
      <c r="G834" s="4" t="str">
        <f t="shared" si="152"/>
        <v>Rebimastat</v>
      </c>
      <c r="H834" s="3" t="str">
        <f>HYPERLINK("https://www.cortellis.com/drugdiscovery/entity/biomarkers/27598","89-protein neurological alzheimer's panel")</f>
        <v>89-protein neurological alzheimer's panel</v>
      </c>
      <c r="I834" s="2" t="s">
        <v>23</v>
      </c>
      <c r="J834" s="2" t="s">
        <v>17</v>
      </c>
      <c r="K83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835" spans="1:11" ht="60" customHeight="1" x14ac:dyDescent="0.2">
      <c r="A835" s="2">
        <v>832</v>
      </c>
      <c r="B835" s="3" t="str">
        <f t="shared" si="147"/>
        <v>MMP-9</v>
      </c>
      <c r="C835" s="3" t="str">
        <f t="shared" si="148"/>
        <v>MMP9</v>
      </c>
      <c r="D835" s="3" t="str">
        <f t="shared" si="149"/>
        <v>MMP9_HUMAN</v>
      </c>
      <c r="E835" s="2" t="s">
        <v>55</v>
      </c>
      <c r="F835" s="3" t="str">
        <f t="shared" si="150"/>
        <v>Matrix metalloproteinase-9</v>
      </c>
      <c r="G835" s="4" t="str">
        <f t="shared" si="152"/>
        <v>Rebimastat</v>
      </c>
      <c r="H835" s="3" t="str">
        <f>HYPERLINK("https://www.cortellis.com/drugdiscovery/entity/biomarkers/27613","9-gene expression ischemic stroke panel")</f>
        <v>9-gene expression ischemic stroke panel</v>
      </c>
      <c r="I835" s="2" t="s">
        <v>23</v>
      </c>
      <c r="J835" s="2" t="s">
        <v>19</v>
      </c>
      <c r="K835" s="4" t="str">
        <f>HYPERLINK("https://www.cortellis.com/drugdiscovery/result/proxy/related-content/biomarkers/genestargets/27613","matrix metallopeptidase 9")</f>
        <v>matrix metallopeptidase 9</v>
      </c>
    </row>
    <row r="836" spans="1:11" ht="60" customHeight="1" x14ac:dyDescent="0.2">
      <c r="A836" s="2">
        <v>833</v>
      </c>
      <c r="B836" s="3" t="str">
        <f t="shared" si="147"/>
        <v>MMP-9</v>
      </c>
      <c r="C836" s="3" t="str">
        <f t="shared" si="148"/>
        <v>MMP9</v>
      </c>
      <c r="D836" s="3" t="str">
        <f t="shared" si="149"/>
        <v>MMP9_HUMAN</v>
      </c>
      <c r="E836" s="2" t="s">
        <v>55</v>
      </c>
      <c r="F836" s="3" t="str">
        <f t="shared" si="150"/>
        <v>Matrix metalloproteinase-9</v>
      </c>
      <c r="G836" s="4" t="str">
        <f t="shared" si="152"/>
        <v>Rebimastat</v>
      </c>
      <c r="H836" s="3" t="str">
        <f>HYPERLINK("https://www.cortellis.com/drugdiscovery/entity/biomarkers/28479","24-gene expression breast cancer panel")</f>
        <v>24-gene expression breast cancer panel</v>
      </c>
      <c r="I836" s="2" t="s">
        <v>18</v>
      </c>
      <c r="J836" s="2" t="s">
        <v>19</v>
      </c>
      <c r="K836" s="4" t="str">
        <f>HYPERLINK("https://www.cortellis.com/drugdiscovery/result/proxy/related-content/biomarkers/genestargets/28479","matrix metallopeptidase 9")</f>
        <v>matrix metallopeptidase 9</v>
      </c>
    </row>
    <row r="837" spans="1:11" ht="60" customHeight="1" x14ac:dyDescent="0.2">
      <c r="A837" s="2">
        <v>834</v>
      </c>
      <c r="B837" s="3" t="str">
        <f t="shared" si="147"/>
        <v>MMP-9</v>
      </c>
      <c r="C837" s="3" t="str">
        <f t="shared" si="148"/>
        <v>MMP9</v>
      </c>
      <c r="D837" s="3" t="str">
        <f t="shared" si="149"/>
        <v>MMP9_HUMAN</v>
      </c>
      <c r="E837" s="2" t="s">
        <v>55</v>
      </c>
      <c r="F837" s="3" t="str">
        <f t="shared" si="150"/>
        <v>Matrix metalloproteinase-9</v>
      </c>
      <c r="G837" s="4" t="str">
        <f t="shared" si="152"/>
        <v>Rebimastat</v>
      </c>
      <c r="H837" s="3" t="str">
        <f>HYPERLINK("https://www.cortellis.com/drugdiscovery/entity/biomarkers/34465","10-protein 1-biochemical alzheimer's panel")</f>
        <v>10-protein 1-biochemical alzheimer's panel</v>
      </c>
      <c r="I837" s="2" t="s">
        <v>23</v>
      </c>
      <c r="J837" s="2" t="s">
        <v>59</v>
      </c>
      <c r="K837" s="4" t="str">
        <f>HYPERLINK("https://www.cortellis.com/drugdiscovery/result/proxy/related-content/biomarkers/genestargets/34465","matrix metallopeptidase 9")</f>
        <v>matrix metallopeptidase 9</v>
      </c>
    </row>
    <row r="838" spans="1:11" ht="60" customHeight="1" x14ac:dyDescent="0.2">
      <c r="A838" s="2">
        <v>835</v>
      </c>
      <c r="B838" s="3" t="str">
        <f t="shared" si="147"/>
        <v>MMP-9</v>
      </c>
      <c r="C838" s="3" t="str">
        <f t="shared" si="148"/>
        <v>MMP9</v>
      </c>
      <c r="D838" s="3" t="str">
        <f t="shared" si="149"/>
        <v>MMP9_HUMAN</v>
      </c>
      <c r="E838" s="2" t="s">
        <v>55</v>
      </c>
      <c r="F838" s="3" t="str">
        <f t="shared" si="150"/>
        <v>Matrix metalloproteinase-9</v>
      </c>
      <c r="G838" s="4" t="str">
        <f t="shared" si="152"/>
        <v>Rebimastat</v>
      </c>
      <c r="H838" s="3" t="str">
        <f>HYPERLINK("https://www.cortellis.com/drugdiscovery/entity/biomarkers/39788","Epithelial-mesenchymal transition gene signature")</f>
        <v>Epithelial-mesenchymal transition gene signature</v>
      </c>
      <c r="I838" s="2" t="s">
        <v>18</v>
      </c>
      <c r="J838" s="2" t="s">
        <v>19</v>
      </c>
      <c r="K838" s="4" t="str">
        <f>HYPERLINK("https://www.cortellis.com/drugdiscovery/result/proxy/related-content/biomarkers/genestargets/39788","C-C motif chemokine ligand 2; matrix metallopeptidase 9")</f>
        <v>C-C motif chemokine ligand 2; matrix metallopeptidase 9</v>
      </c>
    </row>
    <row r="839" spans="1:11" ht="60" customHeight="1" x14ac:dyDescent="0.2">
      <c r="A839" s="2">
        <v>836</v>
      </c>
      <c r="B839" s="3" t="str">
        <f t="shared" si="147"/>
        <v>MMP-9</v>
      </c>
      <c r="C839" s="3" t="str">
        <f t="shared" si="148"/>
        <v>MMP9</v>
      </c>
      <c r="D839" s="3" t="str">
        <f t="shared" si="149"/>
        <v>MMP9_HUMAN</v>
      </c>
      <c r="E839" s="2" t="s">
        <v>55</v>
      </c>
      <c r="F839" s="3" t="str">
        <f t="shared" si="150"/>
        <v>Matrix metalloproteinase-9</v>
      </c>
      <c r="G839" s="4" t="str">
        <f t="shared" si="152"/>
        <v>Rebimastat</v>
      </c>
      <c r="H839" s="3" t="str">
        <f>HYPERLINK("https://www.cortellis.com/drugdiscovery/entity/biomarkers/41350","10-protein liver cancer panel")</f>
        <v>10-protein liver cancer panel</v>
      </c>
      <c r="I839" s="2" t="s">
        <v>52</v>
      </c>
      <c r="J839" s="2" t="s">
        <v>17</v>
      </c>
      <c r="K839" s="4" t="str">
        <f>HYPERLINK("https://www.cortellis.com/drugdiscovery/result/proxy/related-content/biomarkers/genestargets/41350","matrix metallopeptidase 9")</f>
        <v>matrix metallopeptidase 9</v>
      </c>
    </row>
    <row r="840" spans="1:11" ht="60" customHeight="1" x14ac:dyDescent="0.2">
      <c r="A840" s="2">
        <v>837</v>
      </c>
      <c r="B840" s="3" t="str">
        <f t="shared" si="147"/>
        <v>MMP-9</v>
      </c>
      <c r="C840" s="3" t="str">
        <f t="shared" si="148"/>
        <v>MMP9</v>
      </c>
      <c r="D840" s="3" t="str">
        <f t="shared" si="149"/>
        <v>MMP9_HUMAN</v>
      </c>
      <c r="E840" s="2" t="s">
        <v>55</v>
      </c>
      <c r="F840" s="3" t="str">
        <f t="shared" si="150"/>
        <v>Matrix metalloproteinase-9</v>
      </c>
      <c r="G840" s="4" t="str">
        <f t="shared" si="152"/>
        <v>Rebimastat</v>
      </c>
      <c r="H840" s="3" t="str">
        <f>HYPERLINK("https://www.cortellis.com/drugdiscovery/entity/biomarkers/41936","5-gene expression breast cancer panel")</f>
        <v>5-gene expression breast cancer panel</v>
      </c>
      <c r="I840" s="2" t="s">
        <v>60</v>
      </c>
      <c r="J840" s="2" t="s">
        <v>19</v>
      </c>
      <c r="K840" s="4" t="str">
        <f>HYPERLINK("https://www.cortellis.com/drugdiscovery/result/proxy/related-content/biomarkers/genestargets/41936","matrix metallopeptidase 9")</f>
        <v>matrix metallopeptidase 9</v>
      </c>
    </row>
    <row r="841" spans="1:11" ht="60" customHeight="1" x14ac:dyDescent="0.2">
      <c r="A841" s="2">
        <v>838</v>
      </c>
      <c r="B841" s="3" t="str">
        <f t="shared" si="147"/>
        <v>MMP-9</v>
      </c>
      <c r="C841" s="3" t="str">
        <f t="shared" si="148"/>
        <v>MMP9</v>
      </c>
      <c r="D841" s="3" t="str">
        <f t="shared" si="149"/>
        <v>MMP9_HUMAN</v>
      </c>
      <c r="E841" s="2" t="s">
        <v>55</v>
      </c>
      <c r="F841" s="3" t="str">
        <f t="shared" si="150"/>
        <v>Matrix metalloproteinase-9</v>
      </c>
      <c r="G841" s="4" t="str">
        <f t="shared" si="152"/>
        <v>Rebimastat</v>
      </c>
      <c r="H841" s="3" t="str">
        <f>HYPERLINK("https://www.cortellis.com/drugdiscovery/entity/biomarkers/43380","7-protein bladder cancer panel")</f>
        <v>7-protein bladder cancer panel</v>
      </c>
      <c r="I841" s="2" t="s">
        <v>23</v>
      </c>
      <c r="J841" s="2" t="s">
        <v>15</v>
      </c>
      <c r="K841" s="4" t="str">
        <f>HYPERLINK("https://www.cortellis.com/drugdiscovery/result/proxy/related-content/biomarkers/genestargets/43380","matrix metallopeptidase 9")</f>
        <v>matrix metallopeptidase 9</v>
      </c>
    </row>
    <row r="842" spans="1:11" ht="60" customHeight="1" x14ac:dyDescent="0.2">
      <c r="A842" s="2">
        <v>839</v>
      </c>
      <c r="B842" s="3" t="str">
        <f t="shared" si="147"/>
        <v>MMP-9</v>
      </c>
      <c r="C842" s="3" t="str">
        <f t="shared" si="148"/>
        <v>MMP9</v>
      </c>
      <c r="D842" s="3" t="str">
        <f t="shared" si="149"/>
        <v>MMP9_HUMAN</v>
      </c>
      <c r="E842" s="2" t="s">
        <v>55</v>
      </c>
      <c r="F842" s="3" t="str">
        <f t="shared" si="150"/>
        <v>Matrix metalloproteinase-9</v>
      </c>
      <c r="G842" s="4" t="str">
        <f t="shared" si="152"/>
        <v>Rebimastat</v>
      </c>
      <c r="H842" s="3" t="str">
        <f>HYPERLINK("https://www.cortellis.com/drugdiscovery/entity/biomarkers/43382","3-protein bladder cancer panel")</f>
        <v>3-protein bladder cancer panel</v>
      </c>
      <c r="I842" s="2" t="s">
        <v>23</v>
      </c>
      <c r="J842" s="2" t="s">
        <v>17</v>
      </c>
      <c r="K842" s="4" t="str">
        <f>HYPERLINK("https://www.cortellis.com/drugdiscovery/result/proxy/related-content/biomarkers/genestargets/43382","matrix metallopeptidase 9")</f>
        <v>matrix metallopeptidase 9</v>
      </c>
    </row>
    <row r="843" spans="1:11" ht="60" customHeight="1" x14ac:dyDescent="0.2">
      <c r="A843" s="2">
        <v>840</v>
      </c>
      <c r="B843" s="3" t="str">
        <f t="shared" si="147"/>
        <v>MMP-9</v>
      </c>
      <c r="C843" s="3" t="str">
        <f t="shared" si="148"/>
        <v>MMP9</v>
      </c>
      <c r="D843" s="3" t="str">
        <f t="shared" si="149"/>
        <v>MMP9_HUMAN</v>
      </c>
      <c r="E843" s="2" t="s">
        <v>55</v>
      </c>
      <c r="F843" s="3" t="str">
        <f t="shared" si="150"/>
        <v>Matrix metalloproteinase-9</v>
      </c>
      <c r="G843" s="4" t="str">
        <f t="shared" si="152"/>
        <v>Rebimastat</v>
      </c>
      <c r="H843" s="3" t="str">
        <f>HYPERLINK("https://www.cortellis.com/drugdiscovery/entity/biomarkers/43994","4-gene expression adenomatous polyps panel")</f>
        <v>4-gene expression adenomatous polyps panel</v>
      </c>
      <c r="I843" s="2" t="s">
        <v>23</v>
      </c>
      <c r="J843" s="2" t="s">
        <v>19</v>
      </c>
      <c r="K843" s="4" t="str">
        <f>HYPERLINK("https://www.cortellis.com/drugdiscovery/result/proxy/related-content/biomarkers/genestargets/43994","matrix metallopeptidase 9")</f>
        <v>matrix metallopeptidase 9</v>
      </c>
    </row>
    <row r="844" spans="1:11" ht="60" customHeight="1" x14ac:dyDescent="0.2">
      <c r="A844" s="2">
        <v>841</v>
      </c>
      <c r="B844" s="3" t="str">
        <f t="shared" si="147"/>
        <v>MMP-9</v>
      </c>
      <c r="C844" s="3" t="str">
        <f t="shared" si="148"/>
        <v>MMP9</v>
      </c>
      <c r="D844" s="3" t="str">
        <f t="shared" si="149"/>
        <v>MMP9_HUMAN</v>
      </c>
      <c r="E844" s="2" t="s">
        <v>55</v>
      </c>
      <c r="F844" s="3" t="str">
        <f t="shared" si="150"/>
        <v>Matrix metalloproteinase-9</v>
      </c>
      <c r="G844" s="4" t="str">
        <f t="shared" si="152"/>
        <v>Rebimastat</v>
      </c>
      <c r="H844" s="3" t="str">
        <f>HYPERLINK("https://www.cortellis.com/drugdiscovery/entity/biomarkers/43995","8-gene expression colorectal cancer panel")</f>
        <v>8-gene expression colorectal cancer panel</v>
      </c>
      <c r="I844" s="2" t="s">
        <v>23</v>
      </c>
      <c r="J844" s="2" t="s">
        <v>19</v>
      </c>
      <c r="K844" s="4" t="str">
        <f>HYPERLINK("https://www.cortellis.com/drugdiscovery/result/proxy/related-content/biomarkers/genestargets/43995","matrix metallopeptidase 9")</f>
        <v>matrix metallopeptidase 9</v>
      </c>
    </row>
    <row r="845" spans="1:11" ht="60" customHeight="1" x14ac:dyDescent="0.2">
      <c r="A845" s="2">
        <v>842</v>
      </c>
      <c r="B845" s="3" t="str">
        <f t="shared" si="147"/>
        <v>MMP-9</v>
      </c>
      <c r="C845" s="3" t="str">
        <f t="shared" si="148"/>
        <v>MMP9</v>
      </c>
      <c r="D845" s="3" t="str">
        <f t="shared" si="149"/>
        <v>MMP9_HUMAN</v>
      </c>
      <c r="E845" s="2" t="s">
        <v>55</v>
      </c>
      <c r="F845" s="3" t="str">
        <f t="shared" si="150"/>
        <v>Matrix metalloproteinase-9</v>
      </c>
      <c r="G845" s="4" t="str">
        <f t="shared" si="152"/>
        <v>Rebimastat</v>
      </c>
      <c r="H845" s="3" t="str">
        <f>HYPERLINK("https://www.cortellis.com/drugdiscovery/entity/biomarkers/45762","37-protein metastatic colon cancer panel")</f>
        <v>37-protein metastatic colon cancer panel</v>
      </c>
      <c r="I845" s="2" t="s">
        <v>20</v>
      </c>
      <c r="J845" s="2" t="s">
        <v>17</v>
      </c>
      <c r="K845" s="4" t="str">
        <f>HYPERLINK("https://www.cortellis.com/drugdiscovery/result/proxy/related-content/biomarkers/genestargets/45762","matrix metallopeptidase 2; matrix metallopeptidase 9")</f>
        <v>matrix metallopeptidase 2; matrix metallopeptidase 9</v>
      </c>
    </row>
    <row r="846" spans="1:11" ht="60" customHeight="1" x14ac:dyDescent="0.2">
      <c r="A846" s="2">
        <v>843</v>
      </c>
      <c r="B846" s="3" t="str">
        <f t="shared" si="147"/>
        <v>MMP-9</v>
      </c>
      <c r="C846" s="3" t="str">
        <f t="shared" si="148"/>
        <v>MMP9</v>
      </c>
      <c r="D846" s="3" t="str">
        <f t="shared" si="149"/>
        <v>MMP9_HUMAN</v>
      </c>
      <c r="E846" s="2" t="s">
        <v>55</v>
      </c>
      <c r="F846" s="3" t="str">
        <f t="shared" si="150"/>
        <v>Matrix metalloproteinase-9</v>
      </c>
      <c r="G846" s="4" t="str">
        <f t="shared" si="152"/>
        <v>Rebimastat</v>
      </c>
      <c r="H846" s="3" t="str">
        <f>HYPERLINK("https://www.cortellis.com/drugdiscovery/entity/biomarkers/48821","10-gene expression clear cell renal cell cancer panel")</f>
        <v>10-gene expression clear cell renal cell cancer panel</v>
      </c>
      <c r="I846" s="2" t="s">
        <v>18</v>
      </c>
      <c r="J846" s="2" t="s">
        <v>19</v>
      </c>
      <c r="K846" s="4" t="str">
        <f>HYPERLINK("https://www.cortellis.com/drugdiscovery/result/proxy/related-content/biomarkers/genestargets/48821","matrix metallopeptidase 9")</f>
        <v>matrix metallopeptidase 9</v>
      </c>
    </row>
    <row r="847" spans="1:11" ht="60" customHeight="1" x14ac:dyDescent="0.2">
      <c r="A847" s="2">
        <v>844</v>
      </c>
      <c r="B847" s="3" t="str">
        <f t="shared" ref="B847:B860" si="153">HYPERLINK("https://portal.genego.com/cgi/entity_page.cgi?term=100&amp;id=4125","MMP-9")</f>
        <v>MMP-9</v>
      </c>
      <c r="C847" s="3" t="str">
        <f t="shared" ref="C847:C890" si="154">HYPERLINK("https://portal.genego.com/cgi/entity_page.cgi?term=20&amp;id=1390764486","MMP9")</f>
        <v>MMP9</v>
      </c>
      <c r="D847" s="3" t="str">
        <f t="shared" ref="D847:D860" si="155">HYPERLINK("https://portal.genego.com/cgi/entity_page.cgi?term=7&amp;id=-675020829","MMP9_HUMAN")</f>
        <v>MMP9_HUMAN</v>
      </c>
      <c r="E847" s="2" t="s">
        <v>55</v>
      </c>
      <c r="F847" s="3" t="str">
        <f t="shared" ref="F847:F860" si="156">HYPERLINK("https://portal.genego.com/cgi/entity_page.cgi?term=100&amp;id=4125","Matrix metalloproteinase-9")</f>
        <v>Matrix metalloproteinase-9</v>
      </c>
      <c r="G847" s="4" t="str">
        <f t="shared" si="152"/>
        <v>Rebimastat</v>
      </c>
      <c r="H847" s="3" t="str">
        <f>HYPERLINK("https://www.cortellis.com/drugdiscovery/entity/biomarkers/49523","3-protein diffuse B cell lymphoma  panel")</f>
        <v>3-protein diffuse B cell lymphoma  panel</v>
      </c>
      <c r="I847" s="2" t="s">
        <v>23</v>
      </c>
      <c r="J847" s="2" t="s">
        <v>17</v>
      </c>
      <c r="K847" s="4" t="str">
        <f>HYPERLINK("https://www.cortellis.com/drugdiscovery/result/proxy/related-content/biomarkers/genestargets/49523","matrix metallopeptidase 9")</f>
        <v>matrix metallopeptidase 9</v>
      </c>
    </row>
    <row r="848" spans="1:11" ht="60" customHeight="1" x14ac:dyDescent="0.2">
      <c r="A848" s="2">
        <v>845</v>
      </c>
      <c r="B848" s="3" t="str">
        <f t="shared" si="153"/>
        <v>MMP-9</v>
      </c>
      <c r="C848" s="3" t="str">
        <f t="shared" si="154"/>
        <v>MMP9</v>
      </c>
      <c r="D848" s="3" t="str">
        <f t="shared" si="155"/>
        <v>MMP9_HUMAN</v>
      </c>
      <c r="E848" s="2" t="s">
        <v>55</v>
      </c>
      <c r="F848" s="3" t="str">
        <f t="shared" si="156"/>
        <v>Matrix metalloproteinase-9</v>
      </c>
      <c r="G848" s="4" t="str">
        <f t="shared" si="152"/>
        <v>Rebimastat</v>
      </c>
      <c r="H848" s="3" t="str">
        <f>HYPERLINK("https://www.cortellis.com/drugdiscovery/entity/biomarkers/49848","29-gene expression colorectal cancer panel")</f>
        <v>29-gene expression colorectal cancer panel</v>
      </c>
      <c r="I848" s="2" t="s">
        <v>23</v>
      </c>
      <c r="J848" s="2" t="s">
        <v>19</v>
      </c>
      <c r="K848" s="4" t="str">
        <f>HYPERLINK("https://www.cortellis.com/drugdiscovery/result/proxy/related-content/biomarkers/genestargets/49848","matrix metallopeptidase 9")</f>
        <v>matrix metallopeptidase 9</v>
      </c>
    </row>
    <row r="849" spans="1:11" ht="60" customHeight="1" x14ac:dyDescent="0.2">
      <c r="A849" s="2">
        <v>846</v>
      </c>
      <c r="B849" s="3" t="str">
        <f t="shared" si="153"/>
        <v>MMP-9</v>
      </c>
      <c r="C849" s="3" t="str">
        <f t="shared" si="154"/>
        <v>MMP9</v>
      </c>
      <c r="D849" s="3" t="str">
        <f t="shared" si="155"/>
        <v>MMP9_HUMAN</v>
      </c>
      <c r="E849" s="2" t="s">
        <v>55</v>
      </c>
      <c r="F849" s="3" t="str">
        <f t="shared" si="156"/>
        <v>Matrix metalloproteinase-9</v>
      </c>
      <c r="G849" s="4" t="str">
        <f t="shared" si="152"/>
        <v>Rebimastat</v>
      </c>
      <c r="H849" s="3" t="str">
        <f>HYPERLINK("https://www.cortellis.com/drugdiscovery/entity/biomarkers/50282","10-protein bladder cancer panel")</f>
        <v>10-protein bladder cancer panel</v>
      </c>
      <c r="I849" s="2" t="s">
        <v>52</v>
      </c>
      <c r="J849" s="2" t="s">
        <v>17</v>
      </c>
      <c r="K849" s="4" t="str">
        <f>HYPERLINK("https://www.cortellis.com/drugdiscovery/result/proxy/related-content/biomarkers/genestargets/50282","matrix metallopeptidase 9")</f>
        <v>matrix metallopeptidase 9</v>
      </c>
    </row>
    <row r="850" spans="1:11" ht="60" customHeight="1" x14ac:dyDescent="0.2">
      <c r="A850" s="2">
        <v>847</v>
      </c>
      <c r="B850" s="3" t="str">
        <f t="shared" si="153"/>
        <v>MMP-9</v>
      </c>
      <c r="C850" s="3" t="str">
        <f t="shared" si="154"/>
        <v>MMP9</v>
      </c>
      <c r="D850" s="3" t="str">
        <f t="shared" si="155"/>
        <v>MMP9_HUMAN</v>
      </c>
      <c r="E850" s="2" t="s">
        <v>55</v>
      </c>
      <c r="F850" s="3" t="str">
        <f t="shared" si="156"/>
        <v>Matrix metalloproteinase-9</v>
      </c>
      <c r="G850" s="4" t="str">
        <f t="shared" si="152"/>
        <v>Rebimastat</v>
      </c>
      <c r="H850" s="3" t="str">
        <f>HYPERLINK("https://www.cortellis.com/drugdiscovery/entity/biomarkers/50774","9-protein Kawasaki's disease panel")</f>
        <v>9-protein Kawasaki's disease panel</v>
      </c>
      <c r="I850" s="2" t="s">
        <v>23</v>
      </c>
      <c r="J850" s="2" t="s">
        <v>17</v>
      </c>
      <c r="K850" s="4" t="str">
        <f>HYPERLINK("https://www.cortellis.com/drugdiscovery/result/proxy/related-content/biomarkers/genestargets/50774","matrix metallopeptidase 9; solute carrier family 11 member 1")</f>
        <v>matrix metallopeptidase 9; solute carrier family 11 member 1</v>
      </c>
    </row>
    <row r="851" spans="1:11" ht="60" customHeight="1" x14ac:dyDescent="0.2">
      <c r="A851" s="2">
        <v>848</v>
      </c>
      <c r="B851" s="3" t="str">
        <f t="shared" si="153"/>
        <v>MMP-9</v>
      </c>
      <c r="C851" s="3" t="str">
        <f t="shared" si="154"/>
        <v>MMP9</v>
      </c>
      <c r="D851" s="3" t="str">
        <f t="shared" si="155"/>
        <v>MMP9_HUMAN</v>
      </c>
      <c r="E851" s="2" t="s">
        <v>55</v>
      </c>
      <c r="F851" s="3" t="str">
        <f t="shared" si="156"/>
        <v>Matrix metalloproteinase-9</v>
      </c>
      <c r="G851" s="4" t="str">
        <f t="shared" si="152"/>
        <v>Rebimastat</v>
      </c>
      <c r="H851" s="3" t="str">
        <f>HYPERLINK("https://www.cortellis.com/drugdiscovery/entity/biomarkers/50815","4-protein serous ovarian cancer panel")</f>
        <v>4-protein serous ovarian cancer panel</v>
      </c>
      <c r="I851" s="2" t="s">
        <v>23</v>
      </c>
      <c r="J851" s="2" t="s">
        <v>17</v>
      </c>
      <c r="K851" s="4" t="str">
        <f>HYPERLINK("https://www.cortellis.com/drugdiscovery/result/proxy/related-content/biomarkers/genestargets/50815","matrix metallopeptidase 9")</f>
        <v>matrix metallopeptidase 9</v>
      </c>
    </row>
    <row r="852" spans="1:11" ht="60" customHeight="1" x14ac:dyDescent="0.2">
      <c r="A852" s="2">
        <v>849</v>
      </c>
      <c r="B852" s="3" t="str">
        <f t="shared" si="153"/>
        <v>MMP-9</v>
      </c>
      <c r="C852" s="3" t="str">
        <f t="shared" si="154"/>
        <v>MMP9</v>
      </c>
      <c r="D852" s="3" t="str">
        <f t="shared" si="155"/>
        <v>MMP9_HUMAN</v>
      </c>
      <c r="E852" s="2" t="s">
        <v>55</v>
      </c>
      <c r="F852" s="3" t="str">
        <f t="shared" si="156"/>
        <v>Matrix metalloproteinase-9</v>
      </c>
      <c r="G852" s="4" t="str">
        <f t="shared" si="152"/>
        <v>Rebimastat</v>
      </c>
      <c r="H852" s="3" t="str">
        <f>HYPERLINK("https://www.cortellis.com/drugdiscovery/entity/biomarkers/51682","Multiplex biomarker panel")</f>
        <v>Multiplex biomarker panel</v>
      </c>
      <c r="I852" s="2" t="s">
        <v>23</v>
      </c>
      <c r="J852" s="2" t="s">
        <v>15</v>
      </c>
      <c r="K852" s="4" t="str">
        <f>HYPERLINK("https://www.cortellis.com/drugdiscovery/result/proxy/related-content/biomarkers/genestargets/51682","matrix metallopeptidase 2; matrix metallopeptidase 9")</f>
        <v>matrix metallopeptidase 2; matrix metallopeptidase 9</v>
      </c>
    </row>
    <row r="853" spans="1:11" ht="60" customHeight="1" x14ac:dyDescent="0.2">
      <c r="A853" s="2">
        <v>850</v>
      </c>
      <c r="B853" s="3" t="str">
        <f t="shared" si="153"/>
        <v>MMP-9</v>
      </c>
      <c r="C853" s="3" t="str">
        <f t="shared" si="154"/>
        <v>MMP9</v>
      </c>
      <c r="D853" s="3" t="str">
        <f t="shared" si="155"/>
        <v>MMP9_HUMAN</v>
      </c>
      <c r="E853" s="2" t="s">
        <v>55</v>
      </c>
      <c r="F853" s="3" t="str">
        <f t="shared" si="156"/>
        <v>Matrix metalloproteinase-9</v>
      </c>
      <c r="G853" s="4" t="str">
        <f t="shared" si="152"/>
        <v>Rebimastat</v>
      </c>
      <c r="H853" s="3" t="str">
        <f>HYPERLINK("https://www.cortellis.com/drugdiscovery/entity/biomarkers/51857","20-protein psychiatric disorders panel")</f>
        <v>20-protein psychiatric disorders panel</v>
      </c>
      <c r="I853" s="2" t="s">
        <v>23</v>
      </c>
      <c r="J853" s="2" t="s">
        <v>17</v>
      </c>
      <c r="K853" s="4" t="str">
        <f>HYPERLINK("https://www.cortellis.com/drugdiscovery/result/proxy/related-content/biomarkers/genestargets/51857","matrix metallopeptidase 9")</f>
        <v>matrix metallopeptidase 9</v>
      </c>
    </row>
    <row r="854" spans="1:11" ht="60" customHeight="1" x14ac:dyDescent="0.2">
      <c r="A854" s="2">
        <v>851</v>
      </c>
      <c r="B854" s="3" t="str">
        <f t="shared" si="153"/>
        <v>MMP-9</v>
      </c>
      <c r="C854" s="3" t="str">
        <f t="shared" si="154"/>
        <v>MMP9</v>
      </c>
      <c r="D854" s="3" t="str">
        <f t="shared" si="155"/>
        <v>MMP9_HUMAN</v>
      </c>
      <c r="E854" s="2" t="s">
        <v>55</v>
      </c>
      <c r="F854" s="3" t="str">
        <f t="shared" si="156"/>
        <v>Matrix metalloproteinase-9</v>
      </c>
      <c r="G854" s="4" t="str">
        <f t="shared" si="152"/>
        <v>Rebimastat</v>
      </c>
      <c r="H854" s="3" t="str">
        <f>HYPERLINK("https://www.cortellis.com/drugdiscovery/entity/biomarkers/51943","3-protein colorectal cancer panel")</f>
        <v>3-protein colorectal cancer panel</v>
      </c>
      <c r="I854" s="2" t="s">
        <v>25</v>
      </c>
      <c r="J854" s="2" t="s">
        <v>17</v>
      </c>
      <c r="K854" s="4" t="str">
        <f>HYPERLINK("https://www.cortellis.com/drugdiscovery/result/proxy/related-content/biomarkers/genestargets/51943","matrix metallopeptidase 9")</f>
        <v>matrix metallopeptidase 9</v>
      </c>
    </row>
    <row r="855" spans="1:11" ht="60" customHeight="1" x14ac:dyDescent="0.2">
      <c r="A855" s="2">
        <v>852</v>
      </c>
      <c r="B855" s="3" t="str">
        <f t="shared" si="153"/>
        <v>MMP-9</v>
      </c>
      <c r="C855" s="3" t="str">
        <f t="shared" si="154"/>
        <v>MMP9</v>
      </c>
      <c r="D855" s="3" t="str">
        <f t="shared" si="155"/>
        <v>MMP9_HUMAN</v>
      </c>
      <c r="E855" s="2" t="s">
        <v>55</v>
      </c>
      <c r="F855" s="3" t="str">
        <f t="shared" si="156"/>
        <v>Matrix metalloproteinase-9</v>
      </c>
      <c r="G855" s="4" t="str">
        <f t="shared" si="152"/>
        <v>Rebimastat</v>
      </c>
      <c r="H855" s="3" t="str">
        <f>HYPERLINK("https://www.cortellis.com/drugdiscovery/entity/biomarkers/53826","10-protein bladder cancer panel")</f>
        <v>10-protein bladder cancer panel</v>
      </c>
      <c r="I855" s="2" t="s">
        <v>23</v>
      </c>
      <c r="J855" s="2" t="s">
        <v>17</v>
      </c>
      <c r="K855" s="4" t="str">
        <f>HYPERLINK("https://www.cortellis.com/drugdiscovery/result/proxy/related-content/biomarkers/genestargets/53826","matrix metallopeptidase 9")</f>
        <v>matrix metallopeptidase 9</v>
      </c>
    </row>
    <row r="856" spans="1:11" ht="60" customHeight="1" x14ac:dyDescent="0.2">
      <c r="A856" s="2">
        <v>853</v>
      </c>
      <c r="B856" s="3" t="str">
        <f t="shared" si="153"/>
        <v>MMP-9</v>
      </c>
      <c r="C856" s="3" t="str">
        <f t="shared" si="154"/>
        <v>MMP9</v>
      </c>
      <c r="D856" s="3" t="str">
        <f t="shared" si="155"/>
        <v>MMP9_HUMAN</v>
      </c>
      <c r="E856" s="2" t="s">
        <v>55</v>
      </c>
      <c r="F856" s="3" t="str">
        <f t="shared" si="156"/>
        <v>Matrix metalloproteinase-9</v>
      </c>
      <c r="G856" s="4" t="str">
        <f t="shared" si="152"/>
        <v>Rebimastat</v>
      </c>
      <c r="H856" s="3" t="str">
        <f>HYPERLINK("https://www.cortellis.com/drugdiscovery/entity/biomarkers/54509","5-protein hepatotoxicty panel")</f>
        <v>5-protein hepatotoxicty panel</v>
      </c>
      <c r="I856" s="2" t="s">
        <v>23</v>
      </c>
      <c r="J856" s="2" t="s">
        <v>17</v>
      </c>
      <c r="K856" s="4" t="str">
        <f>HYPERLINK("https://www.cortellis.com/drugdiscovery/result/proxy/related-content/biomarkers/genestargets/54509","matrix metallopeptidase 9")</f>
        <v>matrix metallopeptidase 9</v>
      </c>
    </row>
    <row r="857" spans="1:11" ht="60" customHeight="1" x14ac:dyDescent="0.2">
      <c r="A857" s="2">
        <v>854</v>
      </c>
      <c r="B857" s="3" t="str">
        <f t="shared" si="153"/>
        <v>MMP-9</v>
      </c>
      <c r="C857" s="3" t="str">
        <f t="shared" si="154"/>
        <v>MMP9</v>
      </c>
      <c r="D857" s="3" t="str">
        <f t="shared" si="155"/>
        <v>MMP9_HUMAN</v>
      </c>
      <c r="E857" s="2" t="s">
        <v>55</v>
      </c>
      <c r="F857" s="3" t="str">
        <f t="shared" si="156"/>
        <v>Matrix metalloproteinase-9</v>
      </c>
      <c r="G857" s="4" t="str">
        <f t="shared" si="152"/>
        <v>Rebimastat</v>
      </c>
      <c r="H857" s="3" t="str">
        <f>HYPERLINK("https://www.cortellis.com/drugdiscovery/entity/biomarkers/55657","4-protein cardiovascular disorder panel")</f>
        <v>4-protein cardiovascular disorder panel</v>
      </c>
      <c r="I857" s="2" t="s">
        <v>29</v>
      </c>
      <c r="J857" s="2" t="s">
        <v>17</v>
      </c>
      <c r="K857" s="4" t="str">
        <f>HYPERLINK("https://www.cortellis.com/drugdiscovery/result/proxy/related-content/biomarkers/genestargets/55657","matrix metallopeptidase 9")</f>
        <v>matrix metallopeptidase 9</v>
      </c>
    </row>
    <row r="858" spans="1:11" ht="60" customHeight="1" x14ac:dyDescent="0.2">
      <c r="A858" s="2">
        <v>855</v>
      </c>
      <c r="B858" s="3" t="str">
        <f t="shared" si="153"/>
        <v>MMP-9</v>
      </c>
      <c r="C858" s="3" t="str">
        <f t="shared" si="154"/>
        <v>MMP9</v>
      </c>
      <c r="D858" s="3" t="str">
        <f t="shared" si="155"/>
        <v>MMP9_HUMAN</v>
      </c>
      <c r="E858" s="2" t="s">
        <v>55</v>
      </c>
      <c r="F858" s="3" t="str">
        <f t="shared" si="156"/>
        <v>Matrix metalloproteinase-9</v>
      </c>
      <c r="G858" s="4" t="str">
        <f t="shared" si="152"/>
        <v>Rebimastat</v>
      </c>
      <c r="H858" s="3" t="str">
        <f>HYPERLINK("https://www.cortellis.com/drugdiscovery/entity/biomarkers/59957","10-protein obstructive pulmonary disease panel")</f>
        <v>10-protein obstructive pulmonary disease panel</v>
      </c>
      <c r="I858" s="2" t="s">
        <v>20</v>
      </c>
      <c r="J858" s="2" t="s">
        <v>17</v>
      </c>
      <c r="K858" s="4" t="str">
        <f>HYPERLINK("https://www.cortellis.com/drugdiscovery/result/proxy/related-content/biomarkers/genestargets/59957","matrix metallopeptidase 9; ribonuclease A family member 3")</f>
        <v>matrix metallopeptidase 9; ribonuclease A family member 3</v>
      </c>
    </row>
    <row r="859" spans="1:11" ht="60" customHeight="1" x14ac:dyDescent="0.2">
      <c r="A859" s="2">
        <v>856</v>
      </c>
      <c r="B859" s="3" t="str">
        <f t="shared" si="153"/>
        <v>MMP-9</v>
      </c>
      <c r="C859" s="3" t="str">
        <f t="shared" si="154"/>
        <v>MMP9</v>
      </c>
      <c r="D859" s="3" t="str">
        <f t="shared" si="155"/>
        <v>MMP9_HUMAN</v>
      </c>
      <c r="E859" s="2" t="s">
        <v>55</v>
      </c>
      <c r="F859" s="3" t="str">
        <f t="shared" si="156"/>
        <v>Matrix metalloproteinase-9</v>
      </c>
      <c r="G859" s="4" t="str">
        <f t="shared" si="152"/>
        <v>Rebimastat</v>
      </c>
      <c r="H859" s="3" t="str">
        <f>HYPERLINK("https://www.cortellis.com/drugdiscovery/entity/biomarkers/59959","13-protein Crohn's disease panel")</f>
        <v>13-protein Crohn's disease panel</v>
      </c>
      <c r="I859" s="2" t="s">
        <v>24</v>
      </c>
      <c r="J859" s="2" t="s">
        <v>17</v>
      </c>
      <c r="K859" s="4" t="str">
        <f>HYPERLINK("https://www.cortellis.com/drugdiscovery/result/proxy/related-content/biomarkers/genestargets/59959","interleukin 7; matrix metallopeptidase 2; matrix metallopeptidase 9")</f>
        <v>interleukin 7; matrix metallopeptidase 2; matrix metallopeptidase 9</v>
      </c>
    </row>
    <row r="860" spans="1:11" ht="60" customHeight="1" x14ac:dyDescent="0.2">
      <c r="A860" s="2">
        <v>857</v>
      </c>
      <c r="B860" s="3" t="str">
        <f t="shared" si="153"/>
        <v>MMP-9</v>
      </c>
      <c r="C860" s="3" t="str">
        <f t="shared" si="154"/>
        <v>MMP9</v>
      </c>
      <c r="D860" s="3" t="str">
        <f t="shared" si="155"/>
        <v>MMP9_HUMAN</v>
      </c>
      <c r="E860" s="2" t="s">
        <v>55</v>
      </c>
      <c r="F860" s="3" t="str">
        <f t="shared" si="156"/>
        <v>Matrix metalloproteinase-9</v>
      </c>
      <c r="G860" s="4" t="str">
        <f t="shared" si="152"/>
        <v>Rebimastat</v>
      </c>
      <c r="H860" s="3" t="str">
        <f>HYPERLINK("https://www.cortellis.com/drugdiscovery/entity/biomarkers/59979","10-protein bladder cancer panel")</f>
        <v>10-protein bladder cancer panel</v>
      </c>
      <c r="I860" s="2" t="s">
        <v>23</v>
      </c>
      <c r="J860" s="2" t="s">
        <v>17</v>
      </c>
      <c r="K860" s="4" t="str">
        <f>HYPERLINK("https://www.cortellis.com/drugdiscovery/result/proxy/related-content/biomarkers/genestargets/59979","matrix metallopeptidase 9")</f>
        <v>matrix metallopeptidase 9</v>
      </c>
    </row>
    <row r="861" spans="1:11" ht="60" customHeight="1" x14ac:dyDescent="0.2">
      <c r="A861" s="2">
        <v>858</v>
      </c>
      <c r="B861" s="3" t="str">
        <f t="shared" ref="B861:B890" si="157">HYPERLINK("https://portal.genego.com/cgi/entity_page.cgi?term=100&amp;id=-886208248","MMP9 p82")</f>
        <v>MMP9 p82</v>
      </c>
      <c r="C861" s="3" t="str">
        <f t="shared" si="154"/>
        <v>MMP9</v>
      </c>
      <c r="D861" s="3" t="str">
        <f t="shared" ref="D861:D890" si="158">HYPERLINK("https://portal.genego.com/cgi/entity_page.cgi?term=7&amp;id=518218641","MMP9 p82_(HUMAN)")</f>
        <v>MMP9 p82_(HUMAN)</v>
      </c>
      <c r="E861" s="2" t="s">
        <v>61</v>
      </c>
      <c r="F861" s="3" t="str">
        <f t="shared" ref="F861:F890" si="159">HYPERLINK("https://portal.genego.com/cgi/entity_page.cgi?term=100&amp;id=-886208248","Matrix metalloproteinase-9 82 kDa")</f>
        <v>Matrix metalloproteinase-9 82 kDa</v>
      </c>
      <c r="G861" s="4"/>
      <c r="H861" s="3" t="str">
        <f>HYPERLINK("https://www.cortellis.com/drugdiscovery/entity/biomarkers/65","MammaPrint")</f>
        <v>MammaPrint</v>
      </c>
      <c r="I861" s="2" t="s">
        <v>58</v>
      </c>
      <c r="J861" s="2" t="s">
        <v>19</v>
      </c>
      <c r="K861" s="4" t="str">
        <f>HYPERLINK("https://www.cortellis.com/drugdiscovery/result/proxy/related-content/biomarkers/genestargets/65","matrix metallopeptidase 9")</f>
        <v>matrix metallopeptidase 9</v>
      </c>
    </row>
    <row r="862" spans="1:11" ht="60" customHeight="1" x14ac:dyDescent="0.2">
      <c r="A862" s="2">
        <v>859</v>
      </c>
      <c r="B862" s="3" t="str">
        <f t="shared" si="157"/>
        <v>MMP9 p82</v>
      </c>
      <c r="C862" s="3" t="str">
        <f t="shared" si="154"/>
        <v>MMP9</v>
      </c>
      <c r="D862" s="3" t="str">
        <f t="shared" si="158"/>
        <v>MMP9 p82_(HUMAN)</v>
      </c>
      <c r="E862" s="2" t="s">
        <v>61</v>
      </c>
      <c r="F862" s="3" t="str">
        <f t="shared" si="159"/>
        <v>Matrix metalloproteinase-9 82 kDa</v>
      </c>
      <c r="G862" s="4"/>
      <c r="H862" s="3" t="str">
        <f>HYPERLINK("https://www.cortellis.com/drugdiscovery/entity/biomarkers/173","Matrix metalloproteinase-9")</f>
        <v>Matrix metalloproteinase-9</v>
      </c>
      <c r="I862" s="2" t="s">
        <v>31</v>
      </c>
      <c r="J862" s="2" t="s">
        <v>15</v>
      </c>
      <c r="K862" s="4" t="str">
        <f>HYPERLINK("https://www.cortellis.com/drugdiscovery/result/proxy/related-content/biomarkers/genestargets/173","matrix metallopeptidase 9")</f>
        <v>matrix metallopeptidase 9</v>
      </c>
    </row>
    <row r="863" spans="1:11" ht="60" customHeight="1" x14ac:dyDescent="0.2">
      <c r="A863" s="2">
        <v>860</v>
      </c>
      <c r="B863" s="3" t="str">
        <f t="shared" si="157"/>
        <v>MMP9 p82</v>
      </c>
      <c r="C863" s="3" t="str">
        <f t="shared" si="154"/>
        <v>MMP9</v>
      </c>
      <c r="D863" s="3" t="str">
        <f t="shared" si="158"/>
        <v>MMP9 p82_(HUMAN)</v>
      </c>
      <c r="E863" s="2" t="s">
        <v>61</v>
      </c>
      <c r="F863" s="3" t="str">
        <f t="shared" si="159"/>
        <v>Matrix metalloproteinase-9 82 kDa</v>
      </c>
      <c r="G863" s="4"/>
      <c r="H863" s="3" t="str">
        <f>HYPERLINK("https://www.cortellis.com/drugdiscovery/entity/biomarkers/26294","160-gene expression liver cancer panel")</f>
        <v>160-gene expression liver cancer panel</v>
      </c>
      <c r="I863" s="2" t="s">
        <v>25</v>
      </c>
      <c r="J863" s="2" t="s">
        <v>19</v>
      </c>
      <c r="K863" s="4" t="str">
        <f>HYPERLINK("https://www.cortellis.com/drugdiscovery/result/proxy/related-content/biomarkers/genestargets/26294","matrix metallopeptidase 9")</f>
        <v>matrix metallopeptidase 9</v>
      </c>
    </row>
    <row r="864" spans="1:11" ht="60" customHeight="1" x14ac:dyDescent="0.2">
      <c r="A864" s="2">
        <v>861</v>
      </c>
      <c r="B864" s="3" t="str">
        <f t="shared" si="157"/>
        <v>MMP9 p82</v>
      </c>
      <c r="C864" s="3" t="str">
        <f t="shared" si="154"/>
        <v>MMP9</v>
      </c>
      <c r="D864" s="3" t="str">
        <f t="shared" si="158"/>
        <v>MMP9 p82_(HUMAN)</v>
      </c>
      <c r="E864" s="2" t="s">
        <v>61</v>
      </c>
      <c r="F864" s="3" t="str">
        <f t="shared" si="159"/>
        <v>Matrix metalloproteinase-9 82 kDa</v>
      </c>
      <c r="G864" s="4"/>
      <c r="H864" s="3" t="str">
        <f>HYPERLINK("https://www.cortellis.com/drugdiscovery/entity/biomarkers/27598","89-protein neurological alzheimer's panel")</f>
        <v>89-protein neurological alzheimer's panel</v>
      </c>
      <c r="I864" s="2" t="s">
        <v>23</v>
      </c>
      <c r="J864" s="2" t="s">
        <v>17</v>
      </c>
      <c r="K86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865" spans="1:11" ht="60" customHeight="1" x14ac:dyDescent="0.2">
      <c r="A865" s="2">
        <v>862</v>
      </c>
      <c r="B865" s="3" t="str">
        <f t="shared" si="157"/>
        <v>MMP9 p82</v>
      </c>
      <c r="C865" s="3" t="str">
        <f t="shared" si="154"/>
        <v>MMP9</v>
      </c>
      <c r="D865" s="3" t="str">
        <f t="shared" si="158"/>
        <v>MMP9 p82_(HUMAN)</v>
      </c>
      <c r="E865" s="2" t="s">
        <v>61</v>
      </c>
      <c r="F865" s="3" t="str">
        <f t="shared" si="159"/>
        <v>Matrix metalloproteinase-9 82 kDa</v>
      </c>
      <c r="G865" s="4"/>
      <c r="H865" s="3" t="str">
        <f>HYPERLINK("https://www.cortellis.com/drugdiscovery/entity/biomarkers/27613","9-gene expression ischemic stroke panel")</f>
        <v>9-gene expression ischemic stroke panel</v>
      </c>
      <c r="I865" s="2" t="s">
        <v>23</v>
      </c>
      <c r="J865" s="2" t="s">
        <v>19</v>
      </c>
      <c r="K865" s="4" t="str">
        <f>HYPERLINK("https://www.cortellis.com/drugdiscovery/result/proxy/related-content/biomarkers/genestargets/27613","matrix metallopeptidase 9")</f>
        <v>matrix metallopeptidase 9</v>
      </c>
    </row>
    <row r="866" spans="1:11" ht="60" customHeight="1" x14ac:dyDescent="0.2">
      <c r="A866" s="2">
        <v>863</v>
      </c>
      <c r="B866" s="3" t="str">
        <f t="shared" si="157"/>
        <v>MMP9 p82</v>
      </c>
      <c r="C866" s="3" t="str">
        <f t="shared" si="154"/>
        <v>MMP9</v>
      </c>
      <c r="D866" s="3" t="str">
        <f t="shared" si="158"/>
        <v>MMP9 p82_(HUMAN)</v>
      </c>
      <c r="E866" s="2" t="s">
        <v>61</v>
      </c>
      <c r="F866" s="3" t="str">
        <f t="shared" si="159"/>
        <v>Matrix metalloproteinase-9 82 kDa</v>
      </c>
      <c r="G866" s="4"/>
      <c r="H866" s="3" t="str">
        <f>HYPERLINK("https://www.cortellis.com/drugdiscovery/entity/biomarkers/28479","24-gene expression breast cancer panel")</f>
        <v>24-gene expression breast cancer panel</v>
      </c>
      <c r="I866" s="2" t="s">
        <v>18</v>
      </c>
      <c r="J866" s="2" t="s">
        <v>19</v>
      </c>
      <c r="K866" s="4" t="str">
        <f>HYPERLINK("https://www.cortellis.com/drugdiscovery/result/proxy/related-content/biomarkers/genestargets/28479","matrix metallopeptidase 9")</f>
        <v>matrix metallopeptidase 9</v>
      </c>
    </row>
    <row r="867" spans="1:11" ht="60" customHeight="1" x14ac:dyDescent="0.2">
      <c r="A867" s="2">
        <v>864</v>
      </c>
      <c r="B867" s="3" t="str">
        <f t="shared" si="157"/>
        <v>MMP9 p82</v>
      </c>
      <c r="C867" s="3" t="str">
        <f t="shared" si="154"/>
        <v>MMP9</v>
      </c>
      <c r="D867" s="3" t="str">
        <f t="shared" si="158"/>
        <v>MMP9 p82_(HUMAN)</v>
      </c>
      <c r="E867" s="2" t="s">
        <v>61</v>
      </c>
      <c r="F867" s="3" t="str">
        <f t="shared" si="159"/>
        <v>Matrix metalloproteinase-9 82 kDa</v>
      </c>
      <c r="G867" s="4"/>
      <c r="H867" s="3" t="str">
        <f>HYPERLINK("https://www.cortellis.com/drugdiscovery/entity/biomarkers/34465","10-protein 1-biochemical alzheimer's panel")</f>
        <v>10-protein 1-biochemical alzheimer's panel</v>
      </c>
      <c r="I867" s="2" t="s">
        <v>23</v>
      </c>
      <c r="J867" s="2" t="s">
        <v>59</v>
      </c>
      <c r="K867" s="4" t="str">
        <f>HYPERLINK("https://www.cortellis.com/drugdiscovery/result/proxy/related-content/biomarkers/genestargets/34465","matrix metallopeptidase 9")</f>
        <v>matrix metallopeptidase 9</v>
      </c>
    </row>
    <row r="868" spans="1:11" ht="60" customHeight="1" x14ac:dyDescent="0.2">
      <c r="A868" s="2">
        <v>865</v>
      </c>
      <c r="B868" s="3" t="str">
        <f t="shared" si="157"/>
        <v>MMP9 p82</v>
      </c>
      <c r="C868" s="3" t="str">
        <f t="shared" si="154"/>
        <v>MMP9</v>
      </c>
      <c r="D868" s="3" t="str">
        <f t="shared" si="158"/>
        <v>MMP9 p82_(HUMAN)</v>
      </c>
      <c r="E868" s="2" t="s">
        <v>61</v>
      </c>
      <c r="F868" s="3" t="str">
        <f t="shared" si="159"/>
        <v>Matrix metalloproteinase-9 82 kDa</v>
      </c>
      <c r="G868" s="4"/>
      <c r="H868" s="3" t="str">
        <f>HYPERLINK("https://www.cortellis.com/drugdiscovery/entity/biomarkers/39788","Epithelial-mesenchymal transition gene signature")</f>
        <v>Epithelial-mesenchymal transition gene signature</v>
      </c>
      <c r="I868" s="2" t="s">
        <v>18</v>
      </c>
      <c r="J868" s="2" t="s">
        <v>19</v>
      </c>
      <c r="K868" s="4" t="str">
        <f>HYPERLINK("https://www.cortellis.com/drugdiscovery/result/proxy/related-content/biomarkers/genestargets/39788","C-C motif chemokine ligand 2; matrix metallopeptidase 9")</f>
        <v>C-C motif chemokine ligand 2; matrix metallopeptidase 9</v>
      </c>
    </row>
    <row r="869" spans="1:11" ht="60" customHeight="1" x14ac:dyDescent="0.2">
      <c r="A869" s="2">
        <v>866</v>
      </c>
      <c r="B869" s="3" t="str">
        <f t="shared" si="157"/>
        <v>MMP9 p82</v>
      </c>
      <c r="C869" s="3" t="str">
        <f t="shared" si="154"/>
        <v>MMP9</v>
      </c>
      <c r="D869" s="3" t="str">
        <f t="shared" si="158"/>
        <v>MMP9 p82_(HUMAN)</v>
      </c>
      <c r="E869" s="2" t="s">
        <v>61</v>
      </c>
      <c r="F869" s="3" t="str">
        <f t="shared" si="159"/>
        <v>Matrix metalloproteinase-9 82 kDa</v>
      </c>
      <c r="G869" s="4"/>
      <c r="H869" s="3" t="str">
        <f>HYPERLINK("https://www.cortellis.com/drugdiscovery/entity/biomarkers/41350","10-protein liver cancer panel")</f>
        <v>10-protein liver cancer panel</v>
      </c>
      <c r="I869" s="2" t="s">
        <v>52</v>
      </c>
      <c r="J869" s="2" t="s">
        <v>17</v>
      </c>
      <c r="K869" s="4" t="str">
        <f>HYPERLINK("https://www.cortellis.com/drugdiscovery/result/proxy/related-content/biomarkers/genestargets/41350","matrix metallopeptidase 9")</f>
        <v>matrix metallopeptidase 9</v>
      </c>
    </row>
    <row r="870" spans="1:11" ht="60" customHeight="1" x14ac:dyDescent="0.2">
      <c r="A870" s="2">
        <v>867</v>
      </c>
      <c r="B870" s="3" t="str">
        <f t="shared" si="157"/>
        <v>MMP9 p82</v>
      </c>
      <c r="C870" s="3" t="str">
        <f t="shared" si="154"/>
        <v>MMP9</v>
      </c>
      <c r="D870" s="3" t="str">
        <f t="shared" si="158"/>
        <v>MMP9 p82_(HUMAN)</v>
      </c>
      <c r="E870" s="2" t="s">
        <v>61</v>
      </c>
      <c r="F870" s="3" t="str">
        <f t="shared" si="159"/>
        <v>Matrix metalloproteinase-9 82 kDa</v>
      </c>
      <c r="G870" s="4"/>
      <c r="H870" s="3" t="str">
        <f>HYPERLINK("https://www.cortellis.com/drugdiscovery/entity/biomarkers/41936","5-gene expression breast cancer panel")</f>
        <v>5-gene expression breast cancer panel</v>
      </c>
      <c r="I870" s="2" t="s">
        <v>60</v>
      </c>
      <c r="J870" s="2" t="s">
        <v>19</v>
      </c>
      <c r="K870" s="4" t="str">
        <f>HYPERLINK("https://www.cortellis.com/drugdiscovery/result/proxy/related-content/biomarkers/genestargets/41936","matrix metallopeptidase 9")</f>
        <v>matrix metallopeptidase 9</v>
      </c>
    </row>
    <row r="871" spans="1:11" ht="60" customHeight="1" x14ac:dyDescent="0.2">
      <c r="A871" s="2">
        <v>868</v>
      </c>
      <c r="B871" s="3" t="str">
        <f t="shared" si="157"/>
        <v>MMP9 p82</v>
      </c>
      <c r="C871" s="3" t="str">
        <f t="shared" si="154"/>
        <v>MMP9</v>
      </c>
      <c r="D871" s="3" t="str">
        <f t="shared" si="158"/>
        <v>MMP9 p82_(HUMAN)</v>
      </c>
      <c r="E871" s="2" t="s">
        <v>61</v>
      </c>
      <c r="F871" s="3" t="str">
        <f t="shared" si="159"/>
        <v>Matrix metalloproteinase-9 82 kDa</v>
      </c>
      <c r="G871" s="4"/>
      <c r="H871" s="3" t="str">
        <f>HYPERLINK("https://www.cortellis.com/drugdiscovery/entity/biomarkers/43380","7-protein bladder cancer panel")</f>
        <v>7-protein bladder cancer panel</v>
      </c>
      <c r="I871" s="2" t="s">
        <v>23</v>
      </c>
      <c r="J871" s="2" t="s">
        <v>15</v>
      </c>
      <c r="K871" s="4" t="str">
        <f>HYPERLINK("https://www.cortellis.com/drugdiscovery/result/proxy/related-content/biomarkers/genestargets/43380","matrix metallopeptidase 9")</f>
        <v>matrix metallopeptidase 9</v>
      </c>
    </row>
    <row r="872" spans="1:11" ht="60" customHeight="1" x14ac:dyDescent="0.2">
      <c r="A872" s="2">
        <v>869</v>
      </c>
      <c r="B872" s="3" t="str">
        <f t="shared" si="157"/>
        <v>MMP9 p82</v>
      </c>
      <c r="C872" s="3" t="str">
        <f t="shared" si="154"/>
        <v>MMP9</v>
      </c>
      <c r="D872" s="3" t="str">
        <f t="shared" si="158"/>
        <v>MMP9 p82_(HUMAN)</v>
      </c>
      <c r="E872" s="2" t="s">
        <v>61</v>
      </c>
      <c r="F872" s="3" t="str">
        <f t="shared" si="159"/>
        <v>Matrix metalloproteinase-9 82 kDa</v>
      </c>
      <c r="G872" s="4"/>
      <c r="H872" s="3" t="str">
        <f>HYPERLINK("https://www.cortellis.com/drugdiscovery/entity/biomarkers/43382","3-protein bladder cancer panel")</f>
        <v>3-protein bladder cancer panel</v>
      </c>
      <c r="I872" s="2" t="s">
        <v>23</v>
      </c>
      <c r="J872" s="2" t="s">
        <v>17</v>
      </c>
      <c r="K872" s="4" t="str">
        <f>HYPERLINK("https://www.cortellis.com/drugdiscovery/result/proxy/related-content/biomarkers/genestargets/43382","matrix metallopeptidase 9")</f>
        <v>matrix metallopeptidase 9</v>
      </c>
    </row>
    <row r="873" spans="1:11" ht="60" customHeight="1" x14ac:dyDescent="0.2">
      <c r="A873" s="2">
        <v>870</v>
      </c>
      <c r="B873" s="3" t="str">
        <f t="shared" si="157"/>
        <v>MMP9 p82</v>
      </c>
      <c r="C873" s="3" t="str">
        <f t="shared" si="154"/>
        <v>MMP9</v>
      </c>
      <c r="D873" s="3" t="str">
        <f t="shared" si="158"/>
        <v>MMP9 p82_(HUMAN)</v>
      </c>
      <c r="E873" s="2" t="s">
        <v>61</v>
      </c>
      <c r="F873" s="3" t="str">
        <f t="shared" si="159"/>
        <v>Matrix metalloproteinase-9 82 kDa</v>
      </c>
      <c r="G873" s="4"/>
      <c r="H873" s="3" t="str">
        <f>HYPERLINK("https://www.cortellis.com/drugdiscovery/entity/biomarkers/43994","4-gene expression adenomatous polyps panel")</f>
        <v>4-gene expression adenomatous polyps panel</v>
      </c>
      <c r="I873" s="2" t="s">
        <v>23</v>
      </c>
      <c r="J873" s="2" t="s">
        <v>19</v>
      </c>
      <c r="K873" s="4" t="str">
        <f>HYPERLINK("https://www.cortellis.com/drugdiscovery/result/proxy/related-content/biomarkers/genestargets/43994","matrix metallopeptidase 9")</f>
        <v>matrix metallopeptidase 9</v>
      </c>
    </row>
    <row r="874" spans="1:11" ht="60" customHeight="1" x14ac:dyDescent="0.2">
      <c r="A874" s="2">
        <v>871</v>
      </c>
      <c r="B874" s="3" t="str">
        <f t="shared" si="157"/>
        <v>MMP9 p82</v>
      </c>
      <c r="C874" s="3" t="str">
        <f t="shared" si="154"/>
        <v>MMP9</v>
      </c>
      <c r="D874" s="3" t="str">
        <f t="shared" si="158"/>
        <v>MMP9 p82_(HUMAN)</v>
      </c>
      <c r="E874" s="2" t="s">
        <v>61</v>
      </c>
      <c r="F874" s="3" t="str">
        <f t="shared" si="159"/>
        <v>Matrix metalloproteinase-9 82 kDa</v>
      </c>
      <c r="G874" s="4"/>
      <c r="H874" s="3" t="str">
        <f>HYPERLINK("https://www.cortellis.com/drugdiscovery/entity/biomarkers/43995","8-gene expression colorectal cancer panel")</f>
        <v>8-gene expression colorectal cancer panel</v>
      </c>
      <c r="I874" s="2" t="s">
        <v>23</v>
      </c>
      <c r="J874" s="2" t="s">
        <v>19</v>
      </c>
      <c r="K874" s="4" t="str">
        <f>HYPERLINK("https://www.cortellis.com/drugdiscovery/result/proxy/related-content/biomarkers/genestargets/43995","matrix metallopeptidase 9")</f>
        <v>matrix metallopeptidase 9</v>
      </c>
    </row>
    <row r="875" spans="1:11" ht="60" customHeight="1" x14ac:dyDescent="0.2">
      <c r="A875" s="2">
        <v>872</v>
      </c>
      <c r="B875" s="3" t="str">
        <f t="shared" si="157"/>
        <v>MMP9 p82</v>
      </c>
      <c r="C875" s="3" t="str">
        <f t="shared" si="154"/>
        <v>MMP9</v>
      </c>
      <c r="D875" s="3" t="str">
        <f t="shared" si="158"/>
        <v>MMP9 p82_(HUMAN)</v>
      </c>
      <c r="E875" s="2" t="s">
        <v>61</v>
      </c>
      <c r="F875" s="3" t="str">
        <f t="shared" si="159"/>
        <v>Matrix metalloproteinase-9 82 kDa</v>
      </c>
      <c r="G875" s="4"/>
      <c r="H875" s="3" t="str">
        <f>HYPERLINK("https://www.cortellis.com/drugdiscovery/entity/biomarkers/45762","37-protein metastatic colon cancer panel")</f>
        <v>37-protein metastatic colon cancer panel</v>
      </c>
      <c r="I875" s="2" t="s">
        <v>20</v>
      </c>
      <c r="J875" s="2" t="s">
        <v>17</v>
      </c>
      <c r="K875" s="4" t="str">
        <f>HYPERLINK("https://www.cortellis.com/drugdiscovery/result/proxy/related-content/biomarkers/genestargets/45762","matrix metallopeptidase 2; matrix metallopeptidase 9")</f>
        <v>matrix metallopeptidase 2; matrix metallopeptidase 9</v>
      </c>
    </row>
    <row r="876" spans="1:11" ht="60" customHeight="1" x14ac:dyDescent="0.2">
      <c r="A876" s="2">
        <v>873</v>
      </c>
      <c r="B876" s="3" t="str">
        <f t="shared" si="157"/>
        <v>MMP9 p82</v>
      </c>
      <c r="C876" s="3" t="str">
        <f t="shared" si="154"/>
        <v>MMP9</v>
      </c>
      <c r="D876" s="3" t="str">
        <f t="shared" si="158"/>
        <v>MMP9 p82_(HUMAN)</v>
      </c>
      <c r="E876" s="2" t="s">
        <v>61</v>
      </c>
      <c r="F876" s="3" t="str">
        <f t="shared" si="159"/>
        <v>Matrix metalloproteinase-9 82 kDa</v>
      </c>
      <c r="G876" s="4"/>
      <c r="H876" s="3" t="str">
        <f>HYPERLINK("https://www.cortellis.com/drugdiscovery/entity/biomarkers/48821","10-gene expression clear cell renal cell cancer panel")</f>
        <v>10-gene expression clear cell renal cell cancer panel</v>
      </c>
      <c r="I876" s="2" t="s">
        <v>18</v>
      </c>
      <c r="J876" s="2" t="s">
        <v>19</v>
      </c>
      <c r="K876" s="4" t="str">
        <f>HYPERLINK("https://www.cortellis.com/drugdiscovery/result/proxy/related-content/biomarkers/genestargets/48821","matrix metallopeptidase 9")</f>
        <v>matrix metallopeptidase 9</v>
      </c>
    </row>
    <row r="877" spans="1:11" ht="60" customHeight="1" x14ac:dyDescent="0.2">
      <c r="A877" s="2">
        <v>874</v>
      </c>
      <c r="B877" s="3" t="str">
        <f t="shared" si="157"/>
        <v>MMP9 p82</v>
      </c>
      <c r="C877" s="3" t="str">
        <f t="shared" si="154"/>
        <v>MMP9</v>
      </c>
      <c r="D877" s="3" t="str">
        <f t="shared" si="158"/>
        <v>MMP9 p82_(HUMAN)</v>
      </c>
      <c r="E877" s="2" t="s">
        <v>61</v>
      </c>
      <c r="F877" s="3" t="str">
        <f t="shared" si="159"/>
        <v>Matrix metalloproteinase-9 82 kDa</v>
      </c>
      <c r="G877" s="4"/>
      <c r="H877" s="3" t="str">
        <f>HYPERLINK("https://www.cortellis.com/drugdiscovery/entity/biomarkers/49523","3-protein diffuse B cell lymphoma  panel")</f>
        <v>3-protein diffuse B cell lymphoma  panel</v>
      </c>
      <c r="I877" s="2" t="s">
        <v>23</v>
      </c>
      <c r="J877" s="2" t="s">
        <v>17</v>
      </c>
      <c r="K877" s="4" t="str">
        <f>HYPERLINK("https://www.cortellis.com/drugdiscovery/result/proxy/related-content/biomarkers/genestargets/49523","matrix metallopeptidase 9")</f>
        <v>matrix metallopeptidase 9</v>
      </c>
    </row>
    <row r="878" spans="1:11" ht="60" customHeight="1" x14ac:dyDescent="0.2">
      <c r="A878" s="2">
        <v>875</v>
      </c>
      <c r="B878" s="3" t="str">
        <f t="shared" si="157"/>
        <v>MMP9 p82</v>
      </c>
      <c r="C878" s="3" t="str">
        <f t="shared" si="154"/>
        <v>MMP9</v>
      </c>
      <c r="D878" s="3" t="str">
        <f t="shared" si="158"/>
        <v>MMP9 p82_(HUMAN)</v>
      </c>
      <c r="E878" s="2" t="s">
        <v>61</v>
      </c>
      <c r="F878" s="3" t="str">
        <f t="shared" si="159"/>
        <v>Matrix metalloproteinase-9 82 kDa</v>
      </c>
      <c r="G878" s="4"/>
      <c r="H878" s="3" t="str">
        <f>HYPERLINK("https://www.cortellis.com/drugdiscovery/entity/biomarkers/49848","29-gene expression colorectal cancer panel")</f>
        <v>29-gene expression colorectal cancer panel</v>
      </c>
      <c r="I878" s="2" t="s">
        <v>23</v>
      </c>
      <c r="J878" s="2" t="s">
        <v>19</v>
      </c>
      <c r="K878" s="4" t="str">
        <f>HYPERLINK("https://www.cortellis.com/drugdiscovery/result/proxy/related-content/biomarkers/genestargets/49848","matrix metallopeptidase 9")</f>
        <v>matrix metallopeptidase 9</v>
      </c>
    </row>
    <row r="879" spans="1:11" ht="60" customHeight="1" x14ac:dyDescent="0.2">
      <c r="A879" s="2">
        <v>876</v>
      </c>
      <c r="B879" s="3" t="str">
        <f t="shared" si="157"/>
        <v>MMP9 p82</v>
      </c>
      <c r="C879" s="3" t="str">
        <f t="shared" si="154"/>
        <v>MMP9</v>
      </c>
      <c r="D879" s="3" t="str">
        <f t="shared" si="158"/>
        <v>MMP9 p82_(HUMAN)</v>
      </c>
      <c r="E879" s="2" t="s">
        <v>61</v>
      </c>
      <c r="F879" s="3" t="str">
        <f t="shared" si="159"/>
        <v>Matrix metalloproteinase-9 82 kDa</v>
      </c>
      <c r="G879" s="4"/>
      <c r="H879" s="3" t="str">
        <f>HYPERLINK("https://www.cortellis.com/drugdiscovery/entity/biomarkers/50282","10-protein bladder cancer panel")</f>
        <v>10-protein bladder cancer panel</v>
      </c>
      <c r="I879" s="2" t="s">
        <v>52</v>
      </c>
      <c r="J879" s="2" t="s">
        <v>17</v>
      </c>
      <c r="K879" s="4" t="str">
        <f>HYPERLINK("https://www.cortellis.com/drugdiscovery/result/proxy/related-content/biomarkers/genestargets/50282","matrix metallopeptidase 9")</f>
        <v>matrix metallopeptidase 9</v>
      </c>
    </row>
    <row r="880" spans="1:11" ht="60" customHeight="1" x14ac:dyDescent="0.2">
      <c r="A880" s="2">
        <v>877</v>
      </c>
      <c r="B880" s="3" t="str">
        <f t="shared" si="157"/>
        <v>MMP9 p82</v>
      </c>
      <c r="C880" s="3" t="str">
        <f t="shared" si="154"/>
        <v>MMP9</v>
      </c>
      <c r="D880" s="3" t="str">
        <f t="shared" si="158"/>
        <v>MMP9 p82_(HUMAN)</v>
      </c>
      <c r="E880" s="2" t="s">
        <v>61</v>
      </c>
      <c r="F880" s="3" t="str">
        <f t="shared" si="159"/>
        <v>Matrix metalloproteinase-9 82 kDa</v>
      </c>
      <c r="G880" s="4"/>
      <c r="H880" s="3" t="str">
        <f>HYPERLINK("https://www.cortellis.com/drugdiscovery/entity/biomarkers/50774","9-protein Kawasaki's disease panel")</f>
        <v>9-protein Kawasaki's disease panel</v>
      </c>
      <c r="I880" s="2" t="s">
        <v>23</v>
      </c>
      <c r="J880" s="2" t="s">
        <v>17</v>
      </c>
      <c r="K880" s="4" t="str">
        <f>HYPERLINK("https://www.cortellis.com/drugdiscovery/result/proxy/related-content/biomarkers/genestargets/50774","matrix metallopeptidase 9; solute carrier family 11 member 1")</f>
        <v>matrix metallopeptidase 9; solute carrier family 11 member 1</v>
      </c>
    </row>
    <row r="881" spans="1:11" ht="60" customHeight="1" x14ac:dyDescent="0.2">
      <c r="A881" s="2">
        <v>878</v>
      </c>
      <c r="B881" s="3" t="str">
        <f t="shared" si="157"/>
        <v>MMP9 p82</v>
      </c>
      <c r="C881" s="3" t="str">
        <f t="shared" si="154"/>
        <v>MMP9</v>
      </c>
      <c r="D881" s="3" t="str">
        <f t="shared" si="158"/>
        <v>MMP9 p82_(HUMAN)</v>
      </c>
      <c r="E881" s="2" t="s">
        <v>61</v>
      </c>
      <c r="F881" s="3" t="str">
        <f t="shared" si="159"/>
        <v>Matrix metalloproteinase-9 82 kDa</v>
      </c>
      <c r="G881" s="4"/>
      <c r="H881" s="3" t="str">
        <f>HYPERLINK("https://www.cortellis.com/drugdiscovery/entity/biomarkers/50815","4-protein serous ovarian cancer panel")</f>
        <v>4-protein serous ovarian cancer panel</v>
      </c>
      <c r="I881" s="2" t="s">
        <v>23</v>
      </c>
      <c r="J881" s="2" t="s">
        <v>17</v>
      </c>
      <c r="K881" s="4" t="str">
        <f>HYPERLINK("https://www.cortellis.com/drugdiscovery/result/proxy/related-content/biomarkers/genestargets/50815","matrix metallopeptidase 9")</f>
        <v>matrix metallopeptidase 9</v>
      </c>
    </row>
    <row r="882" spans="1:11" ht="60" customHeight="1" x14ac:dyDescent="0.2">
      <c r="A882" s="2">
        <v>879</v>
      </c>
      <c r="B882" s="3" t="str">
        <f t="shared" si="157"/>
        <v>MMP9 p82</v>
      </c>
      <c r="C882" s="3" t="str">
        <f t="shared" si="154"/>
        <v>MMP9</v>
      </c>
      <c r="D882" s="3" t="str">
        <f t="shared" si="158"/>
        <v>MMP9 p82_(HUMAN)</v>
      </c>
      <c r="E882" s="2" t="s">
        <v>61</v>
      </c>
      <c r="F882" s="3" t="str">
        <f t="shared" si="159"/>
        <v>Matrix metalloproteinase-9 82 kDa</v>
      </c>
      <c r="G882" s="4"/>
      <c r="H882" s="3" t="str">
        <f>HYPERLINK("https://www.cortellis.com/drugdiscovery/entity/biomarkers/51682","Multiplex biomarker panel")</f>
        <v>Multiplex biomarker panel</v>
      </c>
      <c r="I882" s="2" t="s">
        <v>23</v>
      </c>
      <c r="J882" s="2" t="s">
        <v>15</v>
      </c>
      <c r="K882" s="4" t="str">
        <f>HYPERLINK("https://www.cortellis.com/drugdiscovery/result/proxy/related-content/biomarkers/genestargets/51682","matrix metallopeptidase 2; matrix metallopeptidase 9")</f>
        <v>matrix metallopeptidase 2; matrix metallopeptidase 9</v>
      </c>
    </row>
    <row r="883" spans="1:11" ht="60" customHeight="1" x14ac:dyDescent="0.2">
      <c r="A883" s="2">
        <v>880</v>
      </c>
      <c r="B883" s="3" t="str">
        <f t="shared" si="157"/>
        <v>MMP9 p82</v>
      </c>
      <c r="C883" s="3" t="str">
        <f t="shared" si="154"/>
        <v>MMP9</v>
      </c>
      <c r="D883" s="3" t="str">
        <f t="shared" si="158"/>
        <v>MMP9 p82_(HUMAN)</v>
      </c>
      <c r="E883" s="2" t="s">
        <v>61</v>
      </c>
      <c r="F883" s="3" t="str">
        <f t="shared" si="159"/>
        <v>Matrix metalloproteinase-9 82 kDa</v>
      </c>
      <c r="G883" s="4"/>
      <c r="H883" s="3" t="str">
        <f>HYPERLINK("https://www.cortellis.com/drugdiscovery/entity/biomarkers/51857","20-protein psychiatric disorders panel")</f>
        <v>20-protein psychiatric disorders panel</v>
      </c>
      <c r="I883" s="2" t="s">
        <v>23</v>
      </c>
      <c r="J883" s="2" t="s">
        <v>17</v>
      </c>
      <c r="K883" s="4" t="str">
        <f>HYPERLINK("https://www.cortellis.com/drugdiscovery/result/proxy/related-content/biomarkers/genestargets/51857","matrix metallopeptidase 9")</f>
        <v>matrix metallopeptidase 9</v>
      </c>
    </row>
    <row r="884" spans="1:11" ht="60" customHeight="1" x14ac:dyDescent="0.2">
      <c r="A884" s="2">
        <v>881</v>
      </c>
      <c r="B884" s="3" t="str">
        <f t="shared" si="157"/>
        <v>MMP9 p82</v>
      </c>
      <c r="C884" s="3" t="str">
        <f t="shared" si="154"/>
        <v>MMP9</v>
      </c>
      <c r="D884" s="3" t="str">
        <f t="shared" si="158"/>
        <v>MMP9 p82_(HUMAN)</v>
      </c>
      <c r="E884" s="2" t="s">
        <v>61</v>
      </c>
      <c r="F884" s="3" t="str">
        <f t="shared" si="159"/>
        <v>Matrix metalloproteinase-9 82 kDa</v>
      </c>
      <c r="G884" s="4"/>
      <c r="H884" s="3" t="str">
        <f>HYPERLINK("https://www.cortellis.com/drugdiscovery/entity/biomarkers/51943","3-protein colorectal cancer panel")</f>
        <v>3-protein colorectal cancer panel</v>
      </c>
      <c r="I884" s="2" t="s">
        <v>25</v>
      </c>
      <c r="J884" s="2" t="s">
        <v>17</v>
      </c>
      <c r="K884" s="4" t="str">
        <f>HYPERLINK("https://www.cortellis.com/drugdiscovery/result/proxy/related-content/biomarkers/genestargets/51943","matrix metallopeptidase 9")</f>
        <v>matrix metallopeptidase 9</v>
      </c>
    </row>
    <row r="885" spans="1:11" ht="60" customHeight="1" x14ac:dyDescent="0.2">
      <c r="A885" s="2">
        <v>882</v>
      </c>
      <c r="B885" s="3" t="str">
        <f t="shared" si="157"/>
        <v>MMP9 p82</v>
      </c>
      <c r="C885" s="3" t="str">
        <f t="shared" si="154"/>
        <v>MMP9</v>
      </c>
      <c r="D885" s="3" t="str">
        <f t="shared" si="158"/>
        <v>MMP9 p82_(HUMAN)</v>
      </c>
      <c r="E885" s="2" t="s">
        <v>61</v>
      </c>
      <c r="F885" s="3" t="str">
        <f t="shared" si="159"/>
        <v>Matrix metalloproteinase-9 82 kDa</v>
      </c>
      <c r="G885" s="4"/>
      <c r="H885" s="3" t="str">
        <f>HYPERLINK("https://www.cortellis.com/drugdiscovery/entity/biomarkers/53826","10-protein bladder cancer panel")</f>
        <v>10-protein bladder cancer panel</v>
      </c>
      <c r="I885" s="2" t="s">
        <v>23</v>
      </c>
      <c r="J885" s="2" t="s">
        <v>17</v>
      </c>
      <c r="K885" s="4" t="str">
        <f>HYPERLINK("https://www.cortellis.com/drugdiscovery/result/proxy/related-content/biomarkers/genestargets/53826","matrix metallopeptidase 9")</f>
        <v>matrix metallopeptidase 9</v>
      </c>
    </row>
    <row r="886" spans="1:11" ht="60" customHeight="1" x14ac:dyDescent="0.2">
      <c r="A886" s="2">
        <v>883</v>
      </c>
      <c r="B886" s="3" t="str">
        <f t="shared" si="157"/>
        <v>MMP9 p82</v>
      </c>
      <c r="C886" s="3" t="str">
        <f t="shared" si="154"/>
        <v>MMP9</v>
      </c>
      <c r="D886" s="3" t="str">
        <f t="shared" si="158"/>
        <v>MMP9 p82_(HUMAN)</v>
      </c>
      <c r="E886" s="2" t="s">
        <v>61</v>
      </c>
      <c r="F886" s="3" t="str">
        <f t="shared" si="159"/>
        <v>Matrix metalloproteinase-9 82 kDa</v>
      </c>
      <c r="G886" s="4"/>
      <c r="H886" s="3" t="str">
        <f>HYPERLINK("https://www.cortellis.com/drugdiscovery/entity/biomarkers/54509","5-protein hepatotoxicty panel")</f>
        <v>5-protein hepatotoxicty panel</v>
      </c>
      <c r="I886" s="2" t="s">
        <v>23</v>
      </c>
      <c r="J886" s="2" t="s">
        <v>17</v>
      </c>
      <c r="K886" s="4" t="str">
        <f>HYPERLINK("https://www.cortellis.com/drugdiscovery/result/proxy/related-content/biomarkers/genestargets/54509","matrix metallopeptidase 9")</f>
        <v>matrix metallopeptidase 9</v>
      </c>
    </row>
    <row r="887" spans="1:11" ht="60" customHeight="1" x14ac:dyDescent="0.2">
      <c r="A887" s="2">
        <v>884</v>
      </c>
      <c r="B887" s="3" t="str">
        <f t="shared" si="157"/>
        <v>MMP9 p82</v>
      </c>
      <c r="C887" s="3" t="str">
        <f t="shared" si="154"/>
        <v>MMP9</v>
      </c>
      <c r="D887" s="3" t="str">
        <f t="shared" si="158"/>
        <v>MMP9 p82_(HUMAN)</v>
      </c>
      <c r="E887" s="2" t="s">
        <v>61</v>
      </c>
      <c r="F887" s="3" t="str">
        <f t="shared" si="159"/>
        <v>Matrix metalloproteinase-9 82 kDa</v>
      </c>
      <c r="G887" s="4"/>
      <c r="H887" s="3" t="str">
        <f>HYPERLINK("https://www.cortellis.com/drugdiscovery/entity/biomarkers/55657","4-protein cardiovascular disorder panel")</f>
        <v>4-protein cardiovascular disorder panel</v>
      </c>
      <c r="I887" s="2" t="s">
        <v>29</v>
      </c>
      <c r="J887" s="2" t="s">
        <v>17</v>
      </c>
      <c r="K887" s="4" t="str">
        <f>HYPERLINK("https://www.cortellis.com/drugdiscovery/result/proxy/related-content/biomarkers/genestargets/55657","matrix metallopeptidase 9")</f>
        <v>matrix metallopeptidase 9</v>
      </c>
    </row>
    <row r="888" spans="1:11" ht="60" customHeight="1" x14ac:dyDescent="0.2">
      <c r="A888" s="2">
        <v>885</v>
      </c>
      <c r="B888" s="3" t="str">
        <f t="shared" si="157"/>
        <v>MMP9 p82</v>
      </c>
      <c r="C888" s="3" t="str">
        <f t="shared" si="154"/>
        <v>MMP9</v>
      </c>
      <c r="D888" s="3" t="str">
        <f t="shared" si="158"/>
        <v>MMP9 p82_(HUMAN)</v>
      </c>
      <c r="E888" s="2" t="s">
        <v>61</v>
      </c>
      <c r="F888" s="3" t="str">
        <f t="shared" si="159"/>
        <v>Matrix metalloproteinase-9 82 kDa</v>
      </c>
      <c r="G888" s="4"/>
      <c r="H888" s="3" t="str">
        <f>HYPERLINK("https://www.cortellis.com/drugdiscovery/entity/biomarkers/59957","10-protein obstructive pulmonary disease panel")</f>
        <v>10-protein obstructive pulmonary disease panel</v>
      </c>
      <c r="I888" s="2" t="s">
        <v>20</v>
      </c>
      <c r="J888" s="2" t="s">
        <v>17</v>
      </c>
      <c r="K888" s="4" t="str">
        <f>HYPERLINK("https://www.cortellis.com/drugdiscovery/result/proxy/related-content/biomarkers/genestargets/59957","matrix metallopeptidase 9; ribonuclease A family member 3")</f>
        <v>matrix metallopeptidase 9; ribonuclease A family member 3</v>
      </c>
    </row>
    <row r="889" spans="1:11" ht="60" customHeight="1" x14ac:dyDescent="0.2">
      <c r="A889" s="2">
        <v>886</v>
      </c>
      <c r="B889" s="3" t="str">
        <f t="shared" si="157"/>
        <v>MMP9 p82</v>
      </c>
      <c r="C889" s="3" t="str">
        <f t="shared" si="154"/>
        <v>MMP9</v>
      </c>
      <c r="D889" s="3" t="str">
        <f t="shared" si="158"/>
        <v>MMP9 p82_(HUMAN)</v>
      </c>
      <c r="E889" s="2" t="s">
        <v>61</v>
      </c>
      <c r="F889" s="3" t="str">
        <f t="shared" si="159"/>
        <v>Matrix metalloproteinase-9 82 kDa</v>
      </c>
      <c r="G889" s="4"/>
      <c r="H889" s="3" t="str">
        <f>HYPERLINK("https://www.cortellis.com/drugdiscovery/entity/biomarkers/59959","13-protein Crohn's disease panel")</f>
        <v>13-protein Crohn's disease panel</v>
      </c>
      <c r="I889" s="2" t="s">
        <v>24</v>
      </c>
      <c r="J889" s="2" t="s">
        <v>17</v>
      </c>
      <c r="K889" s="4" t="str">
        <f>HYPERLINK("https://www.cortellis.com/drugdiscovery/result/proxy/related-content/biomarkers/genestargets/59959","interleukin 7; matrix metallopeptidase 2; matrix metallopeptidase 9")</f>
        <v>interleukin 7; matrix metallopeptidase 2; matrix metallopeptidase 9</v>
      </c>
    </row>
    <row r="890" spans="1:11" ht="60" customHeight="1" x14ac:dyDescent="0.2">
      <c r="A890" s="2">
        <v>887</v>
      </c>
      <c r="B890" s="3" t="str">
        <f t="shared" si="157"/>
        <v>MMP9 p82</v>
      </c>
      <c r="C890" s="3" t="str">
        <f t="shared" si="154"/>
        <v>MMP9</v>
      </c>
      <c r="D890" s="3" t="str">
        <f t="shared" si="158"/>
        <v>MMP9 p82_(HUMAN)</v>
      </c>
      <c r="E890" s="2" t="s">
        <v>61</v>
      </c>
      <c r="F890" s="3" t="str">
        <f t="shared" si="159"/>
        <v>Matrix metalloproteinase-9 82 kDa</v>
      </c>
      <c r="G890" s="4"/>
      <c r="H890" s="3" t="str">
        <f>HYPERLINK("https://www.cortellis.com/drugdiscovery/entity/biomarkers/59979","10-protein bladder cancer panel")</f>
        <v>10-protein bladder cancer panel</v>
      </c>
      <c r="I890" s="2" t="s">
        <v>23</v>
      </c>
      <c r="J890" s="2" t="s">
        <v>17</v>
      </c>
      <c r="K890" s="4" t="str">
        <f>HYPERLINK("https://www.cortellis.com/drugdiscovery/result/proxy/related-content/biomarkers/genestargets/59979","matrix metallopeptidase 9")</f>
        <v>matrix metallopeptidase 9</v>
      </c>
    </row>
    <row r="891" spans="1:11" ht="60" customHeight="1" x14ac:dyDescent="0.2">
      <c r="A891" s="2">
        <v>888</v>
      </c>
      <c r="B891" s="3" t="str">
        <f>HYPERLINK("https://portal.genego.com/cgi/entity_page.cgi?term=100&amp;id=-247468650","NFKBIL1")</f>
        <v>NFKBIL1</v>
      </c>
      <c r="C891" s="3" t="str">
        <f>HYPERLINK("https://portal.genego.com/cgi/entity_page.cgi?term=20&amp;id=-1010126543","NFKBIL1")</f>
        <v>NFKBIL1</v>
      </c>
      <c r="D891" s="3" t="str">
        <f>HYPERLINK("https://portal.genego.com/cgi/entity_page.cgi?term=7&amp;id=1032054","IKBL1_HUMAN")</f>
        <v>IKBL1_HUMAN</v>
      </c>
      <c r="E891" s="2" t="s">
        <v>30</v>
      </c>
      <c r="F891" s="3" t="str">
        <f>HYPERLINK("https://portal.genego.com/cgi/entity_page.cgi?term=100&amp;id=-247468650","NF-kappa-B inhibitor-like protein 1")</f>
        <v>NF-kappa-B inhibitor-like protein 1</v>
      </c>
      <c r="G891" s="4"/>
      <c r="H891" s="3" t="str">
        <f>HYPERLINK("https://www.cortellis.com/drugdiscovery/entity/biomarkers/5240","NF-kappaB inhibitor-like protein 1")</f>
        <v>NF-kappaB inhibitor-like protein 1</v>
      </c>
      <c r="I891" s="2" t="s">
        <v>62</v>
      </c>
      <c r="J891" s="2" t="s">
        <v>19</v>
      </c>
      <c r="K891" s="4" t="str">
        <f>HYPERLINK("https://www.cortellis.com/drugdiscovery/result/proxy/related-content/biomarkers/genestargets/5240","NFKB inhibitor like 1")</f>
        <v>NFKB inhibitor like 1</v>
      </c>
    </row>
    <row r="892" spans="1:11" ht="60" customHeight="1" x14ac:dyDescent="0.2">
      <c r="A892" s="2">
        <v>889</v>
      </c>
      <c r="B892" s="3" t="str">
        <f>HYPERLINK("https://portal.genego.com/cgi/entity_page.cgi?term=100&amp;id=6263","NRAMP1")</f>
        <v>NRAMP1</v>
      </c>
      <c r="C892" s="3" t="str">
        <f>HYPERLINK("https://portal.genego.com/cgi/entity_page.cgi?term=20&amp;id=1418746156","SLC11A1")</f>
        <v>SLC11A1</v>
      </c>
      <c r="D892" s="3" t="str">
        <f>HYPERLINK("https://portal.genego.com/cgi/entity_page.cgi?term=7&amp;id=-907646279","NRAM1_HUMAN")</f>
        <v>NRAM1_HUMAN</v>
      </c>
      <c r="E892" s="2" t="s">
        <v>63</v>
      </c>
      <c r="F892" s="3" t="str">
        <f>HYPERLINK("https://portal.genego.com/cgi/entity_page.cgi?term=100&amp;id=6263","Natural resistance-associated macrophage protein 1")</f>
        <v>Natural resistance-associated macrophage protein 1</v>
      </c>
      <c r="G892" s="4"/>
      <c r="H892" s="3" t="str">
        <f>HYPERLINK("https://www.cortellis.com/drugdiscovery/entity/biomarkers/6532","Natural resistance-associated macrophage protein 1")</f>
        <v>Natural resistance-associated macrophage protein 1</v>
      </c>
      <c r="I892" s="2" t="s">
        <v>50</v>
      </c>
      <c r="J892" s="2" t="s">
        <v>15</v>
      </c>
      <c r="K892" s="4" t="str">
        <f>HYPERLINK("https://www.cortellis.com/drugdiscovery/result/proxy/related-content/biomarkers/genestargets/6532","solute carrier family 11 member 1")</f>
        <v>solute carrier family 11 member 1</v>
      </c>
    </row>
    <row r="893" spans="1:11" ht="60" customHeight="1" x14ac:dyDescent="0.2">
      <c r="A893" s="2">
        <v>890</v>
      </c>
      <c r="B893" s="3" t="str">
        <f>HYPERLINK("https://portal.genego.com/cgi/entity_page.cgi?term=100&amp;id=6263","NRAMP1")</f>
        <v>NRAMP1</v>
      </c>
      <c r="C893" s="3" t="str">
        <f>HYPERLINK("https://portal.genego.com/cgi/entity_page.cgi?term=20&amp;id=1418746156","SLC11A1")</f>
        <v>SLC11A1</v>
      </c>
      <c r="D893" s="3" t="str">
        <f>HYPERLINK("https://portal.genego.com/cgi/entity_page.cgi?term=7&amp;id=-907646279","NRAM1_HUMAN")</f>
        <v>NRAM1_HUMAN</v>
      </c>
      <c r="E893" s="2" t="s">
        <v>63</v>
      </c>
      <c r="F893" s="3" t="str">
        <f>HYPERLINK("https://portal.genego.com/cgi/entity_page.cgi?term=100&amp;id=6263","Natural resistance-associated macrophage protein 1")</f>
        <v>Natural resistance-associated macrophage protein 1</v>
      </c>
      <c r="G893" s="4"/>
      <c r="H893" s="3" t="str">
        <f>HYPERLINK("https://www.cortellis.com/drugdiscovery/entity/biomarkers/35758","421-gene expression lung cancer panel")</f>
        <v>421-gene expression lung cancer panel</v>
      </c>
      <c r="I893" s="2" t="s">
        <v>23</v>
      </c>
      <c r="J893" s="2" t="s">
        <v>19</v>
      </c>
      <c r="K893" s="4" t="str">
        <f>HYPERLINK("https://www.cortellis.com/drugdiscovery/result/proxy/related-content/biomarkers/genestargets/35758","solute carrier family 11 member 1")</f>
        <v>solute carrier family 11 member 1</v>
      </c>
    </row>
    <row r="894" spans="1:11" ht="60" customHeight="1" x14ac:dyDescent="0.2">
      <c r="A894" s="2">
        <v>891</v>
      </c>
      <c r="B894" s="3" t="str">
        <f>HYPERLINK("https://portal.genego.com/cgi/entity_page.cgi?term=100&amp;id=6263","NRAMP1")</f>
        <v>NRAMP1</v>
      </c>
      <c r="C894" s="3" t="str">
        <f>HYPERLINK("https://portal.genego.com/cgi/entity_page.cgi?term=20&amp;id=1418746156","SLC11A1")</f>
        <v>SLC11A1</v>
      </c>
      <c r="D894" s="3" t="str">
        <f>HYPERLINK("https://portal.genego.com/cgi/entity_page.cgi?term=7&amp;id=-907646279","NRAM1_HUMAN")</f>
        <v>NRAM1_HUMAN</v>
      </c>
      <c r="E894" s="2" t="s">
        <v>63</v>
      </c>
      <c r="F894" s="3" t="str">
        <f>HYPERLINK("https://portal.genego.com/cgi/entity_page.cgi?term=100&amp;id=6263","Natural resistance-associated macrophage protein 1")</f>
        <v>Natural resistance-associated macrophage protein 1</v>
      </c>
      <c r="G894" s="4"/>
      <c r="H894" s="3" t="str">
        <f>HYPERLINK("https://www.cortellis.com/drugdiscovery/entity/biomarkers/39092","6-gene polymorphism melanoma panel")</f>
        <v>6-gene polymorphism melanoma panel</v>
      </c>
      <c r="I894" s="2" t="s">
        <v>18</v>
      </c>
      <c r="J894" s="2" t="s">
        <v>19</v>
      </c>
      <c r="K894" s="4" t="str">
        <f>HYPERLINK("https://www.cortellis.com/drugdiscovery/result/proxy/related-content/biomarkers/genestargets/39092","solute carrier family 11 member 1")</f>
        <v>solute carrier family 11 member 1</v>
      </c>
    </row>
    <row r="895" spans="1:11" ht="60" customHeight="1" x14ac:dyDescent="0.2">
      <c r="A895" s="2">
        <v>892</v>
      </c>
      <c r="B895" s="3" t="str">
        <f>HYPERLINK("https://portal.genego.com/cgi/entity_page.cgi?term=100&amp;id=6263","NRAMP1")</f>
        <v>NRAMP1</v>
      </c>
      <c r="C895" s="3" t="str">
        <f>HYPERLINK("https://portal.genego.com/cgi/entity_page.cgi?term=20&amp;id=1418746156","SLC11A1")</f>
        <v>SLC11A1</v>
      </c>
      <c r="D895" s="3" t="str">
        <f>HYPERLINK("https://portal.genego.com/cgi/entity_page.cgi?term=7&amp;id=-907646279","NRAM1_HUMAN")</f>
        <v>NRAM1_HUMAN</v>
      </c>
      <c r="E895" s="2" t="s">
        <v>63</v>
      </c>
      <c r="F895" s="3" t="str">
        <f>HYPERLINK("https://portal.genego.com/cgi/entity_page.cgi?term=100&amp;id=6263","Natural resistance-associated macrophage protein 1")</f>
        <v>Natural resistance-associated macrophage protein 1</v>
      </c>
      <c r="G895" s="4"/>
      <c r="H895" s="3" t="str">
        <f>HYPERLINK("https://www.cortellis.com/drugdiscovery/entity/biomarkers/50774","9-protein Kawasaki's disease panel")</f>
        <v>9-protein Kawasaki's disease panel</v>
      </c>
      <c r="I895" s="2" t="s">
        <v>23</v>
      </c>
      <c r="J895" s="2" t="s">
        <v>17</v>
      </c>
      <c r="K895" s="4" t="str">
        <f>HYPERLINK("https://www.cortellis.com/drugdiscovery/result/proxy/related-content/biomarkers/genestargets/50774","matrix metallopeptidase 9; solute carrier family 11 member 1")</f>
        <v>matrix metallopeptidase 9; solute carrier family 11 member 1</v>
      </c>
    </row>
    <row r="896" spans="1:11" ht="60" customHeight="1" x14ac:dyDescent="0.2">
      <c r="A896" s="2">
        <v>893</v>
      </c>
      <c r="B896" s="3" t="str">
        <f t="shared" ref="B896:B914" si="160">HYPERLINK("https://portal.genego.com/cgi/entity_page.cgi?term=100&amp;id=-1469289858","PD-L1")</f>
        <v>PD-L1</v>
      </c>
      <c r="C896" s="3" t="str">
        <f t="shared" ref="C896:C914" si="161">HYPERLINK("https://portal.genego.com/cgi/entity_page.cgi?term=20&amp;id=-537110579","CD274")</f>
        <v>CD274</v>
      </c>
      <c r="D896" s="3" t="str">
        <f t="shared" ref="D896:D914" si="162">HYPERLINK("https://portal.genego.com/cgi/entity_page.cgi?term=7&amp;id=1041715","PD1L1_HUMAN")</f>
        <v>PD1L1_HUMAN</v>
      </c>
      <c r="E896" s="2" t="s">
        <v>30</v>
      </c>
      <c r="F896" s="3" t="str">
        <f t="shared" ref="F896:F914" si="163">HYPERLINK("https://portal.genego.com/cgi/entity_page.cgi?term=100&amp;id=-1469289858","Programmed cell death 1 ligand 1")</f>
        <v>Programmed cell death 1 ligand 1</v>
      </c>
      <c r="G896" s="4"/>
      <c r="H896" s="3" t="str">
        <f>HYPERLINK("https://www.cortellis.com/drugdiscovery/entity/biomarkers/824","Programmed cell death 1 ligand 1")</f>
        <v>Programmed cell death 1 ligand 1</v>
      </c>
      <c r="I896" s="2" t="s">
        <v>64</v>
      </c>
      <c r="J896" s="2" t="s">
        <v>15</v>
      </c>
      <c r="K896" s="4" t="str">
        <f>HYPERLINK("https://www.cortellis.com/drugdiscovery/result/proxy/related-content/biomarkers/genestargets/824","CD274 molecule")</f>
        <v>CD274 molecule</v>
      </c>
    </row>
    <row r="897" spans="1:11" ht="60" customHeight="1" x14ac:dyDescent="0.2">
      <c r="A897" s="2">
        <v>894</v>
      </c>
      <c r="B897" s="3" t="str">
        <f t="shared" si="160"/>
        <v>PD-L1</v>
      </c>
      <c r="C897" s="3" t="str">
        <f t="shared" si="161"/>
        <v>CD274</v>
      </c>
      <c r="D897" s="3" t="str">
        <f t="shared" si="162"/>
        <v>PD1L1_HUMAN</v>
      </c>
      <c r="E897" s="2" t="s">
        <v>30</v>
      </c>
      <c r="F897" s="3" t="str">
        <f t="shared" si="163"/>
        <v>Programmed cell death 1 ligand 1</v>
      </c>
      <c r="G897" s="4"/>
      <c r="H897" s="3" t="str">
        <f>HYPERLINK("https://www.cortellis.com/drugdiscovery/entity/biomarkers/37946","44-gene expression breast cancer panel")</f>
        <v>44-gene expression breast cancer panel</v>
      </c>
      <c r="I897" s="2" t="s">
        <v>33</v>
      </c>
      <c r="J897" s="2" t="s">
        <v>19</v>
      </c>
      <c r="K897" s="4" t="str">
        <f>HYPERLINK("https://www.cortellis.com/drugdiscovery/result/proxy/related-content/biomarkers/genestargets/37946","CD274 molecule; protein tyrosine phosphatase receptor type C")</f>
        <v>CD274 molecule; protein tyrosine phosphatase receptor type C</v>
      </c>
    </row>
    <row r="898" spans="1:11" ht="60" customHeight="1" x14ac:dyDescent="0.2">
      <c r="A898" s="2">
        <v>895</v>
      </c>
      <c r="B898" s="3" t="str">
        <f t="shared" si="160"/>
        <v>PD-L1</v>
      </c>
      <c r="C898" s="3" t="str">
        <f t="shared" si="161"/>
        <v>CD274</v>
      </c>
      <c r="D898" s="3" t="str">
        <f t="shared" si="162"/>
        <v>PD1L1_HUMAN</v>
      </c>
      <c r="E898" s="2" t="s">
        <v>30</v>
      </c>
      <c r="F898" s="3" t="str">
        <f t="shared" si="163"/>
        <v>Programmed cell death 1 ligand 1</v>
      </c>
      <c r="G898" s="4"/>
      <c r="H898" s="3" t="str">
        <f>HYPERLINK("https://www.cortellis.com/drugdiscovery/entity/biomarkers/38158","147-gene expression cancer panel")</f>
        <v>147-gene expression cancer panel</v>
      </c>
      <c r="I898" s="2" t="s">
        <v>65</v>
      </c>
      <c r="J898" s="2" t="s">
        <v>19</v>
      </c>
      <c r="K898" s="4" t="str">
        <f>HYPERLINK("https://www.cortellis.com/drugdiscovery/result/proxy/related-content/biomarkers/genestargets/38158","CD274 molecule")</f>
        <v>CD274 molecule</v>
      </c>
    </row>
    <row r="899" spans="1:11" ht="60" customHeight="1" x14ac:dyDescent="0.2">
      <c r="A899" s="2">
        <v>896</v>
      </c>
      <c r="B899" s="3" t="str">
        <f t="shared" si="160"/>
        <v>PD-L1</v>
      </c>
      <c r="C899" s="3" t="str">
        <f t="shared" si="161"/>
        <v>CD274</v>
      </c>
      <c r="D899" s="3" t="str">
        <f t="shared" si="162"/>
        <v>PD1L1_HUMAN</v>
      </c>
      <c r="E899" s="2" t="s">
        <v>30</v>
      </c>
      <c r="F899" s="3" t="str">
        <f t="shared" si="163"/>
        <v>Programmed cell death 1 ligand 1</v>
      </c>
      <c r="G899" s="4"/>
      <c r="H899" s="3" t="str">
        <f>HYPERLINK("https://www.cortellis.com/drugdiscovery/entity/biomarkers/38653","61-gene expression allergic rhinitis panel")</f>
        <v>61-gene expression allergic rhinitis panel</v>
      </c>
      <c r="I899" s="2" t="s">
        <v>23</v>
      </c>
      <c r="J899" s="2" t="s">
        <v>19</v>
      </c>
      <c r="K899" s="4" t="str">
        <f>HYPERLINK("https://www.cortellis.com/drugdiscovery/result/proxy/related-content/biomarkers/genestargets/38653","CD274 molecule; CD44 molecule (Indian blood group)")</f>
        <v>CD274 molecule; CD44 molecule (Indian blood group)</v>
      </c>
    </row>
    <row r="900" spans="1:11" ht="60" customHeight="1" x14ac:dyDescent="0.2">
      <c r="A900" s="2">
        <v>897</v>
      </c>
      <c r="B900" s="3" t="str">
        <f t="shared" si="160"/>
        <v>PD-L1</v>
      </c>
      <c r="C900" s="3" t="str">
        <f t="shared" si="161"/>
        <v>CD274</v>
      </c>
      <c r="D900" s="3" t="str">
        <f t="shared" si="162"/>
        <v>PD1L1_HUMAN</v>
      </c>
      <c r="E900" s="2" t="s">
        <v>30</v>
      </c>
      <c r="F900" s="3" t="str">
        <f t="shared" si="163"/>
        <v>Programmed cell death 1 ligand 1</v>
      </c>
      <c r="G900" s="4"/>
      <c r="H900" s="3" t="str">
        <f>HYPERLINK("https://www.cortellis.com/drugdiscovery/entity/biomarkers/49180","6-gene expression melanoma panel")</f>
        <v>6-gene expression melanoma panel</v>
      </c>
      <c r="I900" s="2" t="s">
        <v>18</v>
      </c>
      <c r="J900" s="2" t="s">
        <v>19</v>
      </c>
      <c r="K900" s="4" t="str">
        <f>HYPERLINK("https://www.cortellis.com/drugdiscovery/result/proxy/related-content/biomarkers/genestargets/49180","CD274 molecule")</f>
        <v>CD274 molecule</v>
      </c>
    </row>
    <row r="901" spans="1:11" ht="60" customHeight="1" x14ac:dyDescent="0.2">
      <c r="A901" s="2">
        <v>898</v>
      </c>
      <c r="B901" s="3" t="str">
        <f t="shared" si="160"/>
        <v>PD-L1</v>
      </c>
      <c r="C901" s="3" t="str">
        <f t="shared" si="161"/>
        <v>CD274</v>
      </c>
      <c r="D901" s="3" t="str">
        <f t="shared" si="162"/>
        <v>PD1L1_HUMAN</v>
      </c>
      <c r="E901" s="2" t="s">
        <v>30</v>
      </c>
      <c r="F901" s="3" t="str">
        <f t="shared" si="163"/>
        <v>Programmed cell death 1 ligand 1</v>
      </c>
      <c r="G901" s="4"/>
      <c r="H901" s="3" t="str">
        <f>HYPERLINK("https://www.cortellis.com/drugdiscovery/entity/biomarkers/54719","44-gene expression cancer panel")</f>
        <v>44-gene expression cancer panel</v>
      </c>
      <c r="I901" s="2" t="s">
        <v>18</v>
      </c>
      <c r="J901" s="2" t="s">
        <v>19</v>
      </c>
      <c r="K901" s="4" t="str">
        <f>HYPERLINK("https://www.cortellis.com/drugdiscovery/result/proxy/related-content/biomarkers/genestargets/54719","CD274 molecule; protein tyrosine phosphatase receptor type C")</f>
        <v>CD274 molecule; protein tyrosine phosphatase receptor type C</v>
      </c>
    </row>
    <row r="902" spans="1:11" ht="60" customHeight="1" x14ac:dyDescent="0.2">
      <c r="A902" s="2">
        <v>899</v>
      </c>
      <c r="B902" s="3" t="str">
        <f t="shared" si="160"/>
        <v>PD-L1</v>
      </c>
      <c r="C902" s="3" t="str">
        <f t="shared" si="161"/>
        <v>CD274</v>
      </c>
      <c r="D902" s="3" t="str">
        <f t="shared" si="162"/>
        <v>PD1L1_HUMAN</v>
      </c>
      <c r="E902" s="2" t="s">
        <v>30</v>
      </c>
      <c r="F902" s="3" t="str">
        <f t="shared" si="163"/>
        <v>Programmed cell death 1 ligand 1</v>
      </c>
      <c r="G902" s="4"/>
      <c r="H902" s="3" t="str">
        <f>HYPERLINK("https://www.cortellis.com/drugdiscovery/entity/biomarkers/55299","3-gene expression breast cancer panel")</f>
        <v>3-gene expression breast cancer panel</v>
      </c>
      <c r="I902" s="2" t="s">
        <v>25</v>
      </c>
      <c r="J902" s="2" t="s">
        <v>19</v>
      </c>
      <c r="K902" s="4" t="str">
        <f>HYPERLINK("https://www.cortellis.com/drugdiscovery/result/proxy/related-content/biomarkers/genestargets/55299","CD274 molecule")</f>
        <v>CD274 molecule</v>
      </c>
    </row>
    <row r="903" spans="1:11" ht="60" customHeight="1" x14ac:dyDescent="0.2">
      <c r="A903" s="2">
        <v>900</v>
      </c>
      <c r="B903" s="3" t="str">
        <f t="shared" si="160"/>
        <v>PD-L1</v>
      </c>
      <c r="C903" s="3" t="str">
        <f t="shared" si="161"/>
        <v>CD274</v>
      </c>
      <c r="D903" s="3" t="str">
        <f t="shared" si="162"/>
        <v>PD1L1_HUMAN</v>
      </c>
      <c r="E903" s="2" t="s">
        <v>30</v>
      </c>
      <c r="F903" s="3" t="str">
        <f t="shared" si="163"/>
        <v>Programmed cell death 1 ligand 1</v>
      </c>
      <c r="G903" s="4"/>
      <c r="H903" s="3" t="str">
        <f>HYPERLINK("https://www.cortellis.com/drugdiscovery/entity/biomarkers/55724","4-gene expression non small cell lung cancer panel")</f>
        <v>4-gene expression non small cell lung cancer panel</v>
      </c>
      <c r="I903" s="2" t="s">
        <v>18</v>
      </c>
      <c r="J903" s="2" t="s">
        <v>19</v>
      </c>
      <c r="K903" s="4" t="str">
        <f>HYPERLINK("https://www.cortellis.com/drugdiscovery/result/proxy/related-content/biomarkers/genestargets/55724","CD274 molecule; interferon gamma")</f>
        <v>CD274 molecule; interferon gamma</v>
      </c>
    </row>
    <row r="904" spans="1:11" ht="60" customHeight="1" x14ac:dyDescent="0.2">
      <c r="A904" s="2">
        <v>901</v>
      </c>
      <c r="B904" s="3" t="str">
        <f t="shared" si="160"/>
        <v>PD-L1</v>
      </c>
      <c r="C904" s="3" t="str">
        <f t="shared" si="161"/>
        <v>CD274</v>
      </c>
      <c r="D904" s="3" t="str">
        <f t="shared" si="162"/>
        <v>PD1L1_HUMAN</v>
      </c>
      <c r="E904" s="2" t="s">
        <v>30</v>
      </c>
      <c r="F904" s="3" t="str">
        <f t="shared" si="163"/>
        <v>Programmed cell death 1 ligand 1</v>
      </c>
      <c r="G904" s="4"/>
      <c r="H904" s="3" t="str">
        <f>HYPERLINK("https://www.cortellis.com/drugdiscovery/entity/biomarkers/58511","CD274-MLANA fusion protein")</f>
        <v>CD274-MLANA fusion protein</v>
      </c>
      <c r="I904" s="2" t="s">
        <v>29</v>
      </c>
      <c r="J904" s="2" t="s">
        <v>15</v>
      </c>
      <c r="K904" s="4" t="str">
        <f>HYPERLINK("https://www.cortellis.com/drugdiscovery/result/proxy/related-content/biomarkers/genestargets/58511","CD274 molecule")</f>
        <v>CD274 molecule</v>
      </c>
    </row>
    <row r="905" spans="1:11" ht="60" customHeight="1" x14ac:dyDescent="0.2">
      <c r="A905" s="2">
        <v>902</v>
      </c>
      <c r="B905" s="3" t="str">
        <f t="shared" si="160"/>
        <v>PD-L1</v>
      </c>
      <c r="C905" s="3" t="str">
        <f t="shared" si="161"/>
        <v>CD274</v>
      </c>
      <c r="D905" s="3" t="str">
        <f t="shared" si="162"/>
        <v>PD1L1_HUMAN</v>
      </c>
      <c r="E905" s="2" t="s">
        <v>30</v>
      </c>
      <c r="F905" s="3" t="str">
        <f t="shared" si="163"/>
        <v>Programmed cell death 1 ligand 1</v>
      </c>
      <c r="G905" s="4"/>
      <c r="H905" s="3" t="str">
        <f>HYPERLINK("https://www.cortellis.com/drugdiscovery/entity/biomarkers/58913","5-gene expression breast cancer panel")</f>
        <v>5-gene expression breast cancer panel</v>
      </c>
      <c r="I905" s="2" t="s">
        <v>25</v>
      </c>
      <c r="J905" s="2" t="s">
        <v>19</v>
      </c>
      <c r="K905" s="4" t="str">
        <f>HYPERLINK("https://www.cortellis.com/drugdiscovery/result/proxy/related-content/biomarkers/genestargets/58913","CD274 molecule")</f>
        <v>CD274 molecule</v>
      </c>
    </row>
    <row r="906" spans="1:11" ht="60" customHeight="1" x14ac:dyDescent="0.2">
      <c r="A906" s="2">
        <v>903</v>
      </c>
      <c r="B906" s="3" t="str">
        <f t="shared" si="160"/>
        <v>PD-L1</v>
      </c>
      <c r="C906" s="3" t="str">
        <f t="shared" si="161"/>
        <v>CD274</v>
      </c>
      <c r="D906" s="3" t="str">
        <f t="shared" si="162"/>
        <v>PD1L1_HUMAN</v>
      </c>
      <c r="E906" s="2" t="s">
        <v>30</v>
      </c>
      <c r="F906" s="3" t="str">
        <f t="shared" si="163"/>
        <v>Programmed cell death 1 ligand 1</v>
      </c>
      <c r="G906" s="4"/>
      <c r="H906" s="3" t="str">
        <f>HYPERLINK("https://www.cortellis.com/drugdiscovery/entity/biomarkers/59644","CD274-PDCD1LG2 fusion protein")</f>
        <v>CD274-PDCD1LG2 fusion protein</v>
      </c>
      <c r="I906" s="2" t="s">
        <v>18</v>
      </c>
      <c r="J906" s="2" t="s">
        <v>15</v>
      </c>
      <c r="K906" s="4" t="str">
        <f>HYPERLINK("https://www.cortellis.com/drugdiscovery/result/proxy/related-content/biomarkers/genestargets/59644","CD274 molecule")</f>
        <v>CD274 molecule</v>
      </c>
    </row>
    <row r="907" spans="1:11" ht="60" customHeight="1" x14ac:dyDescent="0.2">
      <c r="A907" s="2">
        <v>904</v>
      </c>
      <c r="B907" s="3" t="str">
        <f t="shared" si="160"/>
        <v>PD-L1</v>
      </c>
      <c r="C907" s="3" t="str">
        <f t="shared" si="161"/>
        <v>CD274</v>
      </c>
      <c r="D907" s="3" t="str">
        <f t="shared" si="162"/>
        <v>PD1L1_HUMAN</v>
      </c>
      <c r="E907" s="2" t="s">
        <v>30</v>
      </c>
      <c r="F907" s="3" t="str">
        <f t="shared" si="163"/>
        <v>Programmed cell death 1 ligand 1</v>
      </c>
      <c r="G907" s="4"/>
      <c r="H907" s="3" t="str">
        <f>HYPERLINK("https://www.cortellis.com/drugdiscovery/entity/biomarkers/60578","4-gene expression lung cancer panel")</f>
        <v>4-gene expression lung cancer panel</v>
      </c>
      <c r="I907" s="2" t="s">
        <v>46</v>
      </c>
      <c r="J907" s="2" t="s">
        <v>15</v>
      </c>
      <c r="K907" s="4" t="str">
        <f>HYPERLINK("https://www.cortellis.com/drugdiscovery/result/proxy/related-content/biomarkers/genestargets/60578","CD274 molecule; interferon gamma")</f>
        <v>CD274 molecule; interferon gamma</v>
      </c>
    </row>
    <row r="908" spans="1:11" ht="60" customHeight="1" x14ac:dyDescent="0.2">
      <c r="A908" s="2">
        <v>905</v>
      </c>
      <c r="B908" s="3" t="str">
        <f t="shared" si="160"/>
        <v>PD-L1</v>
      </c>
      <c r="C908" s="3" t="str">
        <f t="shared" si="161"/>
        <v>CD274</v>
      </c>
      <c r="D908" s="3" t="str">
        <f t="shared" si="162"/>
        <v>PD1L1_HUMAN</v>
      </c>
      <c r="E908" s="2" t="s">
        <v>30</v>
      </c>
      <c r="F908" s="3" t="str">
        <f t="shared" si="163"/>
        <v>Programmed cell death 1 ligand 1</v>
      </c>
      <c r="G908" s="4"/>
      <c r="H908" s="3" t="str">
        <f>HYPERLINK("https://www.cortellis.com/drugdiscovery/entity/biomarkers/62320","7-protein breast cancer panel")</f>
        <v>7-protein breast cancer panel</v>
      </c>
      <c r="I908" s="2" t="s">
        <v>66</v>
      </c>
      <c r="J908" s="2" t="s">
        <v>17</v>
      </c>
      <c r="K908" s="4" t="str">
        <f>HYPERLINK("https://www.cortellis.com/drugdiscovery/result/proxy/related-content/biomarkers/genestargets/62320","CD274 molecule")</f>
        <v>CD274 molecule</v>
      </c>
    </row>
    <row r="909" spans="1:11" ht="60" customHeight="1" x14ac:dyDescent="0.2">
      <c r="A909" s="2">
        <v>906</v>
      </c>
      <c r="B909" s="3" t="str">
        <f t="shared" si="160"/>
        <v>PD-L1</v>
      </c>
      <c r="C909" s="3" t="str">
        <f t="shared" si="161"/>
        <v>CD274</v>
      </c>
      <c r="D909" s="3" t="str">
        <f t="shared" si="162"/>
        <v>PD1L1_HUMAN</v>
      </c>
      <c r="E909" s="2" t="s">
        <v>30</v>
      </c>
      <c r="F909" s="3" t="str">
        <f t="shared" si="163"/>
        <v>Programmed cell death 1 ligand 1</v>
      </c>
      <c r="G909" s="4"/>
      <c r="H909" s="3" t="str">
        <f>HYPERLINK("https://www.cortellis.com/drugdiscovery/entity/biomarkers/62680","4-gene expression stomach cancer panel")</f>
        <v>4-gene expression stomach cancer panel</v>
      </c>
      <c r="I909" s="2" t="s">
        <v>24</v>
      </c>
      <c r="J909" s="2" t="s">
        <v>19</v>
      </c>
      <c r="K909" s="4" t="str">
        <f>HYPERLINK("https://www.cortellis.com/drugdiscovery/result/proxy/related-content/biomarkers/genestargets/62680","CD274 molecule; interferon gamma")</f>
        <v>CD274 molecule; interferon gamma</v>
      </c>
    </row>
    <row r="910" spans="1:11" ht="60" customHeight="1" x14ac:dyDescent="0.2">
      <c r="A910" s="2">
        <v>907</v>
      </c>
      <c r="B910" s="3" t="str">
        <f t="shared" si="160"/>
        <v>PD-L1</v>
      </c>
      <c r="C910" s="3" t="str">
        <f t="shared" si="161"/>
        <v>CD274</v>
      </c>
      <c r="D910" s="3" t="str">
        <f t="shared" si="162"/>
        <v>PD1L1_HUMAN</v>
      </c>
      <c r="E910" s="2" t="s">
        <v>30</v>
      </c>
      <c r="F910" s="3" t="str">
        <f t="shared" si="163"/>
        <v>Programmed cell death 1 ligand 1</v>
      </c>
      <c r="G910" s="4"/>
      <c r="H910" s="3" t="str">
        <f>HYPERLINK("https://www.cortellis.com/drugdiscovery/entity/biomarkers/63948","2-gene expression cancer panel")</f>
        <v>2-gene expression cancer panel</v>
      </c>
      <c r="I910" s="2" t="s">
        <v>18</v>
      </c>
      <c r="J910" s="2" t="s">
        <v>19</v>
      </c>
      <c r="K910" s="4" t="str">
        <f>HYPERLINK("https://www.cortellis.com/drugdiscovery/result/proxy/related-content/biomarkers/genestargets/63948","CD274 molecule")</f>
        <v>CD274 molecule</v>
      </c>
    </row>
    <row r="911" spans="1:11" ht="60" customHeight="1" x14ac:dyDescent="0.2">
      <c r="A911" s="2">
        <v>908</v>
      </c>
      <c r="B911" s="3" t="str">
        <f t="shared" si="160"/>
        <v>PD-L1</v>
      </c>
      <c r="C911" s="3" t="str">
        <f t="shared" si="161"/>
        <v>CD274</v>
      </c>
      <c r="D911" s="3" t="str">
        <f t="shared" si="162"/>
        <v>PD1L1_HUMAN</v>
      </c>
      <c r="E911" s="2" t="s">
        <v>30</v>
      </c>
      <c r="F911" s="3" t="str">
        <f t="shared" si="163"/>
        <v>Programmed cell death 1 ligand 1</v>
      </c>
      <c r="G911" s="4"/>
      <c r="H911" s="3" t="str">
        <f>HYPERLINK("https://www.cortellis.com/drugdiscovery/entity/biomarkers/64861","35-gene expresssion cancer panel")</f>
        <v>35-gene expresssion cancer panel</v>
      </c>
      <c r="I911" s="2" t="s">
        <v>38</v>
      </c>
      <c r="J911" s="2" t="s">
        <v>15</v>
      </c>
      <c r="K911" s="4" t="str">
        <f>HYPERLINK("https://www.cortellis.com/drugdiscovery/result/proxy/related-content/biomarkers/genestargets/64861","CD274 molecule; CD69 molecule; interferon gamma")</f>
        <v>CD274 molecule; CD69 molecule; interferon gamma</v>
      </c>
    </row>
    <row r="912" spans="1:11" ht="60" customHeight="1" x14ac:dyDescent="0.2">
      <c r="A912" s="2">
        <v>909</v>
      </c>
      <c r="B912" s="3" t="str">
        <f t="shared" si="160"/>
        <v>PD-L1</v>
      </c>
      <c r="C912" s="3" t="str">
        <f t="shared" si="161"/>
        <v>CD274</v>
      </c>
      <c r="D912" s="3" t="str">
        <f t="shared" si="162"/>
        <v>PD1L1_HUMAN</v>
      </c>
      <c r="E912" s="2" t="s">
        <v>30</v>
      </c>
      <c r="F912" s="3" t="str">
        <f t="shared" si="163"/>
        <v>Programmed cell death 1 ligand 1</v>
      </c>
      <c r="G912" s="4"/>
      <c r="H912" s="3" t="str">
        <f>HYPERLINK("https://www.cortellis.com/drugdiscovery/entity/biomarkers/64871","4-gene polymorphism cancer panel")</f>
        <v>4-gene polymorphism cancer panel</v>
      </c>
      <c r="I912" s="2" t="s">
        <v>18</v>
      </c>
      <c r="J912" s="2" t="s">
        <v>19</v>
      </c>
      <c r="K912" s="4" t="str">
        <f>HYPERLINK("https://www.cortellis.com/drugdiscovery/result/proxy/related-content/biomarkers/genestargets/64871","CD274 molecule")</f>
        <v>CD274 molecule</v>
      </c>
    </row>
    <row r="913" spans="1:11" ht="60" customHeight="1" x14ac:dyDescent="0.2">
      <c r="A913" s="2">
        <v>910</v>
      </c>
      <c r="B913" s="3" t="str">
        <f t="shared" si="160"/>
        <v>PD-L1</v>
      </c>
      <c r="C913" s="3" t="str">
        <f t="shared" si="161"/>
        <v>CD274</v>
      </c>
      <c r="D913" s="3" t="str">
        <f t="shared" si="162"/>
        <v>PD1L1_HUMAN</v>
      </c>
      <c r="E913" s="2" t="s">
        <v>30</v>
      </c>
      <c r="F913" s="3" t="str">
        <f t="shared" si="163"/>
        <v>Programmed cell death 1 ligand 1</v>
      </c>
      <c r="G913" s="4"/>
      <c r="H913" s="3" t="str">
        <f>HYPERLINK("https://www.cortellis.com/drugdiscovery/entity/biomarkers/64882","8-protein cancer panel")</f>
        <v>8-protein cancer panel</v>
      </c>
      <c r="I913" s="2" t="s">
        <v>23</v>
      </c>
      <c r="J913" s="2" t="s">
        <v>17</v>
      </c>
      <c r="K913" s="4" t="str">
        <f>HYPERLINK("https://www.cortellis.com/drugdiscovery/result/proxy/related-content/biomarkers/genestargets/64882","CD274 molecule; CD68 molecule")</f>
        <v>CD274 molecule; CD68 molecule</v>
      </c>
    </row>
    <row r="914" spans="1:11" ht="60" customHeight="1" x14ac:dyDescent="0.2">
      <c r="A914" s="2">
        <v>911</v>
      </c>
      <c r="B914" s="3" t="str">
        <f t="shared" si="160"/>
        <v>PD-L1</v>
      </c>
      <c r="C914" s="3" t="str">
        <f t="shared" si="161"/>
        <v>CD274</v>
      </c>
      <c r="D914" s="3" t="str">
        <f t="shared" si="162"/>
        <v>PD1L1_HUMAN</v>
      </c>
      <c r="E914" s="2" t="s">
        <v>30</v>
      </c>
      <c r="F914" s="3" t="str">
        <f t="shared" si="163"/>
        <v>Programmed cell death 1 ligand 1</v>
      </c>
      <c r="G914" s="4"/>
      <c r="H914" s="3" t="str">
        <f>HYPERLINK("https://www.cortellis.com/drugdiscovery/entity/biomarkers/65815","12-gene expression breast cancer panel")</f>
        <v>12-gene expression breast cancer panel</v>
      </c>
      <c r="I914" s="2" t="s">
        <v>18</v>
      </c>
      <c r="J914" s="2" t="s">
        <v>19</v>
      </c>
      <c r="K914" s="4" t="str">
        <f>HYPERLINK("https://www.cortellis.com/drugdiscovery/result/proxy/related-content/biomarkers/genestargets/65815","CD274 molecule; cytotoxic T-lymphocyte associated protein 4")</f>
        <v>CD274 molecule; cytotoxic T-lymphocyte associated protein 4</v>
      </c>
    </row>
    <row r="915" spans="1:11" ht="60" customHeight="1" x14ac:dyDescent="0.2">
      <c r="A915" s="2">
        <v>912</v>
      </c>
      <c r="B915" s="3" t="str">
        <f>HYPERLINK("https://portal.genego.com/cgi/entity_page.cgi?term=100&amp;id=576","PTPN22")</f>
        <v>PTPN22</v>
      </c>
      <c r="C915" s="3" t="str">
        <f>HYPERLINK("https://portal.genego.com/cgi/entity_page.cgi?term=20&amp;id=649973573","PTPN22")</f>
        <v>PTPN22</v>
      </c>
      <c r="D915" s="3" t="str">
        <f>HYPERLINK("https://portal.genego.com/cgi/entity_page.cgi?term=7&amp;id=35742500","PTN22_HUMAN")</f>
        <v>PTN22_HUMAN</v>
      </c>
      <c r="E915" s="2" t="s">
        <v>67</v>
      </c>
      <c r="F915" s="3" t="str">
        <f>HYPERLINK("https://portal.genego.com/cgi/entity_page.cgi?term=100&amp;id=576","Tyrosine-protein phosphatase non-receptor type 22")</f>
        <v>Tyrosine-protein phosphatase non-receptor type 22</v>
      </c>
      <c r="G915" s="4"/>
      <c r="H915" s="3" t="str">
        <f>HYPERLINK("https://www.cortellis.com/drugdiscovery/entity/biomarkers/1151","Tyrosine-protein phosphatase non-receptor type 22")</f>
        <v>Tyrosine-protein phosphatase non-receptor type 22</v>
      </c>
      <c r="I915" s="2" t="s">
        <v>68</v>
      </c>
      <c r="J915" s="2" t="s">
        <v>19</v>
      </c>
      <c r="K915" s="4" t="str">
        <f>HYPERLINK("https://www.cortellis.com/drugdiscovery/result/proxy/related-content/biomarkers/genestargets/1151","protein tyrosine phosphatase non-receptor type 22")</f>
        <v>protein tyrosine phosphatase non-receptor type 22</v>
      </c>
    </row>
    <row r="916" spans="1:11" ht="60" customHeight="1" x14ac:dyDescent="0.2">
      <c r="A916" s="2">
        <v>913</v>
      </c>
      <c r="B916" s="3" t="str">
        <f>HYPERLINK("https://portal.genego.com/cgi/entity_page.cgi?term=100&amp;id=576","PTPN22")</f>
        <v>PTPN22</v>
      </c>
      <c r="C916" s="3" t="str">
        <f>HYPERLINK("https://portal.genego.com/cgi/entity_page.cgi?term=20&amp;id=649973573","PTPN22")</f>
        <v>PTPN22</v>
      </c>
      <c r="D916" s="3" t="str">
        <f>HYPERLINK("https://portal.genego.com/cgi/entity_page.cgi?term=7&amp;id=35742500","PTN22_HUMAN")</f>
        <v>PTN22_HUMAN</v>
      </c>
      <c r="E916" s="2" t="s">
        <v>67</v>
      </c>
      <c r="F916" s="3" t="str">
        <f>HYPERLINK("https://portal.genego.com/cgi/entity_page.cgi?term=100&amp;id=576","Tyrosine-protein phosphatase non-receptor type 22")</f>
        <v>Tyrosine-protein phosphatase non-receptor type 22</v>
      </c>
      <c r="G916" s="4"/>
      <c r="H916" s="3" t="str">
        <f>HYPERLINK("https://www.cortellis.com/drugdiscovery/entity/biomarkers/27550","27-gene polymorphism rheumatoid arthritis panel")</f>
        <v>27-gene polymorphism rheumatoid arthritis panel</v>
      </c>
      <c r="I916" s="2" t="s">
        <v>29</v>
      </c>
      <c r="J916" s="2" t="s">
        <v>19</v>
      </c>
      <c r="K916" s="4" t="str">
        <f>HYPERLINK("https://www.cortellis.com/drugdiscovery/result/proxy/related-content/biomarkers/genestargets/27550","cytotoxic T-lymphocyte associated protein 4; protein tyrosine phosphatase non-receptor type 22; protein tyrosine phosphatase receptor type C")</f>
        <v>cytotoxic T-lymphocyte associated protein 4; protein tyrosine phosphatase non-receptor type 22; protein tyrosine phosphatase receptor type C</v>
      </c>
    </row>
    <row r="917" spans="1:11" ht="60" customHeight="1" x14ac:dyDescent="0.2">
      <c r="A917" s="2">
        <v>914</v>
      </c>
      <c r="B917" s="3" t="str">
        <f>HYPERLINK("https://portal.genego.com/cgi/entity_page.cgi?term=100&amp;id=576","PTPN22")</f>
        <v>PTPN22</v>
      </c>
      <c r="C917" s="3" t="str">
        <f>HYPERLINK("https://portal.genego.com/cgi/entity_page.cgi?term=20&amp;id=649973573","PTPN22")</f>
        <v>PTPN22</v>
      </c>
      <c r="D917" s="3" t="str">
        <f>HYPERLINK("https://portal.genego.com/cgi/entity_page.cgi?term=7&amp;id=35742500","PTN22_HUMAN")</f>
        <v>PTN22_HUMAN</v>
      </c>
      <c r="E917" s="2" t="s">
        <v>67</v>
      </c>
      <c r="F917" s="3" t="str">
        <f>HYPERLINK("https://portal.genego.com/cgi/entity_page.cgi?term=100&amp;id=576","Tyrosine-protein phosphatase non-receptor type 22")</f>
        <v>Tyrosine-protein phosphatase non-receptor type 22</v>
      </c>
      <c r="G917" s="4"/>
      <c r="H917" s="3" t="str">
        <f>HYPERLINK("https://www.cortellis.com/drugdiscovery/entity/biomarkers/45651","117-gene expression breast cancer panel")</f>
        <v>117-gene expression breast cancer panel</v>
      </c>
      <c r="I917" s="2" t="s">
        <v>25</v>
      </c>
      <c r="J917" s="2" t="s">
        <v>19</v>
      </c>
      <c r="K917" s="4" t="str">
        <f>HYPERLINK("https://www.cortellis.com/drugdiscovery/result/proxy/related-content/biomarkers/genestargets/45651","protein tyrosine phosphatase non-receptor type 22; protein tyrosine phosphatase receptor type C")</f>
        <v>protein tyrosine phosphatase non-receptor type 22; protein tyrosine phosphatase receptor type C</v>
      </c>
    </row>
    <row r="918" spans="1:11" ht="60" customHeight="1" x14ac:dyDescent="0.2">
      <c r="A918" s="2">
        <v>915</v>
      </c>
      <c r="B918" s="3" t="str">
        <f t="shared" ref="B918:B926" si="164">HYPERLINK("https://portal.genego.com/cgi/entity_page.cgi?term=100&amp;id=6349","TFPI")</f>
        <v>TFPI</v>
      </c>
      <c r="C918" s="3" t="str">
        <f t="shared" ref="C918:C926" si="165">HYPERLINK("https://portal.genego.com/cgi/entity_page.cgi?term=20&amp;id=1526396100","TFPI")</f>
        <v>TFPI</v>
      </c>
      <c r="D918" s="3" t="str">
        <f t="shared" ref="D918:D926" si="166">HYPERLINK("https://portal.genego.com/cgi/entity_page.cgi?term=7&amp;id=-760472304","TFPI1_HUMAN")</f>
        <v>TFPI1_HUMAN</v>
      </c>
      <c r="E918" s="2" t="s">
        <v>30</v>
      </c>
      <c r="F918" s="3" t="str">
        <f t="shared" ref="F918:F926" si="167">HYPERLINK("https://portal.genego.com/cgi/entity_page.cgi?term=100&amp;id=6349","Tissue factor pathway inhibitor")</f>
        <v>Tissue factor pathway inhibitor</v>
      </c>
      <c r="G918" s="4"/>
      <c r="H918" s="3" t="str">
        <f>HYPERLINK("https://www.cortellis.com/drugdiscovery/entity/biomarkers/2158","Tissue factor pathway inhibitor")</f>
        <v>Tissue factor pathway inhibitor</v>
      </c>
      <c r="I918" s="2" t="s">
        <v>31</v>
      </c>
      <c r="J918" s="2" t="s">
        <v>15</v>
      </c>
      <c r="K918" s="4" t="str">
        <f>HYPERLINK("https://www.cortellis.com/drugdiscovery/result/proxy/related-content/biomarkers/genestargets/2158","tissue factor pathway inhibitor")</f>
        <v>tissue factor pathway inhibitor</v>
      </c>
    </row>
    <row r="919" spans="1:11" ht="60" customHeight="1" x14ac:dyDescent="0.2">
      <c r="A919" s="2">
        <v>916</v>
      </c>
      <c r="B919" s="3" t="str">
        <f t="shared" si="164"/>
        <v>TFPI</v>
      </c>
      <c r="C919" s="3" t="str">
        <f t="shared" si="165"/>
        <v>TFPI</v>
      </c>
      <c r="D919" s="3" t="str">
        <f t="shared" si="166"/>
        <v>TFPI1_HUMAN</v>
      </c>
      <c r="E919" s="2" t="s">
        <v>30</v>
      </c>
      <c r="F919" s="3" t="str">
        <f t="shared" si="167"/>
        <v>Tissue factor pathway inhibitor</v>
      </c>
      <c r="G919" s="4"/>
      <c r="H919" s="3" t="str">
        <f>HYPERLINK("https://www.cortellis.com/drugdiscovery/entity/biomarkers/28540","146-gene expression germ cell cancer panel")</f>
        <v>146-gene expression germ cell cancer panel</v>
      </c>
      <c r="I919" s="2" t="s">
        <v>23</v>
      </c>
      <c r="J919" s="2" t="s">
        <v>19</v>
      </c>
      <c r="K919" s="4" t="str">
        <f>HYPERLINK("https://www.cortellis.com/drugdiscovery/result/proxy/related-content/biomarkers/genestargets/28540","tissue factor pathway inhibitor")</f>
        <v>tissue factor pathway inhibitor</v>
      </c>
    </row>
    <row r="920" spans="1:11" ht="60" customHeight="1" x14ac:dyDescent="0.2">
      <c r="A920" s="2">
        <v>917</v>
      </c>
      <c r="B920" s="3" t="str">
        <f t="shared" si="164"/>
        <v>TFPI</v>
      </c>
      <c r="C920" s="3" t="str">
        <f t="shared" si="165"/>
        <v>TFPI</v>
      </c>
      <c r="D920" s="3" t="str">
        <f t="shared" si="166"/>
        <v>TFPI1_HUMAN</v>
      </c>
      <c r="E920" s="2" t="s">
        <v>30</v>
      </c>
      <c r="F920" s="3" t="str">
        <f t="shared" si="167"/>
        <v>Tissue factor pathway inhibitor</v>
      </c>
      <c r="G920" s="4"/>
      <c r="H920" s="3" t="str">
        <f>HYPERLINK("https://www.cortellis.com/drugdiscovery/entity/biomarkers/32578","121-gene expression acute myeloid leukemia panel")</f>
        <v>121-gene expression acute myeloid leukemia panel</v>
      </c>
      <c r="I920" s="2" t="s">
        <v>25</v>
      </c>
      <c r="J920" s="2" t="s">
        <v>19</v>
      </c>
      <c r="K920" s="4" t="str">
        <f>HYPERLINK("https://www.cortellis.com/drugdiscovery/result/proxy/related-content/biomarkers/genestargets/32578","tissue factor pathway inhibitor")</f>
        <v>tissue factor pathway inhibitor</v>
      </c>
    </row>
    <row r="921" spans="1:11" ht="60" customHeight="1" x14ac:dyDescent="0.2">
      <c r="A921" s="2">
        <v>918</v>
      </c>
      <c r="B921" s="3" t="str">
        <f t="shared" si="164"/>
        <v>TFPI</v>
      </c>
      <c r="C921" s="3" t="str">
        <f t="shared" si="165"/>
        <v>TFPI</v>
      </c>
      <c r="D921" s="3" t="str">
        <f t="shared" si="166"/>
        <v>TFPI1_HUMAN</v>
      </c>
      <c r="E921" s="2" t="s">
        <v>30</v>
      </c>
      <c r="F921" s="3" t="str">
        <f t="shared" si="167"/>
        <v>Tissue factor pathway inhibitor</v>
      </c>
      <c r="G921" s="4"/>
      <c r="H921" s="3" t="str">
        <f>HYPERLINK("https://www.cortellis.com/drugdiscovery/entity/biomarkers/39384","31-gene polymorphism venous thrombosis panel")</f>
        <v>31-gene polymorphism venous thrombosis panel</v>
      </c>
      <c r="I921" s="2" t="s">
        <v>29</v>
      </c>
      <c r="J921" s="2" t="s">
        <v>19</v>
      </c>
      <c r="K921" s="4" t="str">
        <f>HYPERLINK("https://www.cortellis.com/drugdiscovery/result/proxy/related-content/biomarkers/genestargets/39384","coagulation factor III, tissue factor; tissue factor pathway inhibitor")</f>
        <v>coagulation factor III, tissue factor; tissue factor pathway inhibitor</v>
      </c>
    </row>
    <row r="922" spans="1:11" ht="60" customHeight="1" x14ac:dyDescent="0.2">
      <c r="A922" s="2">
        <v>919</v>
      </c>
      <c r="B922" s="3" t="str">
        <f t="shared" si="164"/>
        <v>TFPI</v>
      </c>
      <c r="C922" s="3" t="str">
        <f t="shared" si="165"/>
        <v>TFPI</v>
      </c>
      <c r="D922" s="3" t="str">
        <f t="shared" si="166"/>
        <v>TFPI1_HUMAN</v>
      </c>
      <c r="E922" s="2" t="s">
        <v>30</v>
      </c>
      <c r="F922" s="3" t="str">
        <f t="shared" si="167"/>
        <v>Tissue factor pathway inhibitor</v>
      </c>
      <c r="G922" s="4"/>
      <c r="H922" s="3" t="str">
        <f>HYPERLINK("https://www.cortellis.com/drugdiscovery/entity/biomarkers/40463","16-gene expression kidney cancer panel")</f>
        <v>16-gene expression kidney cancer panel</v>
      </c>
      <c r="I922" s="2" t="s">
        <v>23</v>
      </c>
      <c r="J922" s="2" t="s">
        <v>19</v>
      </c>
      <c r="K922" s="4" t="str">
        <f>HYPERLINK("https://www.cortellis.com/drugdiscovery/result/proxy/related-content/biomarkers/genestargets/40463","tissue factor pathway inhibitor")</f>
        <v>tissue factor pathway inhibitor</v>
      </c>
    </row>
    <row r="923" spans="1:11" ht="60" customHeight="1" x14ac:dyDescent="0.2">
      <c r="A923" s="2">
        <v>920</v>
      </c>
      <c r="B923" s="3" t="str">
        <f t="shared" si="164"/>
        <v>TFPI</v>
      </c>
      <c r="C923" s="3" t="str">
        <f t="shared" si="165"/>
        <v>TFPI</v>
      </c>
      <c r="D923" s="3" t="str">
        <f t="shared" si="166"/>
        <v>TFPI1_HUMAN</v>
      </c>
      <c r="E923" s="2" t="s">
        <v>30</v>
      </c>
      <c r="F923" s="3" t="str">
        <f t="shared" si="167"/>
        <v>Tissue factor pathway inhibitor</v>
      </c>
      <c r="G923" s="4"/>
      <c r="H923" s="3" t="str">
        <f>HYPERLINK("https://www.cortellis.com/drugdiscovery/entity/biomarkers/42008","36-gene expression neuroblastoma panel")</f>
        <v>36-gene expression neuroblastoma panel</v>
      </c>
      <c r="I923" s="2" t="s">
        <v>69</v>
      </c>
      <c r="J923" s="2" t="s">
        <v>19</v>
      </c>
      <c r="K923" s="4" t="str">
        <f>HYPERLINK("https://www.cortellis.com/drugdiscovery/result/proxy/related-content/biomarkers/genestargets/42008","tissue factor pathway inhibitor")</f>
        <v>tissue factor pathway inhibitor</v>
      </c>
    </row>
    <row r="924" spans="1:11" ht="60" customHeight="1" x14ac:dyDescent="0.2">
      <c r="A924" s="2">
        <v>921</v>
      </c>
      <c r="B924" s="3" t="str">
        <f t="shared" si="164"/>
        <v>TFPI</v>
      </c>
      <c r="C924" s="3" t="str">
        <f t="shared" si="165"/>
        <v>TFPI</v>
      </c>
      <c r="D924" s="3" t="str">
        <f t="shared" si="166"/>
        <v>TFPI1_HUMAN</v>
      </c>
      <c r="E924" s="2" t="s">
        <v>30</v>
      </c>
      <c r="F924" s="3" t="str">
        <f t="shared" si="167"/>
        <v>Tissue factor pathway inhibitor</v>
      </c>
      <c r="G924" s="4"/>
      <c r="H924" s="3" t="str">
        <f>HYPERLINK("https://www.cortellis.com/drugdiscovery/entity/biomarkers/49082","177-gene expression leukemia panel")</f>
        <v>177-gene expression leukemia panel</v>
      </c>
      <c r="I924" s="2" t="s">
        <v>25</v>
      </c>
      <c r="J924" s="2" t="s">
        <v>19</v>
      </c>
      <c r="K924" s="4" t="str">
        <f>HYPERLINK("https://www.cortellis.com/drugdiscovery/result/proxy/related-content/biomarkers/genestargets/49082","ribonuclease A family member 3; tissue factor pathway inhibitor")</f>
        <v>ribonuclease A family member 3; tissue factor pathway inhibitor</v>
      </c>
    </row>
    <row r="925" spans="1:11" ht="60" customHeight="1" x14ac:dyDescent="0.2">
      <c r="A925" s="2">
        <v>922</v>
      </c>
      <c r="B925" s="3" t="str">
        <f t="shared" si="164"/>
        <v>TFPI</v>
      </c>
      <c r="C925" s="3" t="str">
        <f t="shared" si="165"/>
        <v>TFPI</v>
      </c>
      <c r="D925" s="3" t="str">
        <f t="shared" si="166"/>
        <v>TFPI1_HUMAN</v>
      </c>
      <c r="E925" s="2" t="s">
        <v>30</v>
      </c>
      <c r="F925" s="3" t="str">
        <f t="shared" si="167"/>
        <v>Tissue factor pathway inhibitor</v>
      </c>
      <c r="G925" s="4"/>
      <c r="H925" s="3" t="str">
        <f>HYPERLINK("https://www.cortellis.com/drugdiscovery/entity/biomarkers/51366","5-gene expression non-small cell lung cancer panel")</f>
        <v>5-gene expression non-small cell lung cancer panel</v>
      </c>
      <c r="I925" s="2" t="s">
        <v>23</v>
      </c>
      <c r="J925" s="2" t="s">
        <v>19</v>
      </c>
      <c r="K925" s="4" t="str">
        <f>HYPERLINK("https://www.cortellis.com/drugdiscovery/result/proxy/related-content/biomarkers/genestargets/51366","tissue factor pathway inhibitor")</f>
        <v>tissue factor pathway inhibitor</v>
      </c>
    </row>
    <row r="926" spans="1:11" ht="60" customHeight="1" x14ac:dyDescent="0.2">
      <c r="A926" s="2">
        <v>923</v>
      </c>
      <c r="B926" s="3" t="str">
        <f t="shared" si="164"/>
        <v>TFPI</v>
      </c>
      <c r="C926" s="3" t="str">
        <f t="shared" si="165"/>
        <v>TFPI</v>
      </c>
      <c r="D926" s="3" t="str">
        <f t="shared" si="166"/>
        <v>TFPI1_HUMAN</v>
      </c>
      <c r="E926" s="2" t="s">
        <v>30</v>
      </c>
      <c r="F926" s="3" t="str">
        <f t="shared" si="167"/>
        <v>Tissue factor pathway inhibitor</v>
      </c>
      <c r="G926" s="4"/>
      <c r="H926" s="3" t="str">
        <f>HYPERLINK("https://www.cortellis.com/drugdiscovery/entity/biomarkers/56684","3-gene expression pancreatic ductal adenocarcinoma panel")</f>
        <v>3-gene expression pancreatic ductal adenocarcinoma panel</v>
      </c>
      <c r="I926" s="2" t="s">
        <v>23</v>
      </c>
      <c r="J926" s="2" t="s">
        <v>19</v>
      </c>
      <c r="K926" s="4" t="str">
        <f>HYPERLINK("https://www.cortellis.com/drugdiscovery/result/proxy/related-content/biomarkers/genestargets/56684","tenascin C; tissue factor pathway inhibitor")</f>
        <v>tenascin C; tissue factor pathway inhibitor</v>
      </c>
    </row>
    <row r="927" spans="1:11" ht="60" customHeight="1" x14ac:dyDescent="0.2">
      <c r="A927" s="2">
        <v>924</v>
      </c>
      <c r="B927" s="3" t="str">
        <f t="shared" ref="B927:B990" si="168">HYPERLINK("https://portal.genego.com/cgi/entity_page.cgi?term=100&amp;id=4487","TNF-alpha")</f>
        <v>TNF-alpha</v>
      </c>
      <c r="C927" s="3" t="str">
        <f t="shared" ref="C927:C990" si="169">HYPERLINK("https://portal.genego.com/cgi/entity_page.cgi?term=20&amp;id=-1163959157","TNF")</f>
        <v>TNF</v>
      </c>
      <c r="D927" s="3" t="str">
        <f t="shared" ref="D927:D990" si="170">HYPERLINK("https://portal.genego.com/cgi/entity_page.cgi?term=7&amp;id=2020057249","TNFA_HUMAN")</f>
        <v>TNFA_HUMAN</v>
      </c>
      <c r="E927" s="2" t="s">
        <v>21</v>
      </c>
      <c r="F927" s="3" t="str">
        <f t="shared" ref="F927:F990" si="171">HYPERLINK("https://portal.genego.com/cgi/entity_page.cgi?term=100&amp;id=4487","Tumor necrosis factor")</f>
        <v>Tumor necrosis factor</v>
      </c>
      <c r="G927" s="4" t="str">
        <f t="shared" ref="G927:G953" si="172">HYPERLINK("https://portal.genego.com/cgi/entity_page.cgi?term=7&amp;id=-1467982529","CB1093")</f>
        <v>CB1093</v>
      </c>
      <c r="H927" s="3" t="str">
        <f>HYPERLINK("https://www.cortellis.com/drugdiscovery/entity/biomarkers/274","Tumor necrosis factor")</f>
        <v>Tumor necrosis factor</v>
      </c>
      <c r="I927" s="2" t="s">
        <v>22</v>
      </c>
      <c r="J927" s="2" t="s">
        <v>15</v>
      </c>
      <c r="K927" s="4" t="str">
        <f>HYPERLINK("https://www.cortellis.com/drugdiscovery/result/proxy/related-content/biomarkers/genestargets/274","tumor necrosis factor")</f>
        <v>tumor necrosis factor</v>
      </c>
    </row>
    <row r="928" spans="1:11" ht="60" customHeight="1" x14ac:dyDescent="0.2">
      <c r="A928" s="2">
        <v>925</v>
      </c>
      <c r="B928" s="3" t="str">
        <f t="shared" si="168"/>
        <v>TNF-alpha</v>
      </c>
      <c r="C928" s="3" t="str">
        <f t="shared" si="169"/>
        <v>TNF</v>
      </c>
      <c r="D928" s="3" t="str">
        <f t="shared" si="170"/>
        <v>TNFA_HUMAN</v>
      </c>
      <c r="E928" s="2" t="s">
        <v>21</v>
      </c>
      <c r="F928" s="3" t="str">
        <f t="shared" si="171"/>
        <v>Tumor necrosis factor</v>
      </c>
      <c r="G928" s="4" t="str">
        <f t="shared" si="172"/>
        <v>CB1093</v>
      </c>
      <c r="H928" s="3" t="str">
        <f>HYPERLINK("https://www.cortellis.com/drugdiscovery/entity/biomarkers/27598","89-protein neurological alzheimer's panel")</f>
        <v>89-protein neurological alzheimer's panel</v>
      </c>
      <c r="I928" s="2" t="s">
        <v>23</v>
      </c>
      <c r="J928" s="2" t="s">
        <v>17</v>
      </c>
      <c r="K928"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929" spans="1:11" ht="60" customHeight="1" x14ac:dyDescent="0.2">
      <c r="A929" s="2">
        <v>926</v>
      </c>
      <c r="B929" s="3" t="str">
        <f t="shared" si="168"/>
        <v>TNF-alpha</v>
      </c>
      <c r="C929" s="3" t="str">
        <f t="shared" si="169"/>
        <v>TNF</v>
      </c>
      <c r="D929" s="3" t="str">
        <f t="shared" si="170"/>
        <v>TNFA_HUMAN</v>
      </c>
      <c r="E929" s="2" t="s">
        <v>21</v>
      </c>
      <c r="F929" s="3" t="str">
        <f t="shared" si="171"/>
        <v>Tumor necrosis factor</v>
      </c>
      <c r="G929" s="4" t="str">
        <f t="shared" si="172"/>
        <v>CB1093</v>
      </c>
      <c r="H929" s="3" t="str">
        <f>HYPERLINK("https://www.cortellis.com/drugdiscovery/entity/biomarkers/27640","5-protein alzheimer's panel")</f>
        <v>5-protein alzheimer's panel</v>
      </c>
      <c r="I929" s="2" t="s">
        <v>23</v>
      </c>
      <c r="J929" s="2" t="s">
        <v>17</v>
      </c>
      <c r="K929" s="4" t="str">
        <f>HYPERLINK("https://www.cortellis.com/drugdiscovery/result/proxy/related-content/biomarkers/genestargets/27640","tumor necrosis factor")</f>
        <v>tumor necrosis factor</v>
      </c>
    </row>
    <row r="930" spans="1:11" ht="60" customHeight="1" x14ac:dyDescent="0.2">
      <c r="A930" s="2">
        <v>927</v>
      </c>
      <c r="B930" s="3" t="str">
        <f t="shared" si="168"/>
        <v>TNF-alpha</v>
      </c>
      <c r="C930" s="3" t="str">
        <f t="shared" si="169"/>
        <v>TNF</v>
      </c>
      <c r="D930" s="3" t="str">
        <f t="shared" si="170"/>
        <v>TNFA_HUMAN</v>
      </c>
      <c r="E930" s="2" t="s">
        <v>21</v>
      </c>
      <c r="F930" s="3" t="str">
        <f t="shared" si="171"/>
        <v>Tumor necrosis factor</v>
      </c>
      <c r="G930" s="4" t="str">
        <f t="shared" si="172"/>
        <v>CB1093</v>
      </c>
      <c r="H930" s="3" t="str">
        <f>HYPERLINK("https://www.cortellis.com/drugdiscovery/entity/biomarkers/27734","6-protein lung cancer panel")</f>
        <v>6-protein lung cancer panel</v>
      </c>
      <c r="I930" s="2" t="s">
        <v>23</v>
      </c>
      <c r="J930" s="2" t="s">
        <v>17</v>
      </c>
      <c r="K930" s="4" t="str">
        <f>HYPERLINK("https://www.cortellis.com/drugdiscovery/result/proxy/related-content/biomarkers/genestargets/27734","interferon gamma; tumor necrosis factor")</f>
        <v>interferon gamma; tumor necrosis factor</v>
      </c>
    </row>
    <row r="931" spans="1:11" ht="60" customHeight="1" x14ac:dyDescent="0.2">
      <c r="A931" s="2">
        <v>928</v>
      </c>
      <c r="B931" s="3" t="str">
        <f t="shared" si="168"/>
        <v>TNF-alpha</v>
      </c>
      <c r="C931" s="3" t="str">
        <f t="shared" si="169"/>
        <v>TNF</v>
      </c>
      <c r="D931" s="3" t="str">
        <f t="shared" si="170"/>
        <v>TNFA_HUMAN</v>
      </c>
      <c r="E931" s="2" t="s">
        <v>21</v>
      </c>
      <c r="F931" s="3" t="str">
        <f t="shared" si="171"/>
        <v>Tumor necrosis factor</v>
      </c>
      <c r="G931" s="4" t="str">
        <f t="shared" si="172"/>
        <v>CB1093</v>
      </c>
      <c r="H931" s="3" t="str">
        <f>HYPERLINK("https://www.cortellis.com/drugdiscovery/entity/biomarkers/28148","11-gene expression lung cancer panel")</f>
        <v>11-gene expression lung cancer panel</v>
      </c>
      <c r="I931" s="2" t="s">
        <v>25</v>
      </c>
      <c r="J931" s="2" t="s">
        <v>19</v>
      </c>
      <c r="K931" s="4" t="str">
        <f>HYPERLINK("https://www.cortellis.com/drugdiscovery/result/proxy/related-content/biomarkers/genestargets/28148","interferon gamma; interleukin 15; tumor necrosis factor")</f>
        <v>interferon gamma; interleukin 15; tumor necrosis factor</v>
      </c>
    </row>
    <row r="932" spans="1:11" ht="60" customHeight="1" x14ac:dyDescent="0.2">
      <c r="A932" s="2">
        <v>929</v>
      </c>
      <c r="B932" s="3" t="str">
        <f t="shared" si="168"/>
        <v>TNF-alpha</v>
      </c>
      <c r="C932" s="3" t="str">
        <f t="shared" si="169"/>
        <v>TNF</v>
      </c>
      <c r="D932" s="3" t="str">
        <f t="shared" si="170"/>
        <v>TNFA_HUMAN</v>
      </c>
      <c r="E932" s="2" t="s">
        <v>21</v>
      </c>
      <c r="F932" s="3" t="str">
        <f t="shared" si="171"/>
        <v>Tumor necrosis factor</v>
      </c>
      <c r="G932" s="4" t="str">
        <f t="shared" si="172"/>
        <v>CB1093</v>
      </c>
      <c r="H932" s="3" t="str">
        <f>HYPERLINK("https://www.cortellis.com/drugdiscovery/entity/biomarkers/28647","15-gene expression lung cancer panel")</f>
        <v>15-gene expression lung cancer panel</v>
      </c>
      <c r="I932" s="2" t="s">
        <v>20</v>
      </c>
      <c r="J932" s="2" t="s">
        <v>19</v>
      </c>
      <c r="K932" s="4" t="str">
        <f>HYPERLINK("https://www.cortellis.com/drugdiscovery/result/proxy/related-content/biomarkers/genestargets/28647","interferon gamma; interleukin 15; tumor necrosis factor")</f>
        <v>interferon gamma; interleukin 15; tumor necrosis factor</v>
      </c>
    </row>
    <row r="933" spans="1:11" ht="60" customHeight="1" x14ac:dyDescent="0.2">
      <c r="A933" s="2">
        <v>930</v>
      </c>
      <c r="B933" s="3" t="str">
        <f t="shared" si="168"/>
        <v>TNF-alpha</v>
      </c>
      <c r="C933" s="3" t="str">
        <f t="shared" si="169"/>
        <v>TNF</v>
      </c>
      <c r="D933" s="3" t="str">
        <f t="shared" si="170"/>
        <v>TNFA_HUMAN</v>
      </c>
      <c r="E933" s="2" t="s">
        <v>21</v>
      </c>
      <c r="F933" s="3" t="str">
        <f t="shared" si="171"/>
        <v>Tumor necrosis factor</v>
      </c>
      <c r="G933" s="4" t="str">
        <f t="shared" si="172"/>
        <v>CB1093</v>
      </c>
      <c r="H933" s="3" t="str">
        <f>HYPERLINK("https://www.cortellis.com/drugdiscovery/entity/biomarkers/29676","277-gene expression lung cancer panel")</f>
        <v>277-gene expression lung cancer panel</v>
      </c>
      <c r="I933" s="2" t="s">
        <v>25</v>
      </c>
      <c r="J933" s="2" t="s">
        <v>19</v>
      </c>
      <c r="K933" s="4" t="str">
        <f>HYPERLINK("https://www.cortellis.com/drugdiscovery/result/proxy/related-content/biomarkers/genestargets/29676","cyclin D1; tumor necrosis factor")</f>
        <v>cyclin D1; tumor necrosis factor</v>
      </c>
    </row>
    <row r="934" spans="1:11" ht="60" customHeight="1" x14ac:dyDescent="0.2">
      <c r="A934" s="2">
        <v>931</v>
      </c>
      <c r="B934" s="3" t="str">
        <f t="shared" si="168"/>
        <v>TNF-alpha</v>
      </c>
      <c r="C934" s="3" t="str">
        <f t="shared" si="169"/>
        <v>TNF</v>
      </c>
      <c r="D934" s="3" t="str">
        <f t="shared" si="170"/>
        <v>TNFA_HUMAN</v>
      </c>
      <c r="E934" s="2" t="s">
        <v>21</v>
      </c>
      <c r="F934" s="3" t="str">
        <f t="shared" si="171"/>
        <v>Tumor necrosis factor</v>
      </c>
      <c r="G934" s="4" t="str">
        <f t="shared" si="172"/>
        <v>CB1093</v>
      </c>
      <c r="H934" s="3" t="str">
        <f>HYPERLINK("https://www.cortellis.com/drugdiscovery/entity/biomarkers/30768","11-protein cardiovascular panel")</f>
        <v>11-protein cardiovascular panel</v>
      </c>
      <c r="I934" s="2" t="s">
        <v>23</v>
      </c>
      <c r="J934" s="2" t="s">
        <v>17</v>
      </c>
      <c r="K934" s="4" t="str">
        <f>HYPERLINK("https://www.cortellis.com/drugdiscovery/result/proxy/related-content/biomarkers/genestargets/30768","interferon gamma; interleukin 12B; tumor necrosis factor")</f>
        <v>interferon gamma; interleukin 12B; tumor necrosis factor</v>
      </c>
    </row>
    <row r="935" spans="1:11" ht="60" customHeight="1" x14ac:dyDescent="0.2">
      <c r="A935" s="2">
        <v>932</v>
      </c>
      <c r="B935" s="3" t="str">
        <f t="shared" si="168"/>
        <v>TNF-alpha</v>
      </c>
      <c r="C935" s="3" t="str">
        <f t="shared" si="169"/>
        <v>TNF</v>
      </c>
      <c r="D935" s="3" t="str">
        <f t="shared" si="170"/>
        <v>TNFA_HUMAN</v>
      </c>
      <c r="E935" s="2" t="s">
        <v>21</v>
      </c>
      <c r="F935" s="3" t="str">
        <f t="shared" si="171"/>
        <v>Tumor necrosis factor</v>
      </c>
      <c r="G935" s="4" t="str">
        <f t="shared" si="172"/>
        <v>CB1093</v>
      </c>
      <c r="H935" s="3" t="str">
        <f>HYPERLINK("https://www.cortellis.com/drugdiscovery/entity/biomarkers/34385","30-protein alzheimer's panel")</f>
        <v>30-protein alzheimer's panel</v>
      </c>
      <c r="I935" s="2" t="s">
        <v>23</v>
      </c>
      <c r="J935" s="2" t="s">
        <v>17</v>
      </c>
      <c r="K935" s="4" t="str">
        <f>HYPERLINK("https://www.cortellis.com/drugdiscovery/result/proxy/related-content/biomarkers/genestargets/34385","C-C motif chemokine ligand 2; interleukin 7; tenascin C; tumor necrosis factor")</f>
        <v>C-C motif chemokine ligand 2; interleukin 7; tenascin C; tumor necrosis factor</v>
      </c>
    </row>
    <row r="936" spans="1:11" ht="60" customHeight="1" x14ac:dyDescent="0.2">
      <c r="A936" s="2">
        <v>933</v>
      </c>
      <c r="B936" s="3" t="str">
        <f t="shared" si="168"/>
        <v>TNF-alpha</v>
      </c>
      <c r="C936" s="3" t="str">
        <f t="shared" si="169"/>
        <v>TNF</v>
      </c>
      <c r="D936" s="3" t="str">
        <f t="shared" si="170"/>
        <v>TNFA_HUMAN</v>
      </c>
      <c r="E936" s="2" t="s">
        <v>21</v>
      </c>
      <c r="F936" s="3" t="str">
        <f t="shared" si="171"/>
        <v>Tumor necrosis factor</v>
      </c>
      <c r="G936" s="4" t="str">
        <f t="shared" si="172"/>
        <v>CB1093</v>
      </c>
      <c r="H936" s="3" t="str">
        <f>HYPERLINK("https://www.cortellis.com/drugdiscovery/entity/biomarkers/34437","3-protein 3-autoantibody lung cancer panel")</f>
        <v>3-protein 3-autoantibody lung cancer panel</v>
      </c>
      <c r="I936" s="2" t="s">
        <v>23</v>
      </c>
      <c r="J936" s="2" t="s">
        <v>17</v>
      </c>
      <c r="K936" s="4" t="str">
        <f>HYPERLINK("https://www.cortellis.com/drugdiscovery/result/proxy/related-content/biomarkers/genestargets/34437","tumor necrosis factor")</f>
        <v>tumor necrosis factor</v>
      </c>
    </row>
    <row r="937" spans="1:11" ht="60" customHeight="1" x14ac:dyDescent="0.2">
      <c r="A937" s="2">
        <v>934</v>
      </c>
      <c r="B937" s="3" t="str">
        <f t="shared" si="168"/>
        <v>TNF-alpha</v>
      </c>
      <c r="C937" s="3" t="str">
        <f t="shared" si="169"/>
        <v>TNF</v>
      </c>
      <c r="D937" s="3" t="str">
        <f t="shared" si="170"/>
        <v>TNFA_HUMAN</v>
      </c>
      <c r="E937" s="2" t="s">
        <v>21</v>
      </c>
      <c r="F937" s="3" t="str">
        <f t="shared" si="171"/>
        <v>Tumor necrosis factor</v>
      </c>
      <c r="G937" s="4" t="str">
        <f t="shared" si="172"/>
        <v>CB1093</v>
      </c>
      <c r="H937" s="3" t="str">
        <f>HYPERLINK("https://www.cortellis.com/drugdiscovery/entity/biomarkers/35424","60-gene expression ovarian cancer panel")</f>
        <v>60-gene expression ovarian cancer panel</v>
      </c>
      <c r="I937" s="2" t="s">
        <v>18</v>
      </c>
      <c r="J937" s="2" t="s">
        <v>19</v>
      </c>
      <c r="K937" s="4" t="str">
        <f>HYPERLINK("https://www.cortellis.com/drugdiscovery/result/proxy/related-content/biomarkers/genestargets/35424","tumor necrosis factor")</f>
        <v>tumor necrosis factor</v>
      </c>
    </row>
    <row r="938" spans="1:11" ht="60" customHeight="1" x14ac:dyDescent="0.2">
      <c r="A938" s="2">
        <v>935</v>
      </c>
      <c r="B938" s="3" t="str">
        <f t="shared" si="168"/>
        <v>TNF-alpha</v>
      </c>
      <c r="C938" s="3" t="str">
        <f t="shared" si="169"/>
        <v>TNF</v>
      </c>
      <c r="D938" s="3" t="str">
        <f t="shared" si="170"/>
        <v>TNFA_HUMAN</v>
      </c>
      <c r="E938" s="2" t="s">
        <v>21</v>
      </c>
      <c r="F938" s="3" t="str">
        <f t="shared" si="171"/>
        <v>Tumor necrosis factor</v>
      </c>
      <c r="G938" s="4" t="str">
        <f t="shared" si="172"/>
        <v>CB1093</v>
      </c>
      <c r="H938" s="3" t="str">
        <f>HYPERLINK("https://www.cortellis.com/drugdiscovery/entity/biomarkers/36125","10-protein respiratory panel")</f>
        <v>10-protein respiratory panel</v>
      </c>
      <c r="I938" s="2" t="s">
        <v>25</v>
      </c>
      <c r="J938" s="2" t="s">
        <v>17</v>
      </c>
      <c r="K938" s="4" t="str">
        <f>HYPERLINK("https://www.cortellis.com/drugdiscovery/result/proxy/related-content/biomarkers/genestargets/36125","interferon gamma; tumor necrosis factor")</f>
        <v>interferon gamma; tumor necrosis factor</v>
      </c>
    </row>
    <row r="939" spans="1:11" ht="60" customHeight="1" x14ac:dyDescent="0.2">
      <c r="A939" s="2">
        <v>936</v>
      </c>
      <c r="B939" s="3" t="str">
        <f t="shared" si="168"/>
        <v>TNF-alpha</v>
      </c>
      <c r="C939" s="3" t="str">
        <f t="shared" si="169"/>
        <v>TNF</v>
      </c>
      <c r="D939" s="3" t="str">
        <f t="shared" si="170"/>
        <v>TNFA_HUMAN</v>
      </c>
      <c r="E939" s="2" t="s">
        <v>21</v>
      </c>
      <c r="F939" s="3" t="str">
        <f t="shared" si="171"/>
        <v>Tumor necrosis factor</v>
      </c>
      <c r="G939" s="4" t="str">
        <f t="shared" si="172"/>
        <v>CB1093</v>
      </c>
      <c r="H939" s="3" t="str">
        <f>HYPERLINK("https://www.cortellis.com/drugdiscovery/entity/biomarkers/36127","3-protein respiratory panel")</f>
        <v>3-protein respiratory panel</v>
      </c>
      <c r="I939" s="2" t="s">
        <v>25</v>
      </c>
      <c r="J939" s="2" t="s">
        <v>17</v>
      </c>
      <c r="K939" s="4" t="str">
        <f>HYPERLINK("https://www.cortellis.com/drugdiscovery/result/proxy/related-content/biomarkers/genestargets/36127","interferon gamma; tumor necrosis factor")</f>
        <v>interferon gamma; tumor necrosis factor</v>
      </c>
    </row>
    <row r="940" spans="1:11" ht="60" customHeight="1" x14ac:dyDescent="0.2">
      <c r="A940" s="2">
        <v>937</v>
      </c>
      <c r="B940" s="3" t="str">
        <f t="shared" si="168"/>
        <v>TNF-alpha</v>
      </c>
      <c r="C940" s="3" t="str">
        <f t="shared" si="169"/>
        <v>TNF</v>
      </c>
      <c r="D940" s="3" t="str">
        <f t="shared" si="170"/>
        <v>TNFA_HUMAN</v>
      </c>
      <c r="E940" s="2" t="s">
        <v>21</v>
      </c>
      <c r="F940" s="3" t="str">
        <f t="shared" si="171"/>
        <v>Tumor necrosis factor</v>
      </c>
      <c r="G940" s="4" t="str">
        <f t="shared" si="172"/>
        <v>CB1093</v>
      </c>
      <c r="H940" s="3" t="str">
        <f>HYPERLINK("https://www.cortellis.com/drugdiscovery/entity/biomarkers/37520","4-protein bacteremia panel")</f>
        <v>4-protein bacteremia panel</v>
      </c>
      <c r="I940" s="2" t="s">
        <v>23</v>
      </c>
      <c r="J940" s="2" t="s">
        <v>17</v>
      </c>
      <c r="K940" s="4" t="str">
        <f>HYPERLINK("https://www.cortellis.com/drugdiscovery/result/proxy/related-content/biomarkers/genestargets/37520","tumor necrosis factor")</f>
        <v>tumor necrosis factor</v>
      </c>
    </row>
    <row r="941" spans="1:11" ht="60" customHeight="1" x14ac:dyDescent="0.2">
      <c r="A941" s="2">
        <v>938</v>
      </c>
      <c r="B941" s="3" t="str">
        <f t="shared" si="168"/>
        <v>TNF-alpha</v>
      </c>
      <c r="C941" s="3" t="str">
        <f t="shared" si="169"/>
        <v>TNF</v>
      </c>
      <c r="D941" s="3" t="str">
        <f t="shared" si="170"/>
        <v>TNFA_HUMAN</v>
      </c>
      <c r="E941" s="2" t="s">
        <v>21</v>
      </c>
      <c r="F941" s="3" t="str">
        <f t="shared" si="171"/>
        <v>Tumor necrosis factor</v>
      </c>
      <c r="G941" s="4" t="str">
        <f t="shared" si="172"/>
        <v>CB1093</v>
      </c>
      <c r="H941" s="3" t="str">
        <f>HYPERLINK("https://www.cortellis.com/drugdiscovery/entity/biomarkers/43870","17-genomic 14-protein 3-biochemical irritable bowel syndrome panel")</f>
        <v>17-genomic 14-protein 3-biochemical irritable bowel syndrome panel</v>
      </c>
      <c r="I941" s="2" t="s">
        <v>52</v>
      </c>
      <c r="J941" s="2" t="s">
        <v>53</v>
      </c>
      <c r="K941" s="4" t="str">
        <f>HYPERLINK("https://www.cortellis.com/drugdiscovery/result/proxy/related-content/biomarkers/genestargets/43870","interleukin 12B; tumor necrosis factor")</f>
        <v>interleukin 12B; tumor necrosis factor</v>
      </c>
    </row>
    <row r="942" spans="1:11" ht="60" customHeight="1" x14ac:dyDescent="0.2">
      <c r="A942" s="2">
        <v>939</v>
      </c>
      <c r="B942" s="3" t="str">
        <f t="shared" si="168"/>
        <v>TNF-alpha</v>
      </c>
      <c r="C942" s="3" t="str">
        <f t="shared" si="169"/>
        <v>TNF</v>
      </c>
      <c r="D942" s="3" t="str">
        <f t="shared" si="170"/>
        <v>TNFA_HUMAN</v>
      </c>
      <c r="E942" s="2" t="s">
        <v>21</v>
      </c>
      <c r="F942" s="3" t="str">
        <f t="shared" si="171"/>
        <v>Tumor necrosis factor</v>
      </c>
      <c r="G942" s="4" t="str">
        <f t="shared" si="172"/>
        <v>CB1093</v>
      </c>
      <c r="H942" s="3" t="str">
        <f>HYPERLINK("https://www.cortellis.com/drugdiscovery/entity/biomarkers/46842","7-protein non small cell lung cancer panel")</f>
        <v>7-protein non small cell lung cancer panel</v>
      </c>
      <c r="I942" s="2" t="s">
        <v>23</v>
      </c>
      <c r="J942" s="2" t="s">
        <v>17</v>
      </c>
      <c r="K942" s="4" t="str">
        <f>HYPERLINK("https://www.cortellis.com/drugdiscovery/result/proxy/related-content/biomarkers/genestargets/46842","tumor necrosis factor")</f>
        <v>tumor necrosis factor</v>
      </c>
    </row>
    <row r="943" spans="1:11" ht="60" customHeight="1" x14ac:dyDescent="0.2">
      <c r="A943" s="2">
        <v>940</v>
      </c>
      <c r="B943" s="3" t="str">
        <f t="shared" si="168"/>
        <v>TNF-alpha</v>
      </c>
      <c r="C943" s="3" t="str">
        <f t="shared" si="169"/>
        <v>TNF</v>
      </c>
      <c r="D943" s="3" t="str">
        <f t="shared" si="170"/>
        <v>TNFA_HUMAN</v>
      </c>
      <c r="E943" s="2" t="s">
        <v>21</v>
      </c>
      <c r="F943" s="3" t="str">
        <f t="shared" si="171"/>
        <v>Tumor necrosis factor</v>
      </c>
      <c r="G943" s="4" t="str">
        <f t="shared" si="172"/>
        <v>CB1093</v>
      </c>
      <c r="H943" s="3" t="str">
        <f>HYPERLINK("https://www.cortellis.com/drugdiscovery/entity/biomarkers/50816","10-gene lyme disease panel")</f>
        <v>10-gene lyme disease panel</v>
      </c>
      <c r="I943" s="2" t="s">
        <v>23</v>
      </c>
      <c r="J943" s="2" t="s">
        <v>15</v>
      </c>
      <c r="K943" s="4" t="str">
        <f>HYPERLINK("https://www.cortellis.com/drugdiscovery/result/proxy/related-content/biomarkers/genestargets/50816","C-C motif chemokine ligand 2; interferon gamma; tumor necrosis factor")</f>
        <v>C-C motif chemokine ligand 2; interferon gamma; tumor necrosis factor</v>
      </c>
    </row>
    <row r="944" spans="1:11" ht="60" customHeight="1" x14ac:dyDescent="0.2">
      <c r="A944" s="2">
        <v>941</v>
      </c>
      <c r="B944" s="3" t="str">
        <f t="shared" si="168"/>
        <v>TNF-alpha</v>
      </c>
      <c r="C944" s="3" t="str">
        <f t="shared" si="169"/>
        <v>TNF</v>
      </c>
      <c r="D944" s="3" t="str">
        <f t="shared" si="170"/>
        <v>TNFA_HUMAN</v>
      </c>
      <c r="E944" s="2" t="s">
        <v>21</v>
      </c>
      <c r="F944" s="3" t="str">
        <f t="shared" si="171"/>
        <v>Tumor necrosis factor</v>
      </c>
      <c r="G944" s="4" t="str">
        <f t="shared" si="172"/>
        <v>CB1093</v>
      </c>
      <c r="H944" s="3" t="str">
        <f>HYPERLINK("https://www.cortellis.com/drugdiscovery/entity/biomarkers/50817","11-gene lyme disease panel")</f>
        <v>11-gene lyme disease panel</v>
      </c>
      <c r="I944" s="2" t="s">
        <v>23</v>
      </c>
      <c r="J944" s="2" t="s">
        <v>15</v>
      </c>
      <c r="K944" s="4" t="str">
        <f>HYPERLINK("https://www.cortellis.com/drugdiscovery/result/proxy/related-content/biomarkers/genestargets/50817","C-C motif chemokine ligand 2; interferon gamma; tumor necrosis factor")</f>
        <v>C-C motif chemokine ligand 2; interferon gamma; tumor necrosis factor</v>
      </c>
    </row>
    <row r="945" spans="1:11" ht="60" customHeight="1" x14ac:dyDescent="0.2">
      <c r="A945" s="2">
        <v>942</v>
      </c>
      <c r="B945" s="3" t="str">
        <f t="shared" si="168"/>
        <v>TNF-alpha</v>
      </c>
      <c r="C945" s="3" t="str">
        <f t="shared" si="169"/>
        <v>TNF</v>
      </c>
      <c r="D945" s="3" t="str">
        <f t="shared" si="170"/>
        <v>TNFA_HUMAN</v>
      </c>
      <c r="E945" s="2" t="s">
        <v>21</v>
      </c>
      <c r="F945" s="3" t="str">
        <f t="shared" si="171"/>
        <v>Tumor necrosis factor</v>
      </c>
      <c r="G945" s="4" t="str">
        <f t="shared" si="172"/>
        <v>CB1093</v>
      </c>
      <c r="H945" s="3" t="str">
        <f>HYPERLINK("https://www.cortellis.com/drugdiscovery/entity/biomarkers/50818","12 protein Lyme disease panel")</f>
        <v>12 protein Lyme disease panel</v>
      </c>
      <c r="I945" s="2" t="s">
        <v>23</v>
      </c>
      <c r="J945" s="2" t="s">
        <v>17</v>
      </c>
      <c r="K945" s="4" t="str">
        <f>HYPERLINK("https://www.cortellis.com/drugdiscovery/result/proxy/related-content/biomarkers/genestargets/50818","C-C motif chemokine ligand 2; interferon gamma; tumor necrosis factor")</f>
        <v>C-C motif chemokine ligand 2; interferon gamma; tumor necrosis factor</v>
      </c>
    </row>
    <row r="946" spans="1:11" ht="60" customHeight="1" x14ac:dyDescent="0.2">
      <c r="A946" s="2">
        <v>943</v>
      </c>
      <c r="B946" s="3" t="str">
        <f t="shared" si="168"/>
        <v>TNF-alpha</v>
      </c>
      <c r="C946" s="3" t="str">
        <f t="shared" si="169"/>
        <v>TNF</v>
      </c>
      <c r="D946" s="3" t="str">
        <f t="shared" si="170"/>
        <v>TNFA_HUMAN</v>
      </c>
      <c r="E946" s="2" t="s">
        <v>21</v>
      </c>
      <c r="F946" s="3" t="str">
        <f t="shared" si="171"/>
        <v>Tumor necrosis factor</v>
      </c>
      <c r="G946" s="4" t="str">
        <f t="shared" si="172"/>
        <v>CB1093</v>
      </c>
      <c r="H946" s="3" t="str">
        <f>HYPERLINK("https://www.cortellis.com/drugdiscovery/entity/biomarkers/51292","37-gene expression major depression panel")</f>
        <v>37-gene expression major depression panel</v>
      </c>
      <c r="I946" s="2" t="s">
        <v>23</v>
      </c>
      <c r="J946" s="2" t="s">
        <v>19</v>
      </c>
      <c r="K946" s="4" t="str">
        <f>HYPERLINK("https://www.cortellis.com/drugdiscovery/result/proxy/related-content/biomarkers/genestargets/51292","C-C motif chemokine ligand 2; tumor necrosis factor")</f>
        <v>C-C motif chemokine ligand 2; tumor necrosis factor</v>
      </c>
    </row>
    <row r="947" spans="1:11" ht="60" customHeight="1" x14ac:dyDescent="0.2">
      <c r="A947" s="2">
        <v>944</v>
      </c>
      <c r="B947" s="3" t="str">
        <f t="shared" si="168"/>
        <v>TNF-alpha</v>
      </c>
      <c r="C947" s="3" t="str">
        <f t="shared" si="169"/>
        <v>TNF</v>
      </c>
      <c r="D947" s="3" t="str">
        <f t="shared" si="170"/>
        <v>TNFA_HUMAN</v>
      </c>
      <c r="E947" s="2" t="s">
        <v>21</v>
      </c>
      <c r="F947" s="3" t="str">
        <f t="shared" si="171"/>
        <v>Tumor necrosis factor</v>
      </c>
      <c r="G947" s="4" t="str">
        <f t="shared" si="172"/>
        <v>CB1093</v>
      </c>
      <c r="H947" s="3" t="str">
        <f>HYPERLINK("https://www.cortellis.com/drugdiscovery/entity/biomarkers/57224","21-protein mild cognitive impairment panel")</f>
        <v>21-protein mild cognitive impairment panel</v>
      </c>
      <c r="I947" s="2" t="s">
        <v>23</v>
      </c>
      <c r="J947" s="2" t="s">
        <v>19</v>
      </c>
      <c r="K947" s="4" t="str">
        <f>HYPERLINK("https://www.cortellis.com/drugdiscovery/result/proxy/related-content/biomarkers/genestargets/57224","interleukin 7; tenascin C; tumor necrosis factor")</f>
        <v>interleukin 7; tenascin C; tumor necrosis factor</v>
      </c>
    </row>
    <row r="948" spans="1:11" ht="60" customHeight="1" x14ac:dyDescent="0.2">
      <c r="A948" s="2">
        <v>945</v>
      </c>
      <c r="B948" s="3" t="str">
        <f t="shared" si="168"/>
        <v>TNF-alpha</v>
      </c>
      <c r="C948" s="3" t="str">
        <f t="shared" si="169"/>
        <v>TNF</v>
      </c>
      <c r="D948" s="3" t="str">
        <f t="shared" si="170"/>
        <v>TNFA_HUMAN</v>
      </c>
      <c r="E948" s="2" t="s">
        <v>21</v>
      </c>
      <c r="F948" s="3" t="str">
        <f t="shared" si="171"/>
        <v>Tumor necrosis factor</v>
      </c>
      <c r="G948" s="4" t="str">
        <f t="shared" si="172"/>
        <v>CB1093</v>
      </c>
      <c r="H948" s="3" t="str">
        <f>HYPERLINK("https://www.cortellis.com/drugdiscovery/entity/biomarkers/57250","9-protein non-muscle invasive bladder cancer panel")</f>
        <v>9-protein non-muscle invasive bladder cancer panel</v>
      </c>
      <c r="I948" s="2" t="s">
        <v>18</v>
      </c>
      <c r="J948" s="2" t="s">
        <v>17</v>
      </c>
      <c r="K948" s="4" t="str">
        <f>HYPERLINK("https://www.cortellis.com/drugdiscovery/result/proxy/related-content/biomarkers/genestargets/57250","interferon gamma; interleukin 12B; tumor necrosis factor")</f>
        <v>interferon gamma; interleukin 12B; tumor necrosis factor</v>
      </c>
    </row>
    <row r="949" spans="1:11" ht="60" customHeight="1" x14ac:dyDescent="0.2">
      <c r="A949" s="2">
        <v>946</v>
      </c>
      <c r="B949" s="3" t="str">
        <f t="shared" si="168"/>
        <v>TNF-alpha</v>
      </c>
      <c r="C949" s="3" t="str">
        <f t="shared" si="169"/>
        <v>TNF</v>
      </c>
      <c r="D949" s="3" t="str">
        <f t="shared" si="170"/>
        <v>TNFA_HUMAN</v>
      </c>
      <c r="E949" s="2" t="s">
        <v>21</v>
      </c>
      <c r="F949" s="3" t="str">
        <f t="shared" si="171"/>
        <v>Tumor necrosis factor</v>
      </c>
      <c r="G949" s="4" t="str">
        <f t="shared" si="172"/>
        <v>CB1093</v>
      </c>
      <c r="H949" s="3" t="str">
        <f>HYPERLINK("https://www.cortellis.com/drugdiscovery/entity/biomarkers/62155","19-protein rhegmatogenous retinal detachment panel")</f>
        <v>19-protein rhegmatogenous retinal detachment panel</v>
      </c>
      <c r="I949" s="2" t="s">
        <v>24</v>
      </c>
      <c r="J949" s="2" t="s">
        <v>17</v>
      </c>
      <c r="K949" s="4" t="str">
        <f>HYPERLINK("https://www.cortellis.com/drugdiscovery/result/proxy/related-content/biomarkers/genestargets/62155","C-C motif chemokine ligand 2; interleukin 12B; tumor necrosis factor")</f>
        <v>C-C motif chemokine ligand 2; interleukin 12B; tumor necrosis factor</v>
      </c>
    </row>
    <row r="950" spans="1:11" ht="60" customHeight="1" x14ac:dyDescent="0.2">
      <c r="A950" s="2">
        <v>947</v>
      </c>
      <c r="B950" s="3" t="str">
        <f t="shared" si="168"/>
        <v>TNF-alpha</v>
      </c>
      <c r="C950" s="3" t="str">
        <f t="shared" si="169"/>
        <v>TNF</v>
      </c>
      <c r="D950" s="3" t="str">
        <f t="shared" si="170"/>
        <v>TNFA_HUMAN</v>
      </c>
      <c r="E950" s="2" t="s">
        <v>21</v>
      </c>
      <c r="F950" s="3" t="str">
        <f t="shared" si="171"/>
        <v>Tumor necrosis factor</v>
      </c>
      <c r="G950" s="4" t="str">
        <f t="shared" si="172"/>
        <v>CB1093</v>
      </c>
      <c r="H950" s="3" t="str">
        <f>HYPERLINK("https://www.cortellis.com/drugdiscovery/entity/biomarkers/62663","9-protein immunological disorders panel")</f>
        <v>9-protein immunological disorders panel</v>
      </c>
      <c r="I950" s="2" t="s">
        <v>24</v>
      </c>
      <c r="J950" s="2" t="s">
        <v>17</v>
      </c>
      <c r="K950" s="4" t="str">
        <f>HYPERLINK("https://www.cortellis.com/drugdiscovery/result/proxy/related-content/biomarkers/genestargets/62663","C-C motif chemokine ligand 2; interferon gamma; tumor necrosis factor")</f>
        <v>C-C motif chemokine ligand 2; interferon gamma; tumor necrosis factor</v>
      </c>
    </row>
    <row r="951" spans="1:11" ht="60" customHeight="1" x14ac:dyDescent="0.2">
      <c r="A951" s="2">
        <v>948</v>
      </c>
      <c r="B951" s="3" t="str">
        <f t="shared" si="168"/>
        <v>TNF-alpha</v>
      </c>
      <c r="C951" s="3" t="str">
        <f t="shared" si="169"/>
        <v>TNF</v>
      </c>
      <c r="D951" s="3" t="str">
        <f t="shared" si="170"/>
        <v>TNFA_HUMAN</v>
      </c>
      <c r="E951" s="2" t="s">
        <v>21</v>
      </c>
      <c r="F951" s="3" t="str">
        <f t="shared" si="171"/>
        <v>Tumor necrosis factor</v>
      </c>
      <c r="G951" s="4" t="str">
        <f t="shared" si="172"/>
        <v>CB1093</v>
      </c>
      <c r="H951" s="3" t="str">
        <f>HYPERLINK("https://www.cortellis.com/drugdiscovery/entity/biomarkers/62730","7-protein Alzheimer's disease panel")</f>
        <v>7-protein Alzheimer's disease panel</v>
      </c>
      <c r="I951" s="2" t="s">
        <v>23</v>
      </c>
      <c r="J951" s="2" t="s">
        <v>17</v>
      </c>
      <c r="K951" s="4" t="str">
        <f>HYPERLINK("https://www.cortellis.com/drugdiscovery/result/proxy/related-content/biomarkers/genestargets/62730","tumor necrosis factor")</f>
        <v>tumor necrosis factor</v>
      </c>
    </row>
    <row r="952" spans="1:11" ht="60" customHeight="1" x14ac:dyDescent="0.2">
      <c r="A952" s="2">
        <v>949</v>
      </c>
      <c r="B952" s="3" t="str">
        <f t="shared" si="168"/>
        <v>TNF-alpha</v>
      </c>
      <c r="C952" s="3" t="str">
        <f t="shared" si="169"/>
        <v>TNF</v>
      </c>
      <c r="D952" s="3" t="str">
        <f t="shared" si="170"/>
        <v>TNFA_HUMAN</v>
      </c>
      <c r="E952" s="2" t="s">
        <v>21</v>
      </c>
      <c r="F952" s="3" t="str">
        <f t="shared" si="171"/>
        <v>Tumor necrosis factor</v>
      </c>
      <c r="G952" s="4" t="str">
        <f t="shared" si="172"/>
        <v>CB1093</v>
      </c>
      <c r="H952" s="3" t="str">
        <f>HYPERLINK("https://www.cortellis.com/drugdiscovery/entity/biomarkers/62746","5-protein renal disorder panel")</f>
        <v>5-protein renal disorder panel</v>
      </c>
      <c r="I952" s="2" t="s">
        <v>25</v>
      </c>
      <c r="J952" s="2" t="s">
        <v>17</v>
      </c>
      <c r="K952" s="4" t="str">
        <f>HYPERLINK("https://www.cortellis.com/drugdiscovery/result/proxy/related-content/biomarkers/genestargets/62746","tumor necrosis factor")</f>
        <v>tumor necrosis factor</v>
      </c>
    </row>
    <row r="953" spans="1:11" ht="60" customHeight="1" x14ac:dyDescent="0.2">
      <c r="A953" s="2">
        <v>950</v>
      </c>
      <c r="B953" s="3" t="str">
        <f t="shared" si="168"/>
        <v>TNF-alpha</v>
      </c>
      <c r="C953" s="3" t="str">
        <f t="shared" si="169"/>
        <v>TNF</v>
      </c>
      <c r="D953" s="3" t="str">
        <f t="shared" si="170"/>
        <v>TNFA_HUMAN</v>
      </c>
      <c r="E953" s="2" t="s">
        <v>21</v>
      </c>
      <c r="F953" s="3" t="str">
        <f t="shared" si="171"/>
        <v>Tumor necrosis factor</v>
      </c>
      <c r="G953" s="4" t="str">
        <f t="shared" si="172"/>
        <v>CB1093</v>
      </c>
      <c r="H953" s="3" t="str">
        <f>HYPERLINK("https://www.cortellis.com/drugdiscovery/entity/biomarkers/65259","22-gene expression hepatocellular carcinoma panel")</f>
        <v>22-gene expression hepatocellular carcinoma panel</v>
      </c>
      <c r="I953" s="2" t="s">
        <v>25</v>
      </c>
      <c r="J953" s="2" t="s">
        <v>19</v>
      </c>
      <c r="K953" s="4" t="str">
        <f>HYPERLINK("https://www.cortellis.com/drugdiscovery/result/proxy/related-content/biomarkers/genestargets/65259","tumor necrosis factor")</f>
        <v>tumor necrosis factor</v>
      </c>
    </row>
    <row r="954" spans="1:11" ht="60" customHeight="1" x14ac:dyDescent="0.2">
      <c r="A954" s="2">
        <v>951</v>
      </c>
      <c r="B954" s="3" t="str">
        <f t="shared" si="168"/>
        <v>TNF-alpha</v>
      </c>
      <c r="C954" s="3" t="str">
        <f t="shared" si="169"/>
        <v>TNF</v>
      </c>
      <c r="D954" s="3" t="str">
        <f t="shared" si="170"/>
        <v>TNFA_HUMAN</v>
      </c>
      <c r="E954" s="2" t="s">
        <v>21</v>
      </c>
      <c r="F954" s="3" t="str">
        <f t="shared" si="171"/>
        <v>Tumor necrosis factor</v>
      </c>
      <c r="G954" s="4" t="str">
        <f t="shared" ref="G954:G980" si="173">HYPERLINK("https://portal.genego.com/cgi/entity_page.cgi?term=7&amp;id=-1007396681","Doxycycline")</f>
        <v>Doxycycline</v>
      </c>
      <c r="H954" s="3" t="str">
        <f>HYPERLINK("https://www.cortellis.com/drugdiscovery/entity/biomarkers/274","Tumor necrosis factor")</f>
        <v>Tumor necrosis factor</v>
      </c>
      <c r="I954" s="2" t="s">
        <v>22</v>
      </c>
      <c r="J954" s="2" t="s">
        <v>15</v>
      </c>
      <c r="K954" s="4" t="str">
        <f>HYPERLINK("https://www.cortellis.com/drugdiscovery/result/proxy/related-content/biomarkers/genestargets/274","tumor necrosis factor")</f>
        <v>tumor necrosis factor</v>
      </c>
    </row>
    <row r="955" spans="1:11" ht="60" customHeight="1" x14ac:dyDescent="0.2">
      <c r="A955" s="2">
        <v>952</v>
      </c>
      <c r="B955" s="3" t="str">
        <f t="shared" si="168"/>
        <v>TNF-alpha</v>
      </c>
      <c r="C955" s="3" t="str">
        <f t="shared" si="169"/>
        <v>TNF</v>
      </c>
      <c r="D955" s="3" t="str">
        <f t="shared" si="170"/>
        <v>TNFA_HUMAN</v>
      </c>
      <c r="E955" s="2" t="s">
        <v>21</v>
      </c>
      <c r="F955" s="3" t="str">
        <f t="shared" si="171"/>
        <v>Tumor necrosis factor</v>
      </c>
      <c r="G955" s="4" t="str">
        <f t="shared" si="173"/>
        <v>Doxycycline</v>
      </c>
      <c r="H955" s="3" t="str">
        <f>HYPERLINK("https://www.cortellis.com/drugdiscovery/entity/biomarkers/27598","89-protein neurological alzheimer's panel")</f>
        <v>89-protein neurological alzheimer's panel</v>
      </c>
      <c r="I955" s="2" t="s">
        <v>23</v>
      </c>
      <c r="J955" s="2" t="s">
        <v>17</v>
      </c>
      <c r="K955"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956" spans="1:11" ht="60" customHeight="1" x14ac:dyDescent="0.2">
      <c r="A956" s="2">
        <v>953</v>
      </c>
      <c r="B956" s="3" t="str">
        <f t="shared" si="168"/>
        <v>TNF-alpha</v>
      </c>
      <c r="C956" s="3" t="str">
        <f t="shared" si="169"/>
        <v>TNF</v>
      </c>
      <c r="D956" s="3" t="str">
        <f t="shared" si="170"/>
        <v>TNFA_HUMAN</v>
      </c>
      <c r="E956" s="2" t="s">
        <v>21</v>
      </c>
      <c r="F956" s="3" t="str">
        <f t="shared" si="171"/>
        <v>Tumor necrosis factor</v>
      </c>
      <c r="G956" s="4" t="str">
        <f t="shared" si="173"/>
        <v>Doxycycline</v>
      </c>
      <c r="H956" s="3" t="str">
        <f>HYPERLINK("https://www.cortellis.com/drugdiscovery/entity/biomarkers/27640","5-protein alzheimer's panel")</f>
        <v>5-protein alzheimer's panel</v>
      </c>
      <c r="I956" s="2" t="s">
        <v>23</v>
      </c>
      <c r="J956" s="2" t="s">
        <v>17</v>
      </c>
      <c r="K956" s="4" t="str">
        <f>HYPERLINK("https://www.cortellis.com/drugdiscovery/result/proxy/related-content/biomarkers/genestargets/27640","tumor necrosis factor")</f>
        <v>tumor necrosis factor</v>
      </c>
    </row>
    <row r="957" spans="1:11" ht="60" customHeight="1" x14ac:dyDescent="0.2">
      <c r="A957" s="2">
        <v>954</v>
      </c>
      <c r="B957" s="3" t="str">
        <f t="shared" si="168"/>
        <v>TNF-alpha</v>
      </c>
      <c r="C957" s="3" t="str">
        <f t="shared" si="169"/>
        <v>TNF</v>
      </c>
      <c r="D957" s="3" t="str">
        <f t="shared" si="170"/>
        <v>TNFA_HUMAN</v>
      </c>
      <c r="E957" s="2" t="s">
        <v>21</v>
      </c>
      <c r="F957" s="3" t="str">
        <f t="shared" si="171"/>
        <v>Tumor necrosis factor</v>
      </c>
      <c r="G957" s="4" t="str">
        <f t="shared" si="173"/>
        <v>Doxycycline</v>
      </c>
      <c r="H957" s="3" t="str">
        <f>HYPERLINK("https://www.cortellis.com/drugdiscovery/entity/biomarkers/27734","6-protein lung cancer panel")</f>
        <v>6-protein lung cancer panel</v>
      </c>
      <c r="I957" s="2" t="s">
        <v>23</v>
      </c>
      <c r="J957" s="2" t="s">
        <v>17</v>
      </c>
      <c r="K957" s="4" t="str">
        <f>HYPERLINK("https://www.cortellis.com/drugdiscovery/result/proxy/related-content/biomarkers/genestargets/27734","interferon gamma; tumor necrosis factor")</f>
        <v>interferon gamma; tumor necrosis factor</v>
      </c>
    </row>
    <row r="958" spans="1:11" ht="60" customHeight="1" x14ac:dyDescent="0.2">
      <c r="A958" s="2">
        <v>955</v>
      </c>
      <c r="B958" s="3" t="str">
        <f t="shared" si="168"/>
        <v>TNF-alpha</v>
      </c>
      <c r="C958" s="3" t="str">
        <f t="shared" si="169"/>
        <v>TNF</v>
      </c>
      <c r="D958" s="3" t="str">
        <f t="shared" si="170"/>
        <v>TNFA_HUMAN</v>
      </c>
      <c r="E958" s="2" t="s">
        <v>21</v>
      </c>
      <c r="F958" s="3" t="str">
        <f t="shared" si="171"/>
        <v>Tumor necrosis factor</v>
      </c>
      <c r="G958" s="4" t="str">
        <f t="shared" si="173"/>
        <v>Doxycycline</v>
      </c>
      <c r="H958" s="3" t="str">
        <f>HYPERLINK("https://www.cortellis.com/drugdiscovery/entity/biomarkers/28148","11-gene expression lung cancer panel")</f>
        <v>11-gene expression lung cancer panel</v>
      </c>
      <c r="I958" s="2" t="s">
        <v>25</v>
      </c>
      <c r="J958" s="2" t="s">
        <v>19</v>
      </c>
      <c r="K958" s="4" t="str">
        <f>HYPERLINK("https://www.cortellis.com/drugdiscovery/result/proxy/related-content/biomarkers/genestargets/28148","interferon gamma; interleukin 15; tumor necrosis factor")</f>
        <v>interferon gamma; interleukin 15; tumor necrosis factor</v>
      </c>
    </row>
    <row r="959" spans="1:11" ht="60" customHeight="1" x14ac:dyDescent="0.2">
      <c r="A959" s="2">
        <v>956</v>
      </c>
      <c r="B959" s="3" t="str">
        <f t="shared" si="168"/>
        <v>TNF-alpha</v>
      </c>
      <c r="C959" s="3" t="str">
        <f t="shared" si="169"/>
        <v>TNF</v>
      </c>
      <c r="D959" s="3" t="str">
        <f t="shared" si="170"/>
        <v>TNFA_HUMAN</v>
      </c>
      <c r="E959" s="2" t="s">
        <v>21</v>
      </c>
      <c r="F959" s="3" t="str">
        <f t="shared" si="171"/>
        <v>Tumor necrosis factor</v>
      </c>
      <c r="G959" s="4" t="str">
        <f t="shared" si="173"/>
        <v>Doxycycline</v>
      </c>
      <c r="H959" s="3" t="str">
        <f>HYPERLINK("https://www.cortellis.com/drugdiscovery/entity/biomarkers/28647","15-gene expression lung cancer panel")</f>
        <v>15-gene expression lung cancer panel</v>
      </c>
      <c r="I959" s="2" t="s">
        <v>20</v>
      </c>
      <c r="J959" s="2" t="s">
        <v>19</v>
      </c>
      <c r="K959" s="4" t="str">
        <f>HYPERLINK("https://www.cortellis.com/drugdiscovery/result/proxy/related-content/biomarkers/genestargets/28647","interferon gamma; interleukin 15; tumor necrosis factor")</f>
        <v>interferon gamma; interleukin 15; tumor necrosis factor</v>
      </c>
    </row>
    <row r="960" spans="1:11" ht="60" customHeight="1" x14ac:dyDescent="0.2">
      <c r="A960" s="2">
        <v>957</v>
      </c>
      <c r="B960" s="3" t="str">
        <f t="shared" si="168"/>
        <v>TNF-alpha</v>
      </c>
      <c r="C960" s="3" t="str">
        <f t="shared" si="169"/>
        <v>TNF</v>
      </c>
      <c r="D960" s="3" t="str">
        <f t="shared" si="170"/>
        <v>TNFA_HUMAN</v>
      </c>
      <c r="E960" s="2" t="s">
        <v>21</v>
      </c>
      <c r="F960" s="3" t="str">
        <f t="shared" si="171"/>
        <v>Tumor necrosis factor</v>
      </c>
      <c r="G960" s="4" t="str">
        <f t="shared" si="173"/>
        <v>Doxycycline</v>
      </c>
      <c r="H960" s="3" t="str">
        <f>HYPERLINK("https://www.cortellis.com/drugdiscovery/entity/biomarkers/29676","277-gene expression lung cancer panel")</f>
        <v>277-gene expression lung cancer panel</v>
      </c>
      <c r="I960" s="2" t="s">
        <v>25</v>
      </c>
      <c r="J960" s="2" t="s">
        <v>19</v>
      </c>
      <c r="K960" s="4" t="str">
        <f>HYPERLINK("https://www.cortellis.com/drugdiscovery/result/proxy/related-content/biomarkers/genestargets/29676","cyclin D1; tumor necrosis factor")</f>
        <v>cyclin D1; tumor necrosis factor</v>
      </c>
    </row>
    <row r="961" spans="1:11" ht="60" customHeight="1" x14ac:dyDescent="0.2">
      <c r="A961" s="2">
        <v>958</v>
      </c>
      <c r="B961" s="3" t="str">
        <f t="shared" si="168"/>
        <v>TNF-alpha</v>
      </c>
      <c r="C961" s="3" t="str">
        <f t="shared" si="169"/>
        <v>TNF</v>
      </c>
      <c r="D961" s="3" t="str">
        <f t="shared" si="170"/>
        <v>TNFA_HUMAN</v>
      </c>
      <c r="E961" s="2" t="s">
        <v>21</v>
      </c>
      <c r="F961" s="3" t="str">
        <f t="shared" si="171"/>
        <v>Tumor necrosis factor</v>
      </c>
      <c r="G961" s="4" t="str">
        <f t="shared" si="173"/>
        <v>Doxycycline</v>
      </c>
      <c r="H961" s="3" t="str">
        <f>HYPERLINK("https://www.cortellis.com/drugdiscovery/entity/biomarkers/30768","11-protein cardiovascular panel")</f>
        <v>11-protein cardiovascular panel</v>
      </c>
      <c r="I961" s="2" t="s">
        <v>23</v>
      </c>
      <c r="J961" s="2" t="s">
        <v>17</v>
      </c>
      <c r="K961" s="4" t="str">
        <f>HYPERLINK("https://www.cortellis.com/drugdiscovery/result/proxy/related-content/biomarkers/genestargets/30768","interferon gamma; interleukin 12B; tumor necrosis factor")</f>
        <v>interferon gamma; interleukin 12B; tumor necrosis factor</v>
      </c>
    </row>
    <row r="962" spans="1:11" ht="60" customHeight="1" x14ac:dyDescent="0.2">
      <c r="A962" s="2">
        <v>959</v>
      </c>
      <c r="B962" s="3" t="str">
        <f t="shared" si="168"/>
        <v>TNF-alpha</v>
      </c>
      <c r="C962" s="3" t="str">
        <f t="shared" si="169"/>
        <v>TNF</v>
      </c>
      <c r="D962" s="3" t="str">
        <f t="shared" si="170"/>
        <v>TNFA_HUMAN</v>
      </c>
      <c r="E962" s="2" t="s">
        <v>21</v>
      </c>
      <c r="F962" s="3" t="str">
        <f t="shared" si="171"/>
        <v>Tumor necrosis factor</v>
      </c>
      <c r="G962" s="4" t="str">
        <f t="shared" si="173"/>
        <v>Doxycycline</v>
      </c>
      <c r="H962" s="3" t="str">
        <f>HYPERLINK("https://www.cortellis.com/drugdiscovery/entity/biomarkers/34385","30-protein alzheimer's panel")</f>
        <v>30-protein alzheimer's panel</v>
      </c>
      <c r="I962" s="2" t="s">
        <v>23</v>
      </c>
      <c r="J962" s="2" t="s">
        <v>17</v>
      </c>
      <c r="K962" s="4" t="str">
        <f>HYPERLINK("https://www.cortellis.com/drugdiscovery/result/proxy/related-content/biomarkers/genestargets/34385","C-C motif chemokine ligand 2; interleukin 7; tenascin C; tumor necrosis factor")</f>
        <v>C-C motif chemokine ligand 2; interleukin 7; tenascin C; tumor necrosis factor</v>
      </c>
    </row>
    <row r="963" spans="1:11" ht="60" customHeight="1" x14ac:dyDescent="0.2">
      <c r="A963" s="2">
        <v>960</v>
      </c>
      <c r="B963" s="3" t="str">
        <f t="shared" si="168"/>
        <v>TNF-alpha</v>
      </c>
      <c r="C963" s="3" t="str">
        <f t="shared" si="169"/>
        <v>TNF</v>
      </c>
      <c r="D963" s="3" t="str">
        <f t="shared" si="170"/>
        <v>TNFA_HUMAN</v>
      </c>
      <c r="E963" s="2" t="s">
        <v>21</v>
      </c>
      <c r="F963" s="3" t="str">
        <f t="shared" si="171"/>
        <v>Tumor necrosis factor</v>
      </c>
      <c r="G963" s="4" t="str">
        <f t="shared" si="173"/>
        <v>Doxycycline</v>
      </c>
      <c r="H963" s="3" t="str">
        <f>HYPERLINK("https://www.cortellis.com/drugdiscovery/entity/biomarkers/34437","3-protein 3-autoantibody lung cancer panel")</f>
        <v>3-protein 3-autoantibody lung cancer panel</v>
      </c>
      <c r="I963" s="2" t="s">
        <v>23</v>
      </c>
      <c r="J963" s="2" t="s">
        <v>17</v>
      </c>
      <c r="K963" s="4" t="str">
        <f>HYPERLINK("https://www.cortellis.com/drugdiscovery/result/proxy/related-content/biomarkers/genestargets/34437","tumor necrosis factor")</f>
        <v>tumor necrosis factor</v>
      </c>
    </row>
    <row r="964" spans="1:11" ht="60" customHeight="1" x14ac:dyDescent="0.2">
      <c r="A964" s="2">
        <v>961</v>
      </c>
      <c r="B964" s="3" t="str">
        <f t="shared" si="168"/>
        <v>TNF-alpha</v>
      </c>
      <c r="C964" s="3" t="str">
        <f t="shared" si="169"/>
        <v>TNF</v>
      </c>
      <c r="D964" s="3" t="str">
        <f t="shared" si="170"/>
        <v>TNFA_HUMAN</v>
      </c>
      <c r="E964" s="2" t="s">
        <v>21</v>
      </c>
      <c r="F964" s="3" t="str">
        <f t="shared" si="171"/>
        <v>Tumor necrosis factor</v>
      </c>
      <c r="G964" s="4" t="str">
        <f t="shared" si="173"/>
        <v>Doxycycline</v>
      </c>
      <c r="H964" s="3" t="str">
        <f>HYPERLINK("https://www.cortellis.com/drugdiscovery/entity/biomarkers/35424","60-gene expression ovarian cancer panel")</f>
        <v>60-gene expression ovarian cancer panel</v>
      </c>
      <c r="I964" s="2" t="s">
        <v>18</v>
      </c>
      <c r="J964" s="2" t="s">
        <v>19</v>
      </c>
      <c r="K964" s="4" t="str">
        <f>HYPERLINK("https://www.cortellis.com/drugdiscovery/result/proxy/related-content/biomarkers/genestargets/35424","tumor necrosis factor")</f>
        <v>tumor necrosis factor</v>
      </c>
    </row>
    <row r="965" spans="1:11" ht="60" customHeight="1" x14ac:dyDescent="0.2">
      <c r="A965" s="2">
        <v>962</v>
      </c>
      <c r="B965" s="3" t="str">
        <f t="shared" si="168"/>
        <v>TNF-alpha</v>
      </c>
      <c r="C965" s="3" t="str">
        <f t="shared" si="169"/>
        <v>TNF</v>
      </c>
      <c r="D965" s="3" t="str">
        <f t="shared" si="170"/>
        <v>TNFA_HUMAN</v>
      </c>
      <c r="E965" s="2" t="s">
        <v>21</v>
      </c>
      <c r="F965" s="3" t="str">
        <f t="shared" si="171"/>
        <v>Tumor necrosis factor</v>
      </c>
      <c r="G965" s="4" t="str">
        <f t="shared" si="173"/>
        <v>Doxycycline</v>
      </c>
      <c r="H965" s="3" t="str">
        <f>HYPERLINK("https://www.cortellis.com/drugdiscovery/entity/biomarkers/36125","10-protein respiratory panel")</f>
        <v>10-protein respiratory panel</v>
      </c>
      <c r="I965" s="2" t="s">
        <v>25</v>
      </c>
      <c r="J965" s="2" t="s">
        <v>17</v>
      </c>
      <c r="K965" s="4" t="str">
        <f>HYPERLINK("https://www.cortellis.com/drugdiscovery/result/proxy/related-content/biomarkers/genestargets/36125","interferon gamma; tumor necrosis factor")</f>
        <v>interferon gamma; tumor necrosis factor</v>
      </c>
    </row>
    <row r="966" spans="1:11" ht="60" customHeight="1" x14ac:dyDescent="0.2">
      <c r="A966" s="2">
        <v>963</v>
      </c>
      <c r="B966" s="3" t="str">
        <f t="shared" si="168"/>
        <v>TNF-alpha</v>
      </c>
      <c r="C966" s="3" t="str">
        <f t="shared" si="169"/>
        <v>TNF</v>
      </c>
      <c r="D966" s="3" t="str">
        <f t="shared" si="170"/>
        <v>TNFA_HUMAN</v>
      </c>
      <c r="E966" s="2" t="s">
        <v>21</v>
      </c>
      <c r="F966" s="3" t="str">
        <f t="shared" si="171"/>
        <v>Tumor necrosis factor</v>
      </c>
      <c r="G966" s="4" t="str">
        <f t="shared" si="173"/>
        <v>Doxycycline</v>
      </c>
      <c r="H966" s="3" t="str">
        <f>HYPERLINK("https://www.cortellis.com/drugdiscovery/entity/biomarkers/36127","3-protein respiratory panel")</f>
        <v>3-protein respiratory panel</v>
      </c>
      <c r="I966" s="2" t="s">
        <v>25</v>
      </c>
      <c r="J966" s="2" t="s">
        <v>17</v>
      </c>
      <c r="K966" s="4" t="str">
        <f>HYPERLINK("https://www.cortellis.com/drugdiscovery/result/proxy/related-content/biomarkers/genestargets/36127","interferon gamma; tumor necrosis factor")</f>
        <v>interferon gamma; tumor necrosis factor</v>
      </c>
    </row>
    <row r="967" spans="1:11" ht="60" customHeight="1" x14ac:dyDescent="0.2">
      <c r="A967" s="2">
        <v>964</v>
      </c>
      <c r="B967" s="3" t="str">
        <f t="shared" si="168"/>
        <v>TNF-alpha</v>
      </c>
      <c r="C967" s="3" t="str">
        <f t="shared" si="169"/>
        <v>TNF</v>
      </c>
      <c r="D967" s="3" t="str">
        <f t="shared" si="170"/>
        <v>TNFA_HUMAN</v>
      </c>
      <c r="E967" s="2" t="s">
        <v>21</v>
      </c>
      <c r="F967" s="3" t="str">
        <f t="shared" si="171"/>
        <v>Tumor necrosis factor</v>
      </c>
      <c r="G967" s="4" t="str">
        <f t="shared" si="173"/>
        <v>Doxycycline</v>
      </c>
      <c r="H967" s="3" t="str">
        <f>HYPERLINK("https://www.cortellis.com/drugdiscovery/entity/biomarkers/37520","4-protein bacteremia panel")</f>
        <v>4-protein bacteremia panel</v>
      </c>
      <c r="I967" s="2" t="s">
        <v>23</v>
      </c>
      <c r="J967" s="2" t="s">
        <v>17</v>
      </c>
      <c r="K967" s="4" t="str">
        <f>HYPERLINK("https://www.cortellis.com/drugdiscovery/result/proxy/related-content/biomarkers/genestargets/37520","tumor necrosis factor")</f>
        <v>tumor necrosis factor</v>
      </c>
    </row>
    <row r="968" spans="1:11" ht="60" customHeight="1" x14ac:dyDescent="0.2">
      <c r="A968" s="2">
        <v>965</v>
      </c>
      <c r="B968" s="3" t="str">
        <f t="shared" si="168"/>
        <v>TNF-alpha</v>
      </c>
      <c r="C968" s="3" t="str">
        <f t="shared" si="169"/>
        <v>TNF</v>
      </c>
      <c r="D968" s="3" t="str">
        <f t="shared" si="170"/>
        <v>TNFA_HUMAN</v>
      </c>
      <c r="E968" s="2" t="s">
        <v>21</v>
      </c>
      <c r="F968" s="3" t="str">
        <f t="shared" si="171"/>
        <v>Tumor necrosis factor</v>
      </c>
      <c r="G968" s="4" t="str">
        <f t="shared" si="173"/>
        <v>Doxycycline</v>
      </c>
      <c r="H968" s="3" t="str">
        <f>HYPERLINK("https://www.cortellis.com/drugdiscovery/entity/biomarkers/43870","17-genomic 14-protein 3-biochemical irritable bowel syndrome panel")</f>
        <v>17-genomic 14-protein 3-biochemical irritable bowel syndrome panel</v>
      </c>
      <c r="I968" s="2" t="s">
        <v>52</v>
      </c>
      <c r="J968" s="2" t="s">
        <v>53</v>
      </c>
      <c r="K968" s="4" t="str">
        <f>HYPERLINK("https://www.cortellis.com/drugdiscovery/result/proxy/related-content/biomarkers/genestargets/43870","interleukin 12B; tumor necrosis factor")</f>
        <v>interleukin 12B; tumor necrosis factor</v>
      </c>
    </row>
    <row r="969" spans="1:11" ht="60" customHeight="1" x14ac:dyDescent="0.2">
      <c r="A969" s="2">
        <v>966</v>
      </c>
      <c r="B969" s="3" t="str">
        <f t="shared" si="168"/>
        <v>TNF-alpha</v>
      </c>
      <c r="C969" s="3" t="str">
        <f t="shared" si="169"/>
        <v>TNF</v>
      </c>
      <c r="D969" s="3" t="str">
        <f t="shared" si="170"/>
        <v>TNFA_HUMAN</v>
      </c>
      <c r="E969" s="2" t="s">
        <v>21</v>
      </c>
      <c r="F969" s="3" t="str">
        <f t="shared" si="171"/>
        <v>Tumor necrosis factor</v>
      </c>
      <c r="G969" s="4" t="str">
        <f t="shared" si="173"/>
        <v>Doxycycline</v>
      </c>
      <c r="H969" s="3" t="str">
        <f>HYPERLINK("https://www.cortellis.com/drugdiscovery/entity/biomarkers/46842","7-protein non small cell lung cancer panel")</f>
        <v>7-protein non small cell lung cancer panel</v>
      </c>
      <c r="I969" s="2" t="s">
        <v>23</v>
      </c>
      <c r="J969" s="2" t="s">
        <v>17</v>
      </c>
      <c r="K969" s="4" t="str">
        <f>HYPERLINK("https://www.cortellis.com/drugdiscovery/result/proxy/related-content/biomarkers/genestargets/46842","tumor necrosis factor")</f>
        <v>tumor necrosis factor</v>
      </c>
    </row>
    <row r="970" spans="1:11" ht="60" customHeight="1" x14ac:dyDescent="0.2">
      <c r="A970" s="2">
        <v>967</v>
      </c>
      <c r="B970" s="3" t="str">
        <f t="shared" si="168"/>
        <v>TNF-alpha</v>
      </c>
      <c r="C970" s="3" t="str">
        <f t="shared" si="169"/>
        <v>TNF</v>
      </c>
      <c r="D970" s="3" t="str">
        <f t="shared" si="170"/>
        <v>TNFA_HUMAN</v>
      </c>
      <c r="E970" s="2" t="s">
        <v>21</v>
      </c>
      <c r="F970" s="3" t="str">
        <f t="shared" si="171"/>
        <v>Tumor necrosis factor</v>
      </c>
      <c r="G970" s="4" t="str">
        <f t="shared" si="173"/>
        <v>Doxycycline</v>
      </c>
      <c r="H970" s="3" t="str">
        <f>HYPERLINK("https://www.cortellis.com/drugdiscovery/entity/biomarkers/50816","10-gene lyme disease panel")</f>
        <v>10-gene lyme disease panel</v>
      </c>
      <c r="I970" s="2" t="s">
        <v>23</v>
      </c>
      <c r="J970" s="2" t="s">
        <v>15</v>
      </c>
      <c r="K970" s="4" t="str">
        <f>HYPERLINK("https://www.cortellis.com/drugdiscovery/result/proxy/related-content/biomarkers/genestargets/50816","C-C motif chemokine ligand 2; interferon gamma; tumor necrosis factor")</f>
        <v>C-C motif chemokine ligand 2; interferon gamma; tumor necrosis factor</v>
      </c>
    </row>
    <row r="971" spans="1:11" ht="60" customHeight="1" x14ac:dyDescent="0.2">
      <c r="A971" s="2">
        <v>968</v>
      </c>
      <c r="B971" s="3" t="str">
        <f t="shared" si="168"/>
        <v>TNF-alpha</v>
      </c>
      <c r="C971" s="3" t="str">
        <f t="shared" si="169"/>
        <v>TNF</v>
      </c>
      <c r="D971" s="3" t="str">
        <f t="shared" si="170"/>
        <v>TNFA_HUMAN</v>
      </c>
      <c r="E971" s="2" t="s">
        <v>21</v>
      </c>
      <c r="F971" s="3" t="str">
        <f t="shared" si="171"/>
        <v>Tumor necrosis factor</v>
      </c>
      <c r="G971" s="4" t="str">
        <f t="shared" si="173"/>
        <v>Doxycycline</v>
      </c>
      <c r="H971" s="3" t="str">
        <f>HYPERLINK("https://www.cortellis.com/drugdiscovery/entity/biomarkers/50817","11-gene lyme disease panel")</f>
        <v>11-gene lyme disease panel</v>
      </c>
      <c r="I971" s="2" t="s">
        <v>23</v>
      </c>
      <c r="J971" s="2" t="s">
        <v>15</v>
      </c>
      <c r="K971" s="4" t="str">
        <f>HYPERLINK("https://www.cortellis.com/drugdiscovery/result/proxy/related-content/biomarkers/genestargets/50817","C-C motif chemokine ligand 2; interferon gamma; tumor necrosis factor")</f>
        <v>C-C motif chemokine ligand 2; interferon gamma; tumor necrosis factor</v>
      </c>
    </row>
    <row r="972" spans="1:11" ht="60" customHeight="1" x14ac:dyDescent="0.2">
      <c r="A972" s="2">
        <v>969</v>
      </c>
      <c r="B972" s="3" t="str">
        <f t="shared" si="168"/>
        <v>TNF-alpha</v>
      </c>
      <c r="C972" s="3" t="str">
        <f t="shared" si="169"/>
        <v>TNF</v>
      </c>
      <c r="D972" s="3" t="str">
        <f t="shared" si="170"/>
        <v>TNFA_HUMAN</v>
      </c>
      <c r="E972" s="2" t="s">
        <v>21</v>
      </c>
      <c r="F972" s="3" t="str">
        <f t="shared" si="171"/>
        <v>Tumor necrosis factor</v>
      </c>
      <c r="G972" s="4" t="str">
        <f t="shared" si="173"/>
        <v>Doxycycline</v>
      </c>
      <c r="H972" s="3" t="str">
        <f>HYPERLINK("https://www.cortellis.com/drugdiscovery/entity/biomarkers/50818","12 protein Lyme disease panel")</f>
        <v>12 protein Lyme disease panel</v>
      </c>
      <c r="I972" s="2" t="s">
        <v>23</v>
      </c>
      <c r="J972" s="2" t="s">
        <v>17</v>
      </c>
      <c r="K972" s="4" t="str">
        <f>HYPERLINK("https://www.cortellis.com/drugdiscovery/result/proxy/related-content/biomarkers/genestargets/50818","C-C motif chemokine ligand 2; interferon gamma; tumor necrosis factor")</f>
        <v>C-C motif chemokine ligand 2; interferon gamma; tumor necrosis factor</v>
      </c>
    </row>
    <row r="973" spans="1:11" ht="60" customHeight="1" x14ac:dyDescent="0.2">
      <c r="A973" s="2">
        <v>970</v>
      </c>
      <c r="B973" s="3" t="str">
        <f t="shared" si="168"/>
        <v>TNF-alpha</v>
      </c>
      <c r="C973" s="3" t="str">
        <f t="shared" si="169"/>
        <v>TNF</v>
      </c>
      <c r="D973" s="3" t="str">
        <f t="shared" si="170"/>
        <v>TNFA_HUMAN</v>
      </c>
      <c r="E973" s="2" t="s">
        <v>21</v>
      </c>
      <c r="F973" s="3" t="str">
        <f t="shared" si="171"/>
        <v>Tumor necrosis factor</v>
      </c>
      <c r="G973" s="4" t="str">
        <f t="shared" si="173"/>
        <v>Doxycycline</v>
      </c>
      <c r="H973" s="3" t="str">
        <f>HYPERLINK("https://www.cortellis.com/drugdiscovery/entity/biomarkers/51292","37-gene expression major depression panel")</f>
        <v>37-gene expression major depression panel</v>
      </c>
      <c r="I973" s="2" t="s">
        <v>23</v>
      </c>
      <c r="J973" s="2" t="s">
        <v>19</v>
      </c>
      <c r="K973" s="4" t="str">
        <f>HYPERLINK("https://www.cortellis.com/drugdiscovery/result/proxy/related-content/biomarkers/genestargets/51292","C-C motif chemokine ligand 2; tumor necrosis factor")</f>
        <v>C-C motif chemokine ligand 2; tumor necrosis factor</v>
      </c>
    </row>
    <row r="974" spans="1:11" ht="60" customHeight="1" x14ac:dyDescent="0.2">
      <c r="A974" s="2">
        <v>971</v>
      </c>
      <c r="B974" s="3" t="str">
        <f t="shared" si="168"/>
        <v>TNF-alpha</v>
      </c>
      <c r="C974" s="3" t="str">
        <f t="shared" si="169"/>
        <v>TNF</v>
      </c>
      <c r="D974" s="3" t="str">
        <f t="shared" si="170"/>
        <v>TNFA_HUMAN</v>
      </c>
      <c r="E974" s="2" t="s">
        <v>21</v>
      </c>
      <c r="F974" s="3" t="str">
        <f t="shared" si="171"/>
        <v>Tumor necrosis factor</v>
      </c>
      <c r="G974" s="4" t="str">
        <f t="shared" si="173"/>
        <v>Doxycycline</v>
      </c>
      <c r="H974" s="3" t="str">
        <f>HYPERLINK("https://www.cortellis.com/drugdiscovery/entity/biomarkers/57224","21-protein mild cognitive impairment panel")</f>
        <v>21-protein mild cognitive impairment panel</v>
      </c>
      <c r="I974" s="2" t="s">
        <v>23</v>
      </c>
      <c r="J974" s="2" t="s">
        <v>19</v>
      </c>
      <c r="K974" s="4" t="str">
        <f>HYPERLINK("https://www.cortellis.com/drugdiscovery/result/proxy/related-content/biomarkers/genestargets/57224","interleukin 7; tenascin C; tumor necrosis factor")</f>
        <v>interleukin 7; tenascin C; tumor necrosis factor</v>
      </c>
    </row>
    <row r="975" spans="1:11" ht="60" customHeight="1" x14ac:dyDescent="0.2">
      <c r="A975" s="2">
        <v>972</v>
      </c>
      <c r="B975" s="3" t="str">
        <f t="shared" si="168"/>
        <v>TNF-alpha</v>
      </c>
      <c r="C975" s="3" t="str">
        <f t="shared" si="169"/>
        <v>TNF</v>
      </c>
      <c r="D975" s="3" t="str">
        <f t="shared" si="170"/>
        <v>TNFA_HUMAN</v>
      </c>
      <c r="E975" s="2" t="s">
        <v>21</v>
      </c>
      <c r="F975" s="3" t="str">
        <f t="shared" si="171"/>
        <v>Tumor necrosis factor</v>
      </c>
      <c r="G975" s="4" t="str">
        <f t="shared" si="173"/>
        <v>Doxycycline</v>
      </c>
      <c r="H975" s="3" t="str">
        <f>HYPERLINK("https://www.cortellis.com/drugdiscovery/entity/biomarkers/57250","9-protein non-muscle invasive bladder cancer panel")</f>
        <v>9-protein non-muscle invasive bladder cancer panel</v>
      </c>
      <c r="I975" s="2" t="s">
        <v>18</v>
      </c>
      <c r="J975" s="2" t="s">
        <v>17</v>
      </c>
      <c r="K975" s="4" t="str">
        <f>HYPERLINK("https://www.cortellis.com/drugdiscovery/result/proxy/related-content/biomarkers/genestargets/57250","interferon gamma; interleukin 12B; tumor necrosis factor")</f>
        <v>interferon gamma; interleukin 12B; tumor necrosis factor</v>
      </c>
    </row>
    <row r="976" spans="1:11" ht="60" customHeight="1" x14ac:dyDescent="0.2">
      <c r="A976" s="2">
        <v>973</v>
      </c>
      <c r="B976" s="3" t="str">
        <f t="shared" si="168"/>
        <v>TNF-alpha</v>
      </c>
      <c r="C976" s="3" t="str">
        <f t="shared" si="169"/>
        <v>TNF</v>
      </c>
      <c r="D976" s="3" t="str">
        <f t="shared" si="170"/>
        <v>TNFA_HUMAN</v>
      </c>
      <c r="E976" s="2" t="s">
        <v>21</v>
      </c>
      <c r="F976" s="3" t="str">
        <f t="shared" si="171"/>
        <v>Tumor necrosis factor</v>
      </c>
      <c r="G976" s="4" t="str">
        <f t="shared" si="173"/>
        <v>Doxycycline</v>
      </c>
      <c r="H976" s="3" t="str">
        <f>HYPERLINK("https://www.cortellis.com/drugdiscovery/entity/biomarkers/62155","19-protein rhegmatogenous retinal detachment panel")</f>
        <v>19-protein rhegmatogenous retinal detachment panel</v>
      </c>
      <c r="I976" s="2" t="s">
        <v>24</v>
      </c>
      <c r="J976" s="2" t="s">
        <v>17</v>
      </c>
      <c r="K976" s="4" t="str">
        <f>HYPERLINK("https://www.cortellis.com/drugdiscovery/result/proxy/related-content/biomarkers/genestargets/62155","C-C motif chemokine ligand 2; interleukin 12B; tumor necrosis factor")</f>
        <v>C-C motif chemokine ligand 2; interleukin 12B; tumor necrosis factor</v>
      </c>
    </row>
    <row r="977" spans="1:11" ht="60" customHeight="1" x14ac:dyDescent="0.2">
      <c r="A977" s="2">
        <v>974</v>
      </c>
      <c r="B977" s="3" t="str">
        <f t="shared" si="168"/>
        <v>TNF-alpha</v>
      </c>
      <c r="C977" s="3" t="str">
        <f t="shared" si="169"/>
        <v>TNF</v>
      </c>
      <c r="D977" s="3" t="str">
        <f t="shared" si="170"/>
        <v>TNFA_HUMAN</v>
      </c>
      <c r="E977" s="2" t="s">
        <v>21</v>
      </c>
      <c r="F977" s="3" t="str">
        <f t="shared" si="171"/>
        <v>Tumor necrosis factor</v>
      </c>
      <c r="G977" s="4" t="str">
        <f t="shared" si="173"/>
        <v>Doxycycline</v>
      </c>
      <c r="H977" s="3" t="str">
        <f>HYPERLINK("https://www.cortellis.com/drugdiscovery/entity/biomarkers/62663","9-protein immunological disorders panel")</f>
        <v>9-protein immunological disorders panel</v>
      </c>
      <c r="I977" s="2" t="s">
        <v>24</v>
      </c>
      <c r="J977" s="2" t="s">
        <v>17</v>
      </c>
      <c r="K977" s="4" t="str">
        <f>HYPERLINK("https://www.cortellis.com/drugdiscovery/result/proxy/related-content/biomarkers/genestargets/62663","C-C motif chemokine ligand 2; interferon gamma; tumor necrosis factor")</f>
        <v>C-C motif chemokine ligand 2; interferon gamma; tumor necrosis factor</v>
      </c>
    </row>
    <row r="978" spans="1:11" ht="60" customHeight="1" x14ac:dyDescent="0.2">
      <c r="A978" s="2">
        <v>975</v>
      </c>
      <c r="B978" s="3" t="str">
        <f t="shared" si="168"/>
        <v>TNF-alpha</v>
      </c>
      <c r="C978" s="3" t="str">
        <f t="shared" si="169"/>
        <v>TNF</v>
      </c>
      <c r="D978" s="3" t="str">
        <f t="shared" si="170"/>
        <v>TNFA_HUMAN</v>
      </c>
      <c r="E978" s="2" t="s">
        <v>21</v>
      </c>
      <c r="F978" s="3" t="str">
        <f t="shared" si="171"/>
        <v>Tumor necrosis factor</v>
      </c>
      <c r="G978" s="4" t="str">
        <f t="shared" si="173"/>
        <v>Doxycycline</v>
      </c>
      <c r="H978" s="3" t="str">
        <f>HYPERLINK("https://www.cortellis.com/drugdiscovery/entity/biomarkers/62730","7-protein Alzheimer's disease panel")</f>
        <v>7-protein Alzheimer's disease panel</v>
      </c>
      <c r="I978" s="2" t="s">
        <v>23</v>
      </c>
      <c r="J978" s="2" t="s">
        <v>17</v>
      </c>
      <c r="K978" s="4" t="str">
        <f>HYPERLINK("https://www.cortellis.com/drugdiscovery/result/proxy/related-content/biomarkers/genestargets/62730","tumor necrosis factor")</f>
        <v>tumor necrosis factor</v>
      </c>
    </row>
    <row r="979" spans="1:11" ht="60" customHeight="1" x14ac:dyDescent="0.2">
      <c r="A979" s="2">
        <v>976</v>
      </c>
      <c r="B979" s="3" t="str">
        <f t="shared" si="168"/>
        <v>TNF-alpha</v>
      </c>
      <c r="C979" s="3" t="str">
        <f t="shared" si="169"/>
        <v>TNF</v>
      </c>
      <c r="D979" s="3" t="str">
        <f t="shared" si="170"/>
        <v>TNFA_HUMAN</v>
      </c>
      <c r="E979" s="2" t="s">
        <v>21</v>
      </c>
      <c r="F979" s="3" t="str">
        <f t="shared" si="171"/>
        <v>Tumor necrosis factor</v>
      </c>
      <c r="G979" s="4" t="str">
        <f t="shared" si="173"/>
        <v>Doxycycline</v>
      </c>
      <c r="H979" s="3" t="str">
        <f>HYPERLINK("https://www.cortellis.com/drugdiscovery/entity/biomarkers/62746","5-protein renal disorder panel")</f>
        <v>5-protein renal disorder panel</v>
      </c>
      <c r="I979" s="2" t="s">
        <v>25</v>
      </c>
      <c r="J979" s="2" t="s">
        <v>17</v>
      </c>
      <c r="K979" s="4" t="str">
        <f>HYPERLINK("https://www.cortellis.com/drugdiscovery/result/proxy/related-content/biomarkers/genestargets/62746","tumor necrosis factor")</f>
        <v>tumor necrosis factor</v>
      </c>
    </row>
    <row r="980" spans="1:11" ht="60" customHeight="1" x14ac:dyDescent="0.2">
      <c r="A980" s="2">
        <v>977</v>
      </c>
      <c r="B980" s="3" t="str">
        <f t="shared" si="168"/>
        <v>TNF-alpha</v>
      </c>
      <c r="C980" s="3" t="str">
        <f t="shared" si="169"/>
        <v>TNF</v>
      </c>
      <c r="D980" s="3" t="str">
        <f t="shared" si="170"/>
        <v>TNFA_HUMAN</v>
      </c>
      <c r="E980" s="2" t="s">
        <v>21</v>
      </c>
      <c r="F980" s="3" t="str">
        <f t="shared" si="171"/>
        <v>Tumor necrosis factor</v>
      </c>
      <c r="G980" s="4" t="str">
        <f t="shared" si="173"/>
        <v>Doxycycline</v>
      </c>
      <c r="H980" s="3" t="str">
        <f>HYPERLINK("https://www.cortellis.com/drugdiscovery/entity/biomarkers/65259","22-gene expression hepatocellular carcinoma panel")</f>
        <v>22-gene expression hepatocellular carcinoma panel</v>
      </c>
      <c r="I980" s="2" t="s">
        <v>25</v>
      </c>
      <c r="J980" s="2" t="s">
        <v>19</v>
      </c>
      <c r="K980" s="4" t="str">
        <f>HYPERLINK("https://www.cortellis.com/drugdiscovery/result/proxy/related-content/biomarkers/genestargets/65259","tumor necrosis factor")</f>
        <v>tumor necrosis factor</v>
      </c>
    </row>
    <row r="981" spans="1:11" ht="60" customHeight="1" x14ac:dyDescent="0.2">
      <c r="A981" s="2">
        <v>978</v>
      </c>
      <c r="B981" s="3" t="str">
        <f t="shared" si="168"/>
        <v>TNF-alpha</v>
      </c>
      <c r="C981" s="3" t="str">
        <f t="shared" si="169"/>
        <v>TNF</v>
      </c>
      <c r="D981" s="3" t="str">
        <f t="shared" si="170"/>
        <v>TNFA_HUMAN</v>
      </c>
      <c r="E981" s="2" t="s">
        <v>21</v>
      </c>
      <c r="F981" s="3" t="str">
        <f t="shared" si="171"/>
        <v>Tumor necrosis factor</v>
      </c>
      <c r="G981" s="4" t="str">
        <f t="shared" ref="G981:G1007" si="174">HYPERLINK("https://portal.genego.com/cgi/entity_page.cgi?term=7&amp;id=-64267433","Thalidomide")</f>
        <v>Thalidomide</v>
      </c>
      <c r="H981" s="3" t="str">
        <f>HYPERLINK("https://www.cortellis.com/drugdiscovery/entity/biomarkers/274","Tumor necrosis factor")</f>
        <v>Tumor necrosis factor</v>
      </c>
      <c r="I981" s="2" t="s">
        <v>22</v>
      </c>
      <c r="J981" s="2" t="s">
        <v>15</v>
      </c>
      <c r="K981" s="4" t="str">
        <f>HYPERLINK("https://www.cortellis.com/drugdiscovery/result/proxy/related-content/biomarkers/genestargets/274","tumor necrosis factor")</f>
        <v>tumor necrosis factor</v>
      </c>
    </row>
    <row r="982" spans="1:11" ht="60" customHeight="1" x14ac:dyDescent="0.2">
      <c r="A982" s="2">
        <v>979</v>
      </c>
      <c r="B982" s="3" t="str">
        <f t="shared" si="168"/>
        <v>TNF-alpha</v>
      </c>
      <c r="C982" s="3" t="str">
        <f t="shared" si="169"/>
        <v>TNF</v>
      </c>
      <c r="D982" s="3" t="str">
        <f t="shared" si="170"/>
        <v>TNFA_HUMAN</v>
      </c>
      <c r="E982" s="2" t="s">
        <v>21</v>
      </c>
      <c r="F982" s="3" t="str">
        <f t="shared" si="171"/>
        <v>Tumor necrosis factor</v>
      </c>
      <c r="G982" s="4" t="str">
        <f t="shared" si="174"/>
        <v>Thalidomide</v>
      </c>
      <c r="H982" s="3" t="str">
        <f>HYPERLINK("https://www.cortellis.com/drugdiscovery/entity/biomarkers/27598","89-protein neurological alzheimer's panel")</f>
        <v>89-protein neurological alzheimer's panel</v>
      </c>
      <c r="I982" s="2" t="s">
        <v>23</v>
      </c>
      <c r="J982" s="2" t="s">
        <v>17</v>
      </c>
      <c r="K982"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983" spans="1:11" ht="60" customHeight="1" x14ac:dyDescent="0.2">
      <c r="A983" s="2">
        <v>980</v>
      </c>
      <c r="B983" s="3" t="str">
        <f t="shared" si="168"/>
        <v>TNF-alpha</v>
      </c>
      <c r="C983" s="3" t="str">
        <f t="shared" si="169"/>
        <v>TNF</v>
      </c>
      <c r="D983" s="3" t="str">
        <f t="shared" si="170"/>
        <v>TNFA_HUMAN</v>
      </c>
      <c r="E983" s="2" t="s">
        <v>21</v>
      </c>
      <c r="F983" s="3" t="str">
        <f t="shared" si="171"/>
        <v>Tumor necrosis factor</v>
      </c>
      <c r="G983" s="4" t="str">
        <f t="shared" si="174"/>
        <v>Thalidomide</v>
      </c>
      <c r="H983" s="3" t="str">
        <f>HYPERLINK("https://www.cortellis.com/drugdiscovery/entity/biomarkers/27640","5-protein alzheimer's panel")</f>
        <v>5-protein alzheimer's panel</v>
      </c>
      <c r="I983" s="2" t="s">
        <v>23</v>
      </c>
      <c r="J983" s="2" t="s">
        <v>17</v>
      </c>
      <c r="K983" s="4" t="str">
        <f>HYPERLINK("https://www.cortellis.com/drugdiscovery/result/proxy/related-content/biomarkers/genestargets/27640","tumor necrosis factor")</f>
        <v>tumor necrosis factor</v>
      </c>
    </row>
    <row r="984" spans="1:11" ht="60" customHeight="1" x14ac:dyDescent="0.2">
      <c r="A984" s="2">
        <v>981</v>
      </c>
      <c r="B984" s="3" t="str">
        <f t="shared" si="168"/>
        <v>TNF-alpha</v>
      </c>
      <c r="C984" s="3" t="str">
        <f t="shared" si="169"/>
        <v>TNF</v>
      </c>
      <c r="D984" s="3" t="str">
        <f t="shared" si="170"/>
        <v>TNFA_HUMAN</v>
      </c>
      <c r="E984" s="2" t="s">
        <v>21</v>
      </c>
      <c r="F984" s="3" t="str">
        <f t="shared" si="171"/>
        <v>Tumor necrosis factor</v>
      </c>
      <c r="G984" s="4" t="str">
        <f t="shared" si="174"/>
        <v>Thalidomide</v>
      </c>
      <c r="H984" s="3" t="str">
        <f>HYPERLINK("https://www.cortellis.com/drugdiscovery/entity/biomarkers/27734","6-protein lung cancer panel")</f>
        <v>6-protein lung cancer panel</v>
      </c>
      <c r="I984" s="2" t="s">
        <v>23</v>
      </c>
      <c r="J984" s="2" t="s">
        <v>17</v>
      </c>
      <c r="K984" s="4" t="str">
        <f>HYPERLINK("https://www.cortellis.com/drugdiscovery/result/proxy/related-content/biomarkers/genestargets/27734","interferon gamma; tumor necrosis factor")</f>
        <v>interferon gamma; tumor necrosis factor</v>
      </c>
    </row>
    <row r="985" spans="1:11" ht="60" customHeight="1" x14ac:dyDescent="0.2">
      <c r="A985" s="2">
        <v>982</v>
      </c>
      <c r="B985" s="3" t="str">
        <f t="shared" si="168"/>
        <v>TNF-alpha</v>
      </c>
      <c r="C985" s="3" t="str">
        <f t="shared" si="169"/>
        <v>TNF</v>
      </c>
      <c r="D985" s="3" t="str">
        <f t="shared" si="170"/>
        <v>TNFA_HUMAN</v>
      </c>
      <c r="E985" s="2" t="s">
        <v>21</v>
      </c>
      <c r="F985" s="3" t="str">
        <f t="shared" si="171"/>
        <v>Tumor necrosis factor</v>
      </c>
      <c r="G985" s="4" t="str">
        <f t="shared" si="174"/>
        <v>Thalidomide</v>
      </c>
      <c r="H985" s="3" t="str">
        <f>HYPERLINK("https://www.cortellis.com/drugdiscovery/entity/biomarkers/28148","11-gene expression lung cancer panel")</f>
        <v>11-gene expression lung cancer panel</v>
      </c>
      <c r="I985" s="2" t="s">
        <v>25</v>
      </c>
      <c r="J985" s="2" t="s">
        <v>19</v>
      </c>
      <c r="K985" s="4" t="str">
        <f>HYPERLINK("https://www.cortellis.com/drugdiscovery/result/proxy/related-content/biomarkers/genestargets/28148","interferon gamma; interleukin 15; tumor necrosis factor")</f>
        <v>interferon gamma; interleukin 15; tumor necrosis factor</v>
      </c>
    </row>
    <row r="986" spans="1:11" ht="60" customHeight="1" x14ac:dyDescent="0.2">
      <c r="A986" s="2">
        <v>983</v>
      </c>
      <c r="B986" s="3" t="str">
        <f t="shared" si="168"/>
        <v>TNF-alpha</v>
      </c>
      <c r="C986" s="3" t="str">
        <f t="shared" si="169"/>
        <v>TNF</v>
      </c>
      <c r="D986" s="3" t="str">
        <f t="shared" si="170"/>
        <v>TNFA_HUMAN</v>
      </c>
      <c r="E986" s="2" t="s">
        <v>21</v>
      </c>
      <c r="F986" s="3" t="str">
        <f t="shared" si="171"/>
        <v>Tumor necrosis factor</v>
      </c>
      <c r="G986" s="4" t="str">
        <f t="shared" si="174"/>
        <v>Thalidomide</v>
      </c>
      <c r="H986" s="3" t="str">
        <f>HYPERLINK("https://www.cortellis.com/drugdiscovery/entity/biomarkers/28647","15-gene expression lung cancer panel")</f>
        <v>15-gene expression lung cancer panel</v>
      </c>
      <c r="I986" s="2" t="s">
        <v>20</v>
      </c>
      <c r="J986" s="2" t="s">
        <v>19</v>
      </c>
      <c r="K986" s="4" t="str">
        <f>HYPERLINK("https://www.cortellis.com/drugdiscovery/result/proxy/related-content/biomarkers/genestargets/28647","interferon gamma; interleukin 15; tumor necrosis factor")</f>
        <v>interferon gamma; interleukin 15; tumor necrosis factor</v>
      </c>
    </row>
    <row r="987" spans="1:11" ht="60" customHeight="1" x14ac:dyDescent="0.2">
      <c r="A987" s="2">
        <v>984</v>
      </c>
      <c r="B987" s="3" t="str">
        <f t="shared" si="168"/>
        <v>TNF-alpha</v>
      </c>
      <c r="C987" s="3" t="str">
        <f t="shared" si="169"/>
        <v>TNF</v>
      </c>
      <c r="D987" s="3" t="str">
        <f t="shared" si="170"/>
        <v>TNFA_HUMAN</v>
      </c>
      <c r="E987" s="2" t="s">
        <v>21</v>
      </c>
      <c r="F987" s="3" t="str">
        <f t="shared" si="171"/>
        <v>Tumor necrosis factor</v>
      </c>
      <c r="G987" s="4" t="str">
        <f t="shared" si="174"/>
        <v>Thalidomide</v>
      </c>
      <c r="H987" s="3" t="str">
        <f>HYPERLINK("https://www.cortellis.com/drugdiscovery/entity/biomarkers/29676","277-gene expression lung cancer panel")</f>
        <v>277-gene expression lung cancer panel</v>
      </c>
      <c r="I987" s="2" t="s">
        <v>25</v>
      </c>
      <c r="J987" s="2" t="s">
        <v>19</v>
      </c>
      <c r="K987" s="4" t="str">
        <f>HYPERLINK("https://www.cortellis.com/drugdiscovery/result/proxy/related-content/biomarkers/genestargets/29676","cyclin D1; tumor necrosis factor")</f>
        <v>cyclin D1; tumor necrosis factor</v>
      </c>
    </row>
    <row r="988" spans="1:11" ht="60" customHeight="1" x14ac:dyDescent="0.2">
      <c r="A988" s="2">
        <v>985</v>
      </c>
      <c r="B988" s="3" t="str">
        <f t="shared" si="168"/>
        <v>TNF-alpha</v>
      </c>
      <c r="C988" s="3" t="str">
        <f t="shared" si="169"/>
        <v>TNF</v>
      </c>
      <c r="D988" s="3" t="str">
        <f t="shared" si="170"/>
        <v>TNFA_HUMAN</v>
      </c>
      <c r="E988" s="2" t="s">
        <v>21</v>
      </c>
      <c r="F988" s="3" t="str">
        <f t="shared" si="171"/>
        <v>Tumor necrosis factor</v>
      </c>
      <c r="G988" s="4" t="str">
        <f t="shared" si="174"/>
        <v>Thalidomide</v>
      </c>
      <c r="H988" s="3" t="str">
        <f>HYPERLINK("https://www.cortellis.com/drugdiscovery/entity/biomarkers/30768","11-protein cardiovascular panel")</f>
        <v>11-protein cardiovascular panel</v>
      </c>
      <c r="I988" s="2" t="s">
        <v>23</v>
      </c>
      <c r="J988" s="2" t="s">
        <v>17</v>
      </c>
      <c r="K988" s="4" t="str">
        <f>HYPERLINK("https://www.cortellis.com/drugdiscovery/result/proxy/related-content/biomarkers/genestargets/30768","interferon gamma; interleukin 12B; tumor necrosis factor")</f>
        <v>interferon gamma; interleukin 12B; tumor necrosis factor</v>
      </c>
    </row>
    <row r="989" spans="1:11" ht="60" customHeight="1" x14ac:dyDescent="0.2">
      <c r="A989" s="2">
        <v>986</v>
      </c>
      <c r="B989" s="3" t="str">
        <f t="shared" si="168"/>
        <v>TNF-alpha</v>
      </c>
      <c r="C989" s="3" t="str">
        <f t="shared" si="169"/>
        <v>TNF</v>
      </c>
      <c r="D989" s="3" t="str">
        <f t="shared" si="170"/>
        <v>TNFA_HUMAN</v>
      </c>
      <c r="E989" s="2" t="s">
        <v>21</v>
      </c>
      <c r="F989" s="3" t="str">
        <f t="shared" si="171"/>
        <v>Tumor necrosis factor</v>
      </c>
      <c r="G989" s="4" t="str">
        <f t="shared" si="174"/>
        <v>Thalidomide</v>
      </c>
      <c r="H989" s="3" t="str">
        <f>HYPERLINK("https://www.cortellis.com/drugdiscovery/entity/biomarkers/34385","30-protein alzheimer's panel")</f>
        <v>30-protein alzheimer's panel</v>
      </c>
      <c r="I989" s="2" t="s">
        <v>23</v>
      </c>
      <c r="J989" s="2" t="s">
        <v>17</v>
      </c>
      <c r="K989" s="4" t="str">
        <f>HYPERLINK("https://www.cortellis.com/drugdiscovery/result/proxy/related-content/biomarkers/genestargets/34385","C-C motif chemokine ligand 2; interleukin 7; tenascin C; tumor necrosis factor")</f>
        <v>C-C motif chemokine ligand 2; interleukin 7; tenascin C; tumor necrosis factor</v>
      </c>
    </row>
    <row r="990" spans="1:11" ht="60" customHeight="1" x14ac:dyDescent="0.2">
      <c r="A990" s="2">
        <v>987</v>
      </c>
      <c r="B990" s="3" t="str">
        <f t="shared" si="168"/>
        <v>TNF-alpha</v>
      </c>
      <c r="C990" s="3" t="str">
        <f t="shared" si="169"/>
        <v>TNF</v>
      </c>
      <c r="D990" s="3" t="str">
        <f t="shared" si="170"/>
        <v>TNFA_HUMAN</v>
      </c>
      <c r="E990" s="2" t="s">
        <v>21</v>
      </c>
      <c r="F990" s="3" t="str">
        <f t="shared" si="171"/>
        <v>Tumor necrosis factor</v>
      </c>
      <c r="G990" s="4" t="str">
        <f t="shared" si="174"/>
        <v>Thalidomide</v>
      </c>
      <c r="H990" s="3" t="str">
        <f>HYPERLINK("https://www.cortellis.com/drugdiscovery/entity/biomarkers/34437","3-protein 3-autoantibody lung cancer panel")</f>
        <v>3-protein 3-autoantibody lung cancer panel</v>
      </c>
      <c r="I990" s="2" t="s">
        <v>23</v>
      </c>
      <c r="J990" s="2" t="s">
        <v>17</v>
      </c>
      <c r="K990" s="4" t="str">
        <f>HYPERLINK("https://www.cortellis.com/drugdiscovery/result/proxy/related-content/biomarkers/genestargets/34437","tumor necrosis factor")</f>
        <v>tumor necrosis factor</v>
      </c>
    </row>
    <row r="991" spans="1:11" ht="60" customHeight="1" x14ac:dyDescent="0.2">
      <c r="A991" s="2">
        <v>988</v>
      </c>
      <c r="B991" s="3" t="str">
        <f t="shared" ref="B991:B1054" si="175">HYPERLINK("https://portal.genego.com/cgi/entity_page.cgi?term=100&amp;id=4487","TNF-alpha")</f>
        <v>TNF-alpha</v>
      </c>
      <c r="C991" s="3" t="str">
        <f t="shared" ref="C991:C1054" si="176">HYPERLINK("https://portal.genego.com/cgi/entity_page.cgi?term=20&amp;id=-1163959157","TNF")</f>
        <v>TNF</v>
      </c>
      <c r="D991" s="3" t="str">
        <f t="shared" ref="D991:D1054" si="177">HYPERLINK("https://portal.genego.com/cgi/entity_page.cgi?term=7&amp;id=2020057249","TNFA_HUMAN")</f>
        <v>TNFA_HUMAN</v>
      </c>
      <c r="E991" s="2" t="s">
        <v>21</v>
      </c>
      <c r="F991" s="3" t="str">
        <f t="shared" ref="F991:F1054" si="178">HYPERLINK("https://portal.genego.com/cgi/entity_page.cgi?term=100&amp;id=4487","Tumor necrosis factor")</f>
        <v>Tumor necrosis factor</v>
      </c>
      <c r="G991" s="4" t="str">
        <f t="shared" si="174"/>
        <v>Thalidomide</v>
      </c>
      <c r="H991" s="3" t="str">
        <f>HYPERLINK("https://www.cortellis.com/drugdiscovery/entity/biomarkers/35424","60-gene expression ovarian cancer panel")</f>
        <v>60-gene expression ovarian cancer panel</v>
      </c>
      <c r="I991" s="2" t="s">
        <v>18</v>
      </c>
      <c r="J991" s="2" t="s">
        <v>19</v>
      </c>
      <c r="K991" s="4" t="str">
        <f>HYPERLINK("https://www.cortellis.com/drugdiscovery/result/proxy/related-content/biomarkers/genestargets/35424","tumor necrosis factor")</f>
        <v>tumor necrosis factor</v>
      </c>
    </row>
    <row r="992" spans="1:11" ht="60" customHeight="1" x14ac:dyDescent="0.2">
      <c r="A992" s="2">
        <v>989</v>
      </c>
      <c r="B992" s="3" t="str">
        <f t="shared" si="175"/>
        <v>TNF-alpha</v>
      </c>
      <c r="C992" s="3" t="str">
        <f t="shared" si="176"/>
        <v>TNF</v>
      </c>
      <c r="D992" s="3" t="str">
        <f t="shared" si="177"/>
        <v>TNFA_HUMAN</v>
      </c>
      <c r="E992" s="2" t="s">
        <v>21</v>
      </c>
      <c r="F992" s="3" t="str">
        <f t="shared" si="178"/>
        <v>Tumor necrosis factor</v>
      </c>
      <c r="G992" s="4" t="str">
        <f t="shared" si="174"/>
        <v>Thalidomide</v>
      </c>
      <c r="H992" s="3" t="str">
        <f>HYPERLINK("https://www.cortellis.com/drugdiscovery/entity/biomarkers/36125","10-protein respiratory panel")</f>
        <v>10-protein respiratory panel</v>
      </c>
      <c r="I992" s="2" t="s">
        <v>25</v>
      </c>
      <c r="J992" s="2" t="s">
        <v>17</v>
      </c>
      <c r="K992" s="4" t="str">
        <f>HYPERLINK("https://www.cortellis.com/drugdiscovery/result/proxy/related-content/biomarkers/genestargets/36125","interferon gamma; tumor necrosis factor")</f>
        <v>interferon gamma; tumor necrosis factor</v>
      </c>
    </row>
    <row r="993" spans="1:11" ht="60" customHeight="1" x14ac:dyDescent="0.2">
      <c r="A993" s="2">
        <v>990</v>
      </c>
      <c r="B993" s="3" t="str">
        <f t="shared" si="175"/>
        <v>TNF-alpha</v>
      </c>
      <c r="C993" s="3" t="str">
        <f t="shared" si="176"/>
        <v>TNF</v>
      </c>
      <c r="D993" s="3" t="str">
        <f t="shared" si="177"/>
        <v>TNFA_HUMAN</v>
      </c>
      <c r="E993" s="2" t="s">
        <v>21</v>
      </c>
      <c r="F993" s="3" t="str">
        <f t="shared" si="178"/>
        <v>Tumor necrosis factor</v>
      </c>
      <c r="G993" s="4" t="str">
        <f t="shared" si="174"/>
        <v>Thalidomide</v>
      </c>
      <c r="H993" s="3" t="str">
        <f>HYPERLINK("https://www.cortellis.com/drugdiscovery/entity/biomarkers/36127","3-protein respiratory panel")</f>
        <v>3-protein respiratory panel</v>
      </c>
      <c r="I993" s="2" t="s">
        <v>25</v>
      </c>
      <c r="J993" s="2" t="s">
        <v>17</v>
      </c>
      <c r="K993" s="4" t="str">
        <f>HYPERLINK("https://www.cortellis.com/drugdiscovery/result/proxy/related-content/biomarkers/genestargets/36127","interferon gamma; tumor necrosis factor")</f>
        <v>interferon gamma; tumor necrosis factor</v>
      </c>
    </row>
    <row r="994" spans="1:11" ht="60" customHeight="1" x14ac:dyDescent="0.2">
      <c r="A994" s="2">
        <v>991</v>
      </c>
      <c r="B994" s="3" t="str">
        <f t="shared" si="175"/>
        <v>TNF-alpha</v>
      </c>
      <c r="C994" s="3" t="str">
        <f t="shared" si="176"/>
        <v>TNF</v>
      </c>
      <c r="D994" s="3" t="str">
        <f t="shared" si="177"/>
        <v>TNFA_HUMAN</v>
      </c>
      <c r="E994" s="2" t="s">
        <v>21</v>
      </c>
      <c r="F994" s="3" t="str">
        <f t="shared" si="178"/>
        <v>Tumor necrosis factor</v>
      </c>
      <c r="G994" s="4" t="str">
        <f t="shared" si="174"/>
        <v>Thalidomide</v>
      </c>
      <c r="H994" s="3" t="str">
        <f>HYPERLINK("https://www.cortellis.com/drugdiscovery/entity/biomarkers/37520","4-protein bacteremia panel")</f>
        <v>4-protein bacteremia panel</v>
      </c>
      <c r="I994" s="2" t="s">
        <v>23</v>
      </c>
      <c r="J994" s="2" t="s">
        <v>17</v>
      </c>
      <c r="K994" s="4" t="str">
        <f>HYPERLINK("https://www.cortellis.com/drugdiscovery/result/proxy/related-content/biomarkers/genestargets/37520","tumor necrosis factor")</f>
        <v>tumor necrosis factor</v>
      </c>
    </row>
    <row r="995" spans="1:11" ht="60" customHeight="1" x14ac:dyDescent="0.2">
      <c r="A995" s="2">
        <v>992</v>
      </c>
      <c r="B995" s="3" t="str">
        <f t="shared" si="175"/>
        <v>TNF-alpha</v>
      </c>
      <c r="C995" s="3" t="str">
        <f t="shared" si="176"/>
        <v>TNF</v>
      </c>
      <c r="D995" s="3" t="str">
        <f t="shared" si="177"/>
        <v>TNFA_HUMAN</v>
      </c>
      <c r="E995" s="2" t="s">
        <v>21</v>
      </c>
      <c r="F995" s="3" t="str">
        <f t="shared" si="178"/>
        <v>Tumor necrosis factor</v>
      </c>
      <c r="G995" s="4" t="str">
        <f t="shared" si="174"/>
        <v>Thalidomide</v>
      </c>
      <c r="H995" s="3" t="str">
        <f>HYPERLINK("https://www.cortellis.com/drugdiscovery/entity/biomarkers/43870","17-genomic 14-protein 3-biochemical irritable bowel syndrome panel")</f>
        <v>17-genomic 14-protein 3-biochemical irritable bowel syndrome panel</v>
      </c>
      <c r="I995" s="2" t="s">
        <v>52</v>
      </c>
      <c r="J995" s="2" t="s">
        <v>53</v>
      </c>
      <c r="K995" s="4" t="str">
        <f>HYPERLINK("https://www.cortellis.com/drugdiscovery/result/proxy/related-content/biomarkers/genestargets/43870","interleukin 12B; tumor necrosis factor")</f>
        <v>interleukin 12B; tumor necrosis factor</v>
      </c>
    </row>
    <row r="996" spans="1:11" ht="60" customHeight="1" x14ac:dyDescent="0.2">
      <c r="A996" s="2">
        <v>993</v>
      </c>
      <c r="B996" s="3" t="str">
        <f t="shared" si="175"/>
        <v>TNF-alpha</v>
      </c>
      <c r="C996" s="3" t="str">
        <f t="shared" si="176"/>
        <v>TNF</v>
      </c>
      <c r="D996" s="3" t="str">
        <f t="shared" si="177"/>
        <v>TNFA_HUMAN</v>
      </c>
      <c r="E996" s="2" t="s">
        <v>21</v>
      </c>
      <c r="F996" s="3" t="str">
        <f t="shared" si="178"/>
        <v>Tumor necrosis factor</v>
      </c>
      <c r="G996" s="4" t="str">
        <f t="shared" si="174"/>
        <v>Thalidomide</v>
      </c>
      <c r="H996" s="3" t="str">
        <f>HYPERLINK("https://www.cortellis.com/drugdiscovery/entity/biomarkers/46842","7-protein non small cell lung cancer panel")</f>
        <v>7-protein non small cell lung cancer panel</v>
      </c>
      <c r="I996" s="2" t="s">
        <v>23</v>
      </c>
      <c r="J996" s="2" t="s">
        <v>17</v>
      </c>
      <c r="K996" s="4" t="str">
        <f>HYPERLINK("https://www.cortellis.com/drugdiscovery/result/proxy/related-content/biomarkers/genestargets/46842","tumor necrosis factor")</f>
        <v>tumor necrosis factor</v>
      </c>
    </row>
    <row r="997" spans="1:11" ht="60" customHeight="1" x14ac:dyDescent="0.2">
      <c r="A997" s="2">
        <v>994</v>
      </c>
      <c r="B997" s="3" t="str">
        <f t="shared" si="175"/>
        <v>TNF-alpha</v>
      </c>
      <c r="C997" s="3" t="str">
        <f t="shared" si="176"/>
        <v>TNF</v>
      </c>
      <c r="D997" s="3" t="str">
        <f t="shared" si="177"/>
        <v>TNFA_HUMAN</v>
      </c>
      <c r="E997" s="2" t="s">
        <v>21</v>
      </c>
      <c r="F997" s="3" t="str">
        <f t="shared" si="178"/>
        <v>Tumor necrosis factor</v>
      </c>
      <c r="G997" s="4" t="str">
        <f t="shared" si="174"/>
        <v>Thalidomide</v>
      </c>
      <c r="H997" s="3" t="str">
        <f>HYPERLINK("https://www.cortellis.com/drugdiscovery/entity/biomarkers/50816","10-gene lyme disease panel")</f>
        <v>10-gene lyme disease panel</v>
      </c>
      <c r="I997" s="2" t="s">
        <v>23</v>
      </c>
      <c r="J997" s="2" t="s">
        <v>15</v>
      </c>
      <c r="K997" s="4" t="str">
        <f>HYPERLINK("https://www.cortellis.com/drugdiscovery/result/proxy/related-content/biomarkers/genestargets/50816","C-C motif chemokine ligand 2; interferon gamma; tumor necrosis factor")</f>
        <v>C-C motif chemokine ligand 2; interferon gamma; tumor necrosis factor</v>
      </c>
    </row>
    <row r="998" spans="1:11" ht="60" customHeight="1" x14ac:dyDescent="0.2">
      <c r="A998" s="2">
        <v>995</v>
      </c>
      <c r="B998" s="3" t="str">
        <f t="shared" si="175"/>
        <v>TNF-alpha</v>
      </c>
      <c r="C998" s="3" t="str">
        <f t="shared" si="176"/>
        <v>TNF</v>
      </c>
      <c r="D998" s="3" t="str">
        <f t="shared" si="177"/>
        <v>TNFA_HUMAN</v>
      </c>
      <c r="E998" s="2" t="s">
        <v>21</v>
      </c>
      <c r="F998" s="3" t="str">
        <f t="shared" si="178"/>
        <v>Tumor necrosis factor</v>
      </c>
      <c r="G998" s="4" t="str">
        <f t="shared" si="174"/>
        <v>Thalidomide</v>
      </c>
      <c r="H998" s="3" t="str">
        <f>HYPERLINK("https://www.cortellis.com/drugdiscovery/entity/biomarkers/50817","11-gene lyme disease panel")</f>
        <v>11-gene lyme disease panel</v>
      </c>
      <c r="I998" s="2" t="s">
        <v>23</v>
      </c>
      <c r="J998" s="2" t="s">
        <v>15</v>
      </c>
      <c r="K998" s="4" t="str">
        <f>HYPERLINK("https://www.cortellis.com/drugdiscovery/result/proxy/related-content/biomarkers/genestargets/50817","C-C motif chemokine ligand 2; interferon gamma; tumor necrosis factor")</f>
        <v>C-C motif chemokine ligand 2; interferon gamma; tumor necrosis factor</v>
      </c>
    </row>
    <row r="999" spans="1:11" ht="60" customHeight="1" x14ac:dyDescent="0.2">
      <c r="A999" s="2">
        <v>996</v>
      </c>
      <c r="B999" s="3" t="str">
        <f t="shared" si="175"/>
        <v>TNF-alpha</v>
      </c>
      <c r="C999" s="3" t="str">
        <f t="shared" si="176"/>
        <v>TNF</v>
      </c>
      <c r="D999" s="3" t="str">
        <f t="shared" si="177"/>
        <v>TNFA_HUMAN</v>
      </c>
      <c r="E999" s="2" t="s">
        <v>21</v>
      </c>
      <c r="F999" s="3" t="str">
        <f t="shared" si="178"/>
        <v>Tumor necrosis factor</v>
      </c>
      <c r="G999" s="4" t="str">
        <f t="shared" si="174"/>
        <v>Thalidomide</v>
      </c>
      <c r="H999" s="3" t="str">
        <f>HYPERLINK("https://www.cortellis.com/drugdiscovery/entity/biomarkers/50818","12 protein Lyme disease panel")</f>
        <v>12 protein Lyme disease panel</v>
      </c>
      <c r="I999" s="2" t="s">
        <v>23</v>
      </c>
      <c r="J999" s="2" t="s">
        <v>17</v>
      </c>
      <c r="K999" s="4" t="str">
        <f>HYPERLINK("https://www.cortellis.com/drugdiscovery/result/proxy/related-content/biomarkers/genestargets/50818","C-C motif chemokine ligand 2; interferon gamma; tumor necrosis factor")</f>
        <v>C-C motif chemokine ligand 2; interferon gamma; tumor necrosis factor</v>
      </c>
    </row>
    <row r="1000" spans="1:11" ht="60" customHeight="1" x14ac:dyDescent="0.2">
      <c r="A1000" s="2">
        <v>997</v>
      </c>
      <c r="B1000" s="3" t="str">
        <f t="shared" si="175"/>
        <v>TNF-alpha</v>
      </c>
      <c r="C1000" s="3" t="str">
        <f t="shared" si="176"/>
        <v>TNF</v>
      </c>
      <c r="D1000" s="3" t="str">
        <f t="shared" si="177"/>
        <v>TNFA_HUMAN</v>
      </c>
      <c r="E1000" s="2" t="s">
        <v>21</v>
      </c>
      <c r="F1000" s="3" t="str">
        <f t="shared" si="178"/>
        <v>Tumor necrosis factor</v>
      </c>
      <c r="G1000" s="4" t="str">
        <f t="shared" si="174"/>
        <v>Thalidomide</v>
      </c>
      <c r="H1000" s="3" t="str">
        <f>HYPERLINK("https://www.cortellis.com/drugdiscovery/entity/biomarkers/51292","37-gene expression major depression panel")</f>
        <v>37-gene expression major depression panel</v>
      </c>
      <c r="I1000" s="2" t="s">
        <v>23</v>
      </c>
      <c r="J1000" s="2" t="s">
        <v>19</v>
      </c>
      <c r="K1000" s="4" t="str">
        <f>HYPERLINK("https://www.cortellis.com/drugdiscovery/result/proxy/related-content/biomarkers/genestargets/51292","C-C motif chemokine ligand 2; tumor necrosis factor")</f>
        <v>C-C motif chemokine ligand 2; tumor necrosis factor</v>
      </c>
    </row>
    <row r="1001" spans="1:11" ht="60" customHeight="1" x14ac:dyDescent="0.2">
      <c r="A1001" s="2">
        <v>998</v>
      </c>
      <c r="B1001" s="3" t="str">
        <f t="shared" si="175"/>
        <v>TNF-alpha</v>
      </c>
      <c r="C1001" s="3" t="str">
        <f t="shared" si="176"/>
        <v>TNF</v>
      </c>
      <c r="D1001" s="3" t="str">
        <f t="shared" si="177"/>
        <v>TNFA_HUMAN</v>
      </c>
      <c r="E1001" s="2" t="s">
        <v>21</v>
      </c>
      <c r="F1001" s="3" t="str">
        <f t="shared" si="178"/>
        <v>Tumor necrosis factor</v>
      </c>
      <c r="G1001" s="4" t="str">
        <f t="shared" si="174"/>
        <v>Thalidomide</v>
      </c>
      <c r="H1001" s="3" t="str">
        <f>HYPERLINK("https://www.cortellis.com/drugdiscovery/entity/biomarkers/57224","21-protein mild cognitive impairment panel")</f>
        <v>21-protein mild cognitive impairment panel</v>
      </c>
      <c r="I1001" s="2" t="s">
        <v>23</v>
      </c>
      <c r="J1001" s="2" t="s">
        <v>19</v>
      </c>
      <c r="K1001" s="4" t="str">
        <f>HYPERLINK("https://www.cortellis.com/drugdiscovery/result/proxy/related-content/biomarkers/genestargets/57224","interleukin 7; tenascin C; tumor necrosis factor")</f>
        <v>interleukin 7; tenascin C; tumor necrosis factor</v>
      </c>
    </row>
    <row r="1002" spans="1:11" ht="60" customHeight="1" x14ac:dyDescent="0.2">
      <c r="A1002" s="2">
        <v>999</v>
      </c>
      <c r="B1002" s="3" t="str">
        <f t="shared" si="175"/>
        <v>TNF-alpha</v>
      </c>
      <c r="C1002" s="3" t="str">
        <f t="shared" si="176"/>
        <v>TNF</v>
      </c>
      <c r="D1002" s="3" t="str">
        <f t="shared" si="177"/>
        <v>TNFA_HUMAN</v>
      </c>
      <c r="E1002" s="2" t="s">
        <v>21</v>
      </c>
      <c r="F1002" s="3" t="str">
        <f t="shared" si="178"/>
        <v>Tumor necrosis factor</v>
      </c>
      <c r="G1002" s="4" t="str">
        <f t="shared" si="174"/>
        <v>Thalidomide</v>
      </c>
      <c r="H1002" s="3" t="str">
        <f>HYPERLINK("https://www.cortellis.com/drugdiscovery/entity/biomarkers/57250","9-protein non-muscle invasive bladder cancer panel")</f>
        <v>9-protein non-muscle invasive bladder cancer panel</v>
      </c>
      <c r="I1002" s="2" t="s">
        <v>18</v>
      </c>
      <c r="J1002" s="2" t="s">
        <v>17</v>
      </c>
      <c r="K1002" s="4" t="str">
        <f>HYPERLINK("https://www.cortellis.com/drugdiscovery/result/proxy/related-content/biomarkers/genestargets/57250","interferon gamma; interleukin 12B; tumor necrosis factor")</f>
        <v>interferon gamma; interleukin 12B; tumor necrosis factor</v>
      </c>
    </row>
    <row r="1003" spans="1:11" ht="60" customHeight="1" x14ac:dyDescent="0.2">
      <c r="A1003" s="2">
        <v>1000</v>
      </c>
      <c r="B1003" s="3" t="str">
        <f t="shared" si="175"/>
        <v>TNF-alpha</v>
      </c>
      <c r="C1003" s="3" t="str">
        <f t="shared" si="176"/>
        <v>TNF</v>
      </c>
      <c r="D1003" s="3" t="str">
        <f t="shared" si="177"/>
        <v>TNFA_HUMAN</v>
      </c>
      <c r="E1003" s="2" t="s">
        <v>21</v>
      </c>
      <c r="F1003" s="3" t="str">
        <f t="shared" si="178"/>
        <v>Tumor necrosis factor</v>
      </c>
      <c r="G1003" s="4" t="str">
        <f t="shared" si="174"/>
        <v>Thalidomide</v>
      </c>
      <c r="H1003" s="3" t="str">
        <f>HYPERLINK("https://www.cortellis.com/drugdiscovery/entity/biomarkers/62155","19-protein rhegmatogenous retinal detachment panel")</f>
        <v>19-protein rhegmatogenous retinal detachment panel</v>
      </c>
      <c r="I1003" s="2" t="s">
        <v>24</v>
      </c>
      <c r="J1003" s="2" t="s">
        <v>17</v>
      </c>
      <c r="K1003" s="4" t="str">
        <f>HYPERLINK("https://www.cortellis.com/drugdiscovery/result/proxy/related-content/biomarkers/genestargets/62155","C-C motif chemokine ligand 2; interleukin 12B; tumor necrosis factor")</f>
        <v>C-C motif chemokine ligand 2; interleukin 12B; tumor necrosis factor</v>
      </c>
    </row>
    <row r="1004" spans="1:11" ht="60" customHeight="1" x14ac:dyDescent="0.2">
      <c r="A1004" s="2">
        <v>1001</v>
      </c>
      <c r="B1004" s="3" t="str">
        <f t="shared" si="175"/>
        <v>TNF-alpha</v>
      </c>
      <c r="C1004" s="3" t="str">
        <f t="shared" si="176"/>
        <v>TNF</v>
      </c>
      <c r="D1004" s="3" t="str">
        <f t="shared" si="177"/>
        <v>TNFA_HUMAN</v>
      </c>
      <c r="E1004" s="2" t="s">
        <v>21</v>
      </c>
      <c r="F1004" s="3" t="str">
        <f t="shared" si="178"/>
        <v>Tumor necrosis factor</v>
      </c>
      <c r="G1004" s="4" t="str">
        <f t="shared" si="174"/>
        <v>Thalidomide</v>
      </c>
      <c r="H1004" s="3" t="str">
        <f>HYPERLINK("https://www.cortellis.com/drugdiscovery/entity/biomarkers/62663","9-protein immunological disorders panel")</f>
        <v>9-protein immunological disorders panel</v>
      </c>
      <c r="I1004" s="2" t="s">
        <v>24</v>
      </c>
      <c r="J1004" s="2" t="s">
        <v>17</v>
      </c>
      <c r="K1004" s="4" t="str">
        <f>HYPERLINK("https://www.cortellis.com/drugdiscovery/result/proxy/related-content/biomarkers/genestargets/62663","C-C motif chemokine ligand 2; interferon gamma; tumor necrosis factor")</f>
        <v>C-C motif chemokine ligand 2; interferon gamma; tumor necrosis factor</v>
      </c>
    </row>
    <row r="1005" spans="1:11" ht="60" customHeight="1" x14ac:dyDescent="0.2">
      <c r="A1005" s="2">
        <v>1002</v>
      </c>
      <c r="B1005" s="3" t="str">
        <f t="shared" si="175"/>
        <v>TNF-alpha</v>
      </c>
      <c r="C1005" s="3" t="str">
        <f t="shared" si="176"/>
        <v>TNF</v>
      </c>
      <c r="D1005" s="3" t="str">
        <f t="shared" si="177"/>
        <v>TNFA_HUMAN</v>
      </c>
      <c r="E1005" s="2" t="s">
        <v>21</v>
      </c>
      <c r="F1005" s="3" t="str">
        <f t="shared" si="178"/>
        <v>Tumor necrosis factor</v>
      </c>
      <c r="G1005" s="4" t="str">
        <f t="shared" si="174"/>
        <v>Thalidomide</v>
      </c>
      <c r="H1005" s="3" t="str">
        <f>HYPERLINK("https://www.cortellis.com/drugdiscovery/entity/biomarkers/62730","7-protein Alzheimer's disease panel")</f>
        <v>7-protein Alzheimer's disease panel</v>
      </c>
      <c r="I1005" s="2" t="s">
        <v>23</v>
      </c>
      <c r="J1005" s="2" t="s">
        <v>17</v>
      </c>
      <c r="K1005" s="4" t="str">
        <f>HYPERLINK("https://www.cortellis.com/drugdiscovery/result/proxy/related-content/biomarkers/genestargets/62730","tumor necrosis factor")</f>
        <v>tumor necrosis factor</v>
      </c>
    </row>
    <row r="1006" spans="1:11" ht="60" customHeight="1" x14ac:dyDescent="0.2">
      <c r="A1006" s="2">
        <v>1003</v>
      </c>
      <c r="B1006" s="3" t="str">
        <f t="shared" si="175"/>
        <v>TNF-alpha</v>
      </c>
      <c r="C1006" s="3" t="str">
        <f t="shared" si="176"/>
        <v>TNF</v>
      </c>
      <c r="D1006" s="3" t="str">
        <f t="shared" si="177"/>
        <v>TNFA_HUMAN</v>
      </c>
      <c r="E1006" s="2" t="s">
        <v>21</v>
      </c>
      <c r="F1006" s="3" t="str">
        <f t="shared" si="178"/>
        <v>Tumor necrosis factor</v>
      </c>
      <c r="G1006" s="4" t="str">
        <f t="shared" si="174"/>
        <v>Thalidomide</v>
      </c>
      <c r="H1006" s="3" t="str">
        <f>HYPERLINK("https://www.cortellis.com/drugdiscovery/entity/biomarkers/62746","5-protein renal disorder panel")</f>
        <v>5-protein renal disorder panel</v>
      </c>
      <c r="I1006" s="2" t="s">
        <v>25</v>
      </c>
      <c r="J1006" s="2" t="s">
        <v>17</v>
      </c>
      <c r="K1006" s="4" t="str">
        <f>HYPERLINK("https://www.cortellis.com/drugdiscovery/result/proxy/related-content/biomarkers/genestargets/62746","tumor necrosis factor")</f>
        <v>tumor necrosis factor</v>
      </c>
    </row>
    <row r="1007" spans="1:11" ht="60" customHeight="1" x14ac:dyDescent="0.2">
      <c r="A1007" s="2">
        <v>1004</v>
      </c>
      <c r="B1007" s="3" t="str">
        <f t="shared" si="175"/>
        <v>TNF-alpha</v>
      </c>
      <c r="C1007" s="3" t="str">
        <f t="shared" si="176"/>
        <v>TNF</v>
      </c>
      <c r="D1007" s="3" t="str">
        <f t="shared" si="177"/>
        <v>TNFA_HUMAN</v>
      </c>
      <c r="E1007" s="2" t="s">
        <v>21</v>
      </c>
      <c r="F1007" s="3" t="str">
        <f t="shared" si="178"/>
        <v>Tumor necrosis factor</v>
      </c>
      <c r="G1007" s="4" t="str">
        <f t="shared" si="174"/>
        <v>Thalidomide</v>
      </c>
      <c r="H1007" s="3" t="str">
        <f>HYPERLINK("https://www.cortellis.com/drugdiscovery/entity/biomarkers/65259","22-gene expression hepatocellular carcinoma panel")</f>
        <v>22-gene expression hepatocellular carcinoma panel</v>
      </c>
      <c r="I1007" s="2" t="s">
        <v>25</v>
      </c>
      <c r="J1007" s="2" t="s">
        <v>19</v>
      </c>
      <c r="K1007" s="4" t="str">
        <f>HYPERLINK("https://www.cortellis.com/drugdiscovery/result/proxy/related-content/biomarkers/genestargets/65259","tumor necrosis factor")</f>
        <v>tumor necrosis factor</v>
      </c>
    </row>
    <row r="1008" spans="1:11" ht="60" customHeight="1" x14ac:dyDescent="0.2">
      <c r="A1008" s="2">
        <v>1005</v>
      </c>
      <c r="B1008" s="3" t="str">
        <f t="shared" si="175"/>
        <v>TNF-alpha</v>
      </c>
      <c r="C1008" s="3" t="str">
        <f t="shared" si="176"/>
        <v>TNF</v>
      </c>
      <c r="D1008" s="3" t="str">
        <f t="shared" si="177"/>
        <v>TNFA_HUMAN</v>
      </c>
      <c r="E1008" s="2" t="s">
        <v>21</v>
      </c>
      <c r="F1008" s="3" t="str">
        <f t="shared" si="178"/>
        <v>Tumor necrosis factor</v>
      </c>
      <c r="G1008" s="4" t="str">
        <f t="shared" ref="G1008:G1034" si="179">HYPERLINK("https://portal.genego.com/cgi/entity_page.cgi?term=7&amp;id=770","Calcitriol")</f>
        <v>Calcitriol</v>
      </c>
      <c r="H1008" s="3" t="str">
        <f>HYPERLINK("https://www.cortellis.com/drugdiscovery/entity/biomarkers/274","Tumor necrosis factor")</f>
        <v>Tumor necrosis factor</v>
      </c>
      <c r="I1008" s="2" t="s">
        <v>22</v>
      </c>
      <c r="J1008" s="2" t="s">
        <v>15</v>
      </c>
      <c r="K1008" s="4" t="str">
        <f>HYPERLINK("https://www.cortellis.com/drugdiscovery/result/proxy/related-content/biomarkers/genestargets/274","tumor necrosis factor")</f>
        <v>tumor necrosis factor</v>
      </c>
    </row>
    <row r="1009" spans="1:11" ht="60" customHeight="1" x14ac:dyDescent="0.2">
      <c r="A1009" s="2">
        <v>1006</v>
      </c>
      <c r="B1009" s="3" t="str">
        <f t="shared" si="175"/>
        <v>TNF-alpha</v>
      </c>
      <c r="C1009" s="3" t="str">
        <f t="shared" si="176"/>
        <v>TNF</v>
      </c>
      <c r="D1009" s="3" t="str">
        <f t="shared" si="177"/>
        <v>TNFA_HUMAN</v>
      </c>
      <c r="E1009" s="2" t="s">
        <v>21</v>
      </c>
      <c r="F1009" s="3" t="str">
        <f t="shared" si="178"/>
        <v>Tumor necrosis factor</v>
      </c>
      <c r="G1009" s="4" t="str">
        <f t="shared" si="179"/>
        <v>Calcitriol</v>
      </c>
      <c r="H1009" s="3" t="str">
        <f>HYPERLINK("https://www.cortellis.com/drugdiscovery/entity/biomarkers/27598","89-protein neurological alzheimer's panel")</f>
        <v>89-protein neurological alzheimer's panel</v>
      </c>
      <c r="I1009" s="2" t="s">
        <v>23</v>
      </c>
      <c r="J1009" s="2" t="s">
        <v>17</v>
      </c>
      <c r="K1009"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010" spans="1:11" ht="60" customHeight="1" x14ac:dyDescent="0.2">
      <c r="A1010" s="2">
        <v>1007</v>
      </c>
      <c r="B1010" s="3" t="str">
        <f t="shared" si="175"/>
        <v>TNF-alpha</v>
      </c>
      <c r="C1010" s="3" t="str">
        <f t="shared" si="176"/>
        <v>TNF</v>
      </c>
      <c r="D1010" s="3" t="str">
        <f t="shared" si="177"/>
        <v>TNFA_HUMAN</v>
      </c>
      <c r="E1010" s="2" t="s">
        <v>21</v>
      </c>
      <c r="F1010" s="3" t="str">
        <f t="shared" si="178"/>
        <v>Tumor necrosis factor</v>
      </c>
      <c r="G1010" s="4" t="str">
        <f t="shared" si="179"/>
        <v>Calcitriol</v>
      </c>
      <c r="H1010" s="3" t="str">
        <f>HYPERLINK("https://www.cortellis.com/drugdiscovery/entity/biomarkers/27640","5-protein alzheimer's panel")</f>
        <v>5-protein alzheimer's panel</v>
      </c>
      <c r="I1010" s="2" t="s">
        <v>23</v>
      </c>
      <c r="J1010" s="2" t="s">
        <v>17</v>
      </c>
      <c r="K1010" s="4" t="str">
        <f>HYPERLINK("https://www.cortellis.com/drugdiscovery/result/proxy/related-content/biomarkers/genestargets/27640","tumor necrosis factor")</f>
        <v>tumor necrosis factor</v>
      </c>
    </row>
    <row r="1011" spans="1:11" ht="60" customHeight="1" x14ac:dyDescent="0.2">
      <c r="A1011" s="2">
        <v>1008</v>
      </c>
      <c r="B1011" s="3" t="str">
        <f t="shared" si="175"/>
        <v>TNF-alpha</v>
      </c>
      <c r="C1011" s="3" t="str">
        <f t="shared" si="176"/>
        <v>TNF</v>
      </c>
      <c r="D1011" s="3" t="str">
        <f t="shared" si="177"/>
        <v>TNFA_HUMAN</v>
      </c>
      <c r="E1011" s="2" t="s">
        <v>21</v>
      </c>
      <c r="F1011" s="3" t="str">
        <f t="shared" si="178"/>
        <v>Tumor necrosis factor</v>
      </c>
      <c r="G1011" s="4" t="str">
        <f t="shared" si="179"/>
        <v>Calcitriol</v>
      </c>
      <c r="H1011" s="3" t="str">
        <f>HYPERLINK("https://www.cortellis.com/drugdiscovery/entity/biomarkers/27734","6-protein lung cancer panel")</f>
        <v>6-protein lung cancer panel</v>
      </c>
      <c r="I1011" s="2" t="s">
        <v>23</v>
      </c>
      <c r="J1011" s="2" t="s">
        <v>17</v>
      </c>
      <c r="K1011" s="4" t="str">
        <f>HYPERLINK("https://www.cortellis.com/drugdiscovery/result/proxy/related-content/biomarkers/genestargets/27734","interferon gamma; tumor necrosis factor")</f>
        <v>interferon gamma; tumor necrosis factor</v>
      </c>
    </row>
    <row r="1012" spans="1:11" ht="60" customHeight="1" x14ac:dyDescent="0.2">
      <c r="A1012" s="2">
        <v>1009</v>
      </c>
      <c r="B1012" s="3" t="str">
        <f t="shared" si="175"/>
        <v>TNF-alpha</v>
      </c>
      <c r="C1012" s="3" t="str">
        <f t="shared" si="176"/>
        <v>TNF</v>
      </c>
      <c r="D1012" s="3" t="str">
        <f t="shared" si="177"/>
        <v>TNFA_HUMAN</v>
      </c>
      <c r="E1012" s="2" t="s">
        <v>21</v>
      </c>
      <c r="F1012" s="3" t="str">
        <f t="shared" si="178"/>
        <v>Tumor necrosis factor</v>
      </c>
      <c r="G1012" s="4" t="str">
        <f t="shared" si="179"/>
        <v>Calcitriol</v>
      </c>
      <c r="H1012" s="3" t="str">
        <f>HYPERLINK("https://www.cortellis.com/drugdiscovery/entity/biomarkers/28148","11-gene expression lung cancer panel")</f>
        <v>11-gene expression lung cancer panel</v>
      </c>
      <c r="I1012" s="2" t="s">
        <v>25</v>
      </c>
      <c r="J1012" s="2" t="s">
        <v>19</v>
      </c>
      <c r="K1012" s="4" t="str">
        <f>HYPERLINK("https://www.cortellis.com/drugdiscovery/result/proxy/related-content/biomarkers/genestargets/28148","interferon gamma; interleukin 15; tumor necrosis factor")</f>
        <v>interferon gamma; interleukin 15; tumor necrosis factor</v>
      </c>
    </row>
    <row r="1013" spans="1:11" ht="60" customHeight="1" x14ac:dyDescent="0.2">
      <c r="A1013" s="2">
        <v>1010</v>
      </c>
      <c r="B1013" s="3" t="str">
        <f t="shared" si="175"/>
        <v>TNF-alpha</v>
      </c>
      <c r="C1013" s="3" t="str">
        <f t="shared" si="176"/>
        <v>TNF</v>
      </c>
      <c r="D1013" s="3" t="str">
        <f t="shared" si="177"/>
        <v>TNFA_HUMAN</v>
      </c>
      <c r="E1013" s="2" t="s">
        <v>21</v>
      </c>
      <c r="F1013" s="3" t="str">
        <f t="shared" si="178"/>
        <v>Tumor necrosis factor</v>
      </c>
      <c r="G1013" s="4" t="str">
        <f t="shared" si="179"/>
        <v>Calcitriol</v>
      </c>
      <c r="H1013" s="3" t="str">
        <f>HYPERLINK("https://www.cortellis.com/drugdiscovery/entity/biomarkers/28647","15-gene expression lung cancer panel")</f>
        <v>15-gene expression lung cancer panel</v>
      </c>
      <c r="I1013" s="2" t="s">
        <v>20</v>
      </c>
      <c r="J1013" s="2" t="s">
        <v>19</v>
      </c>
      <c r="K1013" s="4" t="str">
        <f>HYPERLINK("https://www.cortellis.com/drugdiscovery/result/proxy/related-content/biomarkers/genestargets/28647","interferon gamma; interleukin 15; tumor necrosis factor")</f>
        <v>interferon gamma; interleukin 15; tumor necrosis factor</v>
      </c>
    </row>
    <row r="1014" spans="1:11" ht="60" customHeight="1" x14ac:dyDescent="0.2">
      <c r="A1014" s="2">
        <v>1011</v>
      </c>
      <c r="B1014" s="3" t="str">
        <f t="shared" si="175"/>
        <v>TNF-alpha</v>
      </c>
      <c r="C1014" s="3" t="str">
        <f t="shared" si="176"/>
        <v>TNF</v>
      </c>
      <c r="D1014" s="3" t="str">
        <f t="shared" si="177"/>
        <v>TNFA_HUMAN</v>
      </c>
      <c r="E1014" s="2" t="s">
        <v>21</v>
      </c>
      <c r="F1014" s="3" t="str">
        <f t="shared" si="178"/>
        <v>Tumor necrosis factor</v>
      </c>
      <c r="G1014" s="4" t="str">
        <f t="shared" si="179"/>
        <v>Calcitriol</v>
      </c>
      <c r="H1014" s="3" t="str">
        <f>HYPERLINK("https://www.cortellis.com/drugdiscovery/entity/biomarkers/29676","277-gene expression lung cancer panel")</f>
        <v>277-gene expression lung cancer panel</v>
      </c>
      <c r="I1014" s="2" t="s">
        <v>25</v>
      </c>
      <c r="J1014" s="2" t="s">
        <v>19</v>
      </c>
      <c r="K1014" s="4" t="str">
        <f>HYPERLINK("https://www.cortellis.com/drugdiscovery/result/proxy/related-content/biomarkers/genestargets/29676","cyclin D1; tumor necrosis factor")</f>
        <v>cyclin D1; tumor necrosis factor</v>
      </c>
    </row>
    <row r="1015" spans="1:11" ht="60" customHeight="1" x14ac:dyDescent="0.2">
      <c r="A1015" s="2">
        <v>1012</v>
      </c>
      <c r="B1015" s="3" t="str">
        <f t="shared" si="175"/>
        <v>TNF-alpha</v>
      </c>
      <c r="C1015" s="3" t="str">
        <f t="shared" si="176"/>
        <v>TNF</v>
      </c>
      <c r="D1015" s="3" t="str">
        <f t="shared" si="177"/>
        <v>TNFA_HUMAN</v>
      </c>
      <c r="E1015" s="2" t="s">
        <v>21</v>
      </c>
      <c r="F1015" s="3" t="str">
        <f t="shared" si="178"/>
        <v>Tumor necrosis factor</v>
      </c>
      <c r="G1015" s="4" t="str">
        <f t="shared" si="179"/>
        <v>Calcitriol</v>
      </c>
      <c r="H1015" s="3" t="str">
        <f>HYPERLINK("https://www.cortellis.com/drugdiscovery/entity/biomarkers/30768","11-protein cardiovascular panel")</f>
        <v>11-protein cardiovascular panel</v>
      </c>
      <c r="I1015" s="2" t="s">
        <v>23</v>
      </c>
      <c r="J1015" s="2" t="s">
        <v>17</v>
      </c>
      <c r="K1015" s="4" t="str">
        <f>HYPERLINK("https://www.cortellis.com/drugdiscovery/result/proxy/related-content/biomarkers/genestargets/30768","interferon gamma; interleukin 12B; tumor necrosis factor")</f>
        <v>interferon gamma; interleukin 12B; tumor necrosis factor</v>
      </c>
    </row>
    <row r="1016" spans="1:11" ht="60" customHeight="1" x14ac:dyDescent="0.2">
      <c r="A1016" s="2">
        <v>1013</v>
      </c>
      <c r="B1016" s="3" t="str">
        <f t="shared" si="175"/>
        <v>TNF-alpha</v>
      </c>
      <c r="C1016" s="3" t="str">
        <f t="shared" si="176"/>
        <v>TNF</v>
      </c>
      <c r="D1016" s="3" t="str">
        <f t="shared" si="177"/>
        <v>TNFA_HUMAN</v>
      </c>
      <c r="E1016" s="2" t="s">
        <v>21</v>
      </c>
      <c r="F1016" s="3" t="str">
        <f t="shared" si="178"/>
        <v>Tumor necrosis factor</v>
      </c>
      <c r="G1016" s="4" t="str">
        <f t="shared" si="179"/>
        <v>Calcitriol</v>
      </c>
      <c r="H1016" s="3" t="str">
        <f>HYPERLINK("https://www.cortellis.com/drugdiscovery/entity/biomarkers/34385","30-protein alzheimer's panel")</f>
        <v>30-protein alzheimer's panel</v>
      </c>
      <c r="I1016" s="2" t="s">
        <v>23</v>
      </c>
      <c r="J1016" s="2" t="s">
        <v>17</v>
      </c>
      <c r="K1016" s="4" t="str">
        <f>HYPERLINK("https://www.cortellis.com/drugdiscovery/result/proxy/related-content/biomarkers/genestargets/34385","C-C motif chemokine ligand 2; interleukin 7; tenascin C; tumor necrosis factor")</f>
        <v>C-C motif chemokine ligand 2; interleukin 7; tenascin C; tumor necrosis factor</v>
      </c>
    </row>
    <row r="1017" spans="1:11" ht="60" customHeight="1" x14ac:dyDescent="0.2">
      <c r="A1017" s="2">
        <v>1014</v>
      </c>
      <c r="B1017" s="3" t="str">
        <f t="shared" si="175"/>
        <v>TNF-alpha</v>
      </c>
      <c r="C1017" s="3" t="str">
        <f t="shared" si="176"/>
        <v>TNF</v>
      </c>
      <c r="D1017" s="3" t="str">
        <f t="shared" si="177"/>
        <v>TNFA_HUMAN</v>
      </c>
      <c r="E1017" s="2" t="s">
        <v>21</v>
      </c>
      <c r="F1017" s="3" t="str">
        <f t="shared" si="178"/>
        <v>Tumor necrosis factor</v>
      </c>
      <c r="G1017" s="4" t="str">
        <f t="shared" si="179"/>
        <v>Calcitriol</v>
      </c>
      <c r="H1017" s="3" t="str">
        <f>HYPERLINK("https://www.cortellis.com/drugdiscovery/entity/biomarkers/34437","3-protein 3-autoantibody lung cancer panel")</f>
        <v>3-protein 3-autoantibody lung cancer panel</v>
      </c>
      <c r="I1017" s="2" t="s">
        <v>23</v>
      </c>
      <c r="J1017" s="2" t="s">
        <v>17</v>
      </c>
      <c r="K1017" s="4" t="str">
        <f>HYPERLINK("https://www.cortellis.com/drugdiscovery/result/proxy/related-content/biomarkers/genestargets/34437","tumor necrosis factor")</f>
        <v>tumor necrosis factor</v>
      </c>
    </row>
    <row r="1018" spans="1:11" ht="60" customHeight="1" x14ac:dyDescent="0.2">
      <c r="A1018" s="2">
        <v>1015</v>
      </c>
      <c r="B1018" s="3" t="str">
        <f t="shared" si="175"/>
        <v>TNF-alpha</v>
      </c>
      <c r="C1018" s="3" t="str">
        <f t="shared" si="176"/>
        <v>TNF</v>
      </c>
      <c r="D1018" s="3" t="str">
        <f t="shared" si="177"/>
        <v>TNFA_HUMAN</v>
      </c>
      <c r="E1018" s="2" t="s">
        <v>21</v>
      </c>
      <c r="F1018" s="3" t="str">
        <f t="shared" si="178"/>
        <v>Tumor necrosis factor</v>
      </c>
      <c r="G1018" s="4" t="str">
        <f t="shared" si="179"/>
        <v>Calcitriol</v>
      </c>
      <c r="H1018" s="3" t="str">
        <f>HYPERLINK("https://www.cortellis.com/drugdiscovery/entity/biomarkers/35424","60-gene expression ovarian cancer panel")</f>
        <v>60-gene expression ovarian cancer panel</v>
      </c>
      <c r="I1018" s="2" t="s">
        <v>18</v>
      </c>
      <c r="J1018" s="2" t="s">
        <v>19</v>
      </c>
      <c r="K1018" s="4" t="str">
        <f>HYPERLINK("https://www.cortellis.com/drugdiscovery/result/proxy/related-content/biomarkers/genestargets/35424","tumor necrosis factor")</f>
        <v>tumor necrosis factor</v>
      </c>
    </row>
    <row r="1019" spans="1:11" ht="60" customHeight="1" x14ac:dyDescent="0.2">
      <c r="A1019" s="2">
        <v>1016</v>
      </c>
      <c r="B1019" s="3" t="str">
        <f t="shared" si="175"/>
        <v>TNF-alpha</v>
      </c>
      <c r="C1019" s="3" t="str">
        <f t="shared" si="176"/>
        <v>TNF</v>
      </c>
      <c r="D1019" s="3" t="str">
        <f t="shared" si="177"/>
        <v>TNFA_HUMAN</v>
      </c>
      <c r="E1019" s="2" t="s">
        <v>21</v>
      </c>
      <c r="F1019" s="3" t="str">
        <f t="shared" si="178"/>
        <v>Tumor necrosis factor</v>
      </c>
      <c r="G1019" s="4" t="str">
        <f t="shared" si="179"/>
        <v>Calcitriol</v>
      </c>
      <c r="H1019" s="3" t="str">
        <f>HYPERLINK("https://www.cortellis.com/drugdiscovery/entity/biomarkers/36125","10-protein respiratory panel")</f>
        <v>10-protein respiratory panel</v>
      </c>
      <c r="I1019" s="2" t="s">
        <v>25</v>
      </c>
      <c r="J1019" s="2" t="s">
        <v>17</v>
      </c>
      <c r="K1019" s="4" t="str">
        <f>HYPERLINK("https://www.cortellis.com/drugdiscovery/result/proxy/related-content/biomarkers/genestargets/36125","interferon gamma; tumor necrosis factor")</f>
        <v>interferon gamma; tumor necrosis factor</v>
      </c>
    </row>
    <row r="1020" spans="1:11" ht="60" customHeight="1" x14ac:dyDescent="0.2">
      <c r="A1020" s="2">
        <v>1017</v>
      </c>
      <c r="B1020" s="3" t="str">
        <f t="shared" si="175"/>
        <v>TNF-alpha</v>
      </c>
      <c r="C1020" s="3" t="str">
        <f t="shared" si="176"/>
        <v>TNF</v>
      </c>
      <c r="D1020" s="3" t="str">
        <f t="shared" si="177"/>
        <v>TNFA_HUMAN</v>
      </c>
      <c r="E1020" s="2" t="s">
        <v>21</v>
      </c>
      <c r="F1020" s="3" t="str">
        <f t="shared" si="178"/>
        <v>Tumor necrosis factor</v>
      </c>
      <c r="G1020" s="4" t="str">
        <f t="shared" si="179"/>
        <v>Calcitriol</v>
      </c>
      <c r="H1020" s="3" t="str">
        <f>HYPERLINK("https://www.cortellis.com/drugdiscovery/entity/biomarkers/36127","3-protein respiratory panel")</f>
        <v>3-protein respiratory panel</v>
      </c>
      <c r="I1020" s="2" t="s">
        <v>25</v>
      </c>
      <c r="J1020" s="2" t="s">
        <v>17</v>
      </c>
      <c r="K1020" s="4" t="str">
        <f>HYPERLINK("https://www.cortellis.com/drugdiscovery/result/proxy/related-content/biomarkers/genestargets/36127","interferon gamma; tumor necrosis factor")</f>
        <v>interferon gamma; tumor necrosis factor</v>
      </c>
    </row>
    <row r="1021" spans="1:11" ht="60" customHeight="1" x14ac:dyDescent="0.2">
      <c r="A1021" s="2">
        <v>1018</v>
      </c>
      <c r="B1021" s="3" t="str">
        <f t="shared" si="175"/>
        <v>TNF-alpha</v>
      </c>
      <c r="C1021" s="3" t="str">
        <f t="shared" si="176"/>
        <v>TNF</v>
      </c>
      <c r="D1021" s="3" t="str">
        <f t="shared" si="177"/>
        <v>TNFA_HUMAN</v>
      </c>
      <c r="E1021" s="2" t="s">
        <v>21</v>
      </c>
      <c r="F1021" s="3" t="str">
        <f t="shared" si="178"/>
        <v>Tumor necrosis factor</v>
      </c>
      <c r="G1021" s="4" t="str">
        <f t="shared" si="179"/>
        <v>Calcitriol</v>
      </c>
      <c r="H1021" s="3" t="str">
        <f>HYPERLINK("https://www.cortellis.com/drugdiscovery/entity/biomarkers/37520","4-protein bacteremia panel")</f>
        <v>4-protein bacteremia panel</v>
      </c>
      <c r="I1021" s="2" t="s">
        <v>23</v>
      </c>
      <c r="J1021" s="2" t="s">
        <v>17</v>
      </c>
      <c r="K1021" s="4" t="str">
        <f>HYPERLINK("https://www.cortellis.com/drugdiscovery/result/proxy/related-content/biomarkers/genestargets/37520","tumor necrosis factor")</f>
        <v>tumor necrosis factor</v>
      </c>
    </row>
    <row r="1022" spans="1:11" ht="60" customHeight="1" x14ac:dyDescent="0.2">
      <c r="A1022" s="2">
        <v>1019</v>
      </c>
      <c r="B1022" s="3" t="str">
        <f t="shared" si="175"/>
        <v>TNF-alpha</v>
      </c>
      <c r="C1022" s="3" t="str">
        <f t="shared" si="176"/>
        <v>TNF</v>
      </c>
      <c r="D1022" s="3" t="str">
        <f t="shared" si="177"/>
        <v>TNFA_HUMAN</v>
      </c>
      <c r="E1022" s="2" t="s">
        <v>21</v>
      </c>
      <c r="F1022" s="3" t="str">
        <f t="shared" si="178"/>
        <v>Tumor necrosis factor</v>
      </c>
      <c r="G1022" s="4" t="str">
        <f t="shared" si="179"/>
        <v>Calcitriol</v>
      </c>
      <c r="H1022" s="3" t="str">
        <f>HYPERLINK("https://www.cortellis.com/drugdiscovery/entity/biomarkers/43870","17-genomic 14-protein 3-biochemical irritable bowel syndrome panel")</f>
        <v>17-genomic 14-protein 3-biochemical irritable bowel syndrome panel</v>
      </c>
      <c r="I1022" s="2" t="s">
        <v>52</v>
      </c>
      <c r="J1022" s="2" t="s">
        <v>53</v>
      </c>
      <c r="K1022" s="4" t="str">
        <f>HYPERLINK("https://www.cortellis.com/drugdiscovery/result/proxy/related-content/biomarkers/genestargets/43870","interleukin 12B; tumor necrosis factor")</f>
        <v>interleukin 12B; tumor necrosis factor</v>
      </c>
    </row>
    <row r="1023" spans="1:11" ht="60" customHeight="1" x14ac:dyDescent="0.2">
      <c r="A1023" s="2">
        <v>1020</v>
      </c>
      <c r="B1023" s="3" t="str">
        <f t="shared" si="175"/>
        <v>TNF-alpha</v>
      </c>
      <c r="C1023" s="3" t="str">
        <f t="shared" si="176"/>
        <v>TNF</v>
      </c>
      <c r="D1023" s="3" t="str">
        <f t="shared" si="177"/>
        <v>TNFA_HUMAN</v>
      </c>
      <c r="E1023" s="2" t="s">
        <v>21</v>
      </c>
      <c r="F1023" s="3" t="str">
        <f t="shared" si="178"/>
        <v>Tumor necrosis factor</v>
      </c>
      <c r="G1023" s="4" t="str">
        <f t="shared" si="179"/>
        <v>Calcitriol</v>
      </c>
      <c r="H1023" s="3" t="str">
        <f>HYPERLINK("https://www.cortellis.com/drugdiscovery/entity/biomarkers/46842","7-protein non small cell lung cancer panel")</f>
        <v>7-protein non small cell lung cancer panel</v>
      </c>
      <c r="I1023" s="2" t="s">
        <v>23</v>
      </c>
      <c r="J1023" s="2" t="s">
        <v>17</v>
      </c>
      <c r="K1023" s="4" t="str">
        <f>HYPERLINK("https://www.cortellis.com/drugdiscovery/result/proxy/related-content/biomarkers/genestargets/46842","tumor necrosis factor")</f>
        <v>tumor necrosis factor</v>
      </c>
    </row>
    <row r="1024" spans="1:11" ht="60" customHeight="1" x14ac:dyDescent="0.2">
      <c r="A1024" s="2">
        <v>1021</v>
      </c>
      <c r="B1024" s="3" t="str">
        <f t="shared" si="175"/>
        <v>TNF-alpha</v>
      </c>
      <c r="C1024" s="3" t="str">
        <f t="shared" si="176"/>
        <v>TNF</v>
      </c>
      <c r="D1024" s="3" t="str">
        <f t="shared" si="177"/>
        <v>TNFA_HUMAN</v>
      </c>
      <c r="E1024" s="2" t="s">
        <v>21</v>
      </c>
      <c r="F1024" s="3" t="str">
        <f t="shared" si="178"/>
        <v>Tumor necrosis factor</v>
      </c>
      <c r="G1024" s="4" t="str">
        <f t="shared" si="179"/>
        <v>Calcitriol</v>
      </c>
      <c r="H1024" s="3" t="str">
        <f>HYPERLINK("https://www.cortellis.com/drugdiscovery/entity/biomarkers/50816","10-gene lyme disease panel")</f>
        <v>10-gene lyme disease panel</v>
      </c>
      <c r="I1024" s="2" t="s">
        <v>23</v>
      </c>
      <c r="J1024" s="2" t="s">
        <v>15</v>
      </c>
      <c r="K1024" s="4" t="str">
        <f>HYPERLINK("https://www.cortellis.com/drugdiscovery/result/proxy/related-content/biomarkers/genestargets/50816","C-C motif chemokine ligand 2; interferon gamma; tumor necrosis factor")</f>
        <v>C-C motif chemokine ligand 2; interferon gamma; tumor necrosis factor</v>
      </c>
    </row>
    <row r="1025" spans="1:11" ht="60" customHeight="1" x14ac:dyDescent="0.2">
      <c r="A1025" s="2">
        <v>1022</v>
      </c>
      <c r="B1025" s="3" t="str">
        <f t="shared" si="175"/>
        <v>TNF-alpha</v>
      </c>
      <c r="C1025" s="3" t="str">
        <f t="shared" si="176"/>
        <v>TNF</v>
      </c>
      <c r="D1025" s="3" t="str">
        <f t="shared" si="177"/>
        <v>TNFA_HUMAN</v>
      </c>
      <c r="E1025" s="2" t="s">
        <v>21</v>
      </c>
      <c r="F1025" s="3" t="str">
        <f t="shared" si="178"/>
        <v>Tumor necrosis factor</v>
      </c>
      <c r="G1025" s="4" t="str">
        <f t="shared" si="179"/>
        <v>Calcitriol</v>
      </c>
      <c r="H1025" s="3" t="str">
        <f>HYPERLINK("https://www.cortellis.com/drugdiscovery/entity/biomarkers/50817","11-gene lyme disease panel")</f>
        <v>11-gene lyme disease panel</v>
      </c>
      <c r="I1025" s="2" t="s">
        <v>23</v>
      </c>
      <c r="J1025" s="2" t="s">
        <v>15</v>
      </c>
      <c r="K1025" s="4" t="str">
        <f>HYPERLINK("https://www.cortellis.com/drugdiscovery/result/proxy/related-content/biomarkers/genestargets/50817","C-C motif chemokine ligand 2; interferon gamma; tumor necrosis factor")</f>
        <v>C-C motif chemokine ligand 2; interferon gamma; tumor necrosis factor</v>
      </c>
    </row>
    <row r="1026" spans="1:11" ht="60" customHeight="1" x14ac:dyDescent="0.2">
      <c r="A1026" s="2">
        <v>1023</v>
      </c>
      <c r="B1026" s="3" t="str">
        <f t="shared" si="175"/>
        <v>TNF-alpha</v>
      </c>
      <c r="C1026" s="3" t="str">
        <f t="shared" si="176"/>
        <v>TNF</v>
      </c>
      <c r="D1026" s="3" t="str">
        <f t="shared" si="177"/>
        <v>TNFA_HUMAN</v>
      </c>
      <c r="E1026" s="2" t="s">
        <v>21</v>
      </c>
      <c r="F1026" s="3" t="str">
        <f t="shared" si="178"/>
        <v>Tumor necrosis factor</v>
      </c>
      <c r="G1026" s="4" t="str">
        <f t="shared" si="179"/>
        <v>Calcitriol</v>
      </c>
      <c r="H1026" s="3" t="str">
        <f>HYPERLINK("https://www.cortellis.com/drugdiscovery/entity/biomarkers/50818","12 protein Lyme disease panel")</f>
        <v>12 protein Lyme disease panel</v>
      </c>
      <c r="I1026" s="2" t="s">
        <v>23</v>
      </c>
      <c r="J1026" s="2" t="s">
        <v>17</v>
      </c>
      <c r="K1026" s="4" t="str">
        <f>HYPERLINK("https://www.cortellis.com/drugdiscovery/result/proxy/related-content/biomarkers/genestargets/50818","C-C motif chemokine ligand 2; interferon gamma; tumor necrosis factor")</f>
        <v>C-C motif chemokine ligand 2; interferon gamma; tumor necrosis factor</v>
      </c>
    </row>
    <row r="1027" spans="1:11" ht="60" customHeight="1" x14ac:dyDescent="0.2">
      <c r="A1027" s="2">
        <v>1024</v>
      </c>
      <c r="B1027" s="3" t="str">
        <f t="shared" si="175"/>
        <v>TNF-alpha</v>
      </c>
      <c r="C1027" s="3" t="str">
        <f t="shared" si="176"/>
        <v>TNF</v>
      </c>
      <c r="D1027" s="3" t="str">
        <f t="shared" si="177"/>
        <v>TNFA_HUMAN</v>
      </c>
      <c r="E1027" s="2" t="s">
        <v>21</v>
      </c>
      <c r="F1027" s="3" t="str">
        <f t="shared" si="178"/>
        <v>Tumor necrosis factor</v>
      </c>
      <c r="G1027" s="4" t="str">
        <f t="shared" si="179"/>
        <v>Calcitriol</v>
      </c>
      <c r="H1027" s="3" t="str">
        <f>HYPERLINK("https://www.cortellis.com/drugdiscovery/entity/biomarkers/51292","37-gene expression major depression panel")</f>
        <v>37-gene expression major depression panel</v>
      </c>
      <c r="I1027" s="2" t="s">
        <v>23</v>
      </c>
      <c r="J1027" s="2" t="s">
        <v>19</v>
      </c>
      <c r="K1027" s="4" t="str">
        <f>HYPERLINK("https://www.cortellis.com/drugdiscovery/result/proxy/related-content/biomarkers/genestargets/51292","C-C motif chemokine ligand 2; tumor necrosis factor")</f>
        <v>C-C motif chemokine ligand 2; tumor necrosis factor</v>
      </c>
    </row>
    <row r="1028" spans="1:11" ht="60" customHeight="1" x14ac:dyDescent="0.2">
      <c r="A1028" s="2">
        <v>1025</v>
      </c>
      <c r="B1028" s="3" t="str">
        <f t="shared" si="175"/>
        <v>TNF-alpha</v>
      </c>
      <c r="C1028" s="3" t="str">
        <f t="shared" si="176"/>
        <v>TNF</v>
      </c>
      <c r="D1028" s="3" t="str">
        <f t="shared" si="177"/>
        <v>TNFA_HUMAN</v>
      </c>
      <c r="E1028" s="2" t="s">
        <v>21</v>
      </c>
      <c r="F1028" s="3" t="str">
        <f t="shared" si="178"/>
        <v>Tumor necrosis factor</v>
      </c>
      <c r="G1028" s="4" t="str">
        <f t="shared" si="179"/>
        <v>Calcitriol</v>
      </c>
      <c r="H1028" s="3" t="str">
        <f>HYPERLINK("https://www.cortellis.com/drugdiscovery/entity/biomarkers/57224","21-protein mild cognitive impairment panel")</f>
        <v>21-protein mild cognitive impairment panel</v>
      </c>
      <c r="I1028" s="2" t="s">
        <v>23</v>
      </c>
      <c r="J1028" s="2" t="s">
        <v>19</v>
      </c>
      <c r="K1028" s="4" t="str">
        <f>HYPERLINK("https://www.cortellis.com/drugdiscovery/result/proxy/related-content/biomarkers/genestargets/57224","interleukin 7; tenascin C; tumor necrosis factor")</f>
        <v>interleukin 7; tenascin C; tumor necrosis factor</v>
      </c>
    </row>
    <row r="1029" spans="1:11" ht="60" customHeight="1" x14ac:dyDescent="0.2">
      <c r="A1029" s="2">
        <v>1026</v>
      </c>
      <c r="B1029" s="3" t="str">
        <f t="shared" si="175"/>
        <v>TNF-alpha</v>
      </c>
      <c r="C1029" s="3" t="str">
        <f t="shared" si="176"/>
        <v>TNF</v>
      </c>
      <c r="D1029" s="3" t="str">
        <f t="shared" si="177"/>
        <v>TNFA_HUMAN</v>
      </c>
      <c r="E1029" s="2" t="s">
        <v>21</v>
      </c>
      <c r="F1029" s="3" t="str">
        <f t="shared" si="178"/>
        <v>Tumor necrosis factor</v>
      </c>
      <c r="G1029" s="4" t="str">
        <f t="shared" si="179"/>
        <v>Calcitriol</v>
      </c>
      <c r="H1029" s="3" t="str">
        <f>HYPERLINK("https://www.cortellis.com/drugdiscovery/entity/biomarkers/57250","9-protein non-muscle invasive bladder cancer panel")</f>
        <v>9-protein non-muscle invasive bladder cancer panel</v>
      </c>
      <c r="I1029" s="2" t="s">
        <v>18</v>
      </c>
      <c r="J1029" s="2" t="s">
        <v>17</v>
      </c>
      <c r="K1029" s="4" t="str">
        <f>HYPERLINK("https://www.cortellis.com/drugdiscovery/result/proxy/related-content/biomarkers/genestargets/57250","interferon gamma; interleukin 12B; tumor necrosis factor")</f>
        <v>interferon gamma; interleukin 12B; tumor necrosis factor</v>
      </c>
    </row>
    <row r="1030" spans="1:11" ht="60" customHeight="1" x14ac:dyDescent="0.2">
      <c r="A1030" s="2">
        <v>1027</v>
      </c>
      <c r="B1030" s="3" t="str">
        <f t="shared" si="175"/>
        <v>TNF-alpha</v>
      </c>
      <c r="C1030" s="3" t="str">
        <f t="shared" si="176"/>
        <v>TNF</v>
      </c>
      <c r="D1030" s="3" t="str">
        <f t="shared" si="177"/>
        <v>TNFA_HUMAN</v>
      </c>
      <c r="E1030" s="2" t="s">
        <v>21</v>
      </c>
      <c r="F1030" s="3" t="str">
        <f t="shared" si="178"/>
        <v>Tumor necrosis factor</v>
      </c>
      <c r="G1030" s="4" t="str">
        <f t="shared" si="179"/>
        <v>Calcitriol</v>
      </c>
      <c r="H1030" s="3" t="str">
        <f>HYPERLINK("https://www.cortellis.com/drugdiscovery/entity/biomarkers/62155","19-protein rhegmatogenous retinal detachment panel")</f>
        <v>19-protein rhegmatogenous retinal detachment panel</v>
      </c>
      <c r="I1030" s="2" t="s">
        <v>24</v>
      </c>
      <c r="J1030" s="2" t="s">
        <v>17</v>
      </c>
      <c r="K1030" s="4" t="str">
        <f>HYPERLINK("https://www.cortellis.com/drugdiscovery/result/proxy/related-content/biomarkers/genestargets/62155","C-C motif chemokine ligand 2; interleukin 12B; tumor necrosis factor")</f>
        <v>C-C motif chemokine ligand 2; interleukin 12B; tumor necrosis factor</v>
      </c>
    </row>
    <row r="1031" spans="1:11" ht="60" customHeight="1" x14ac:dyDescent="0.2">
      <c r="A1031" s="2">
        <v>1028</v>
      </c>
      <c r="B1031" s="3" t="str">
        <f t="shared" si="175"/>
        <v>TNF-alpha</v>
      </c>
      <c r="C1031" s="3" t="str">
        <f t="shared" si="176"/>
        <v>TNF</v>
      </c>
      <c r="D1031" s="3" t="str">
        <f t="shared" si="177"/>
        <v>TNFA_HUMAN</v>
      </c>
      <c r="E1031" s="2" t="s">
        <v>21</v>
      </c>
      <c r="F1031" s="3" t="str">
        <f t="shared" si="178"/>
        <v>Tumor necrosis factor</v>
      </c>
      <c r="G1031" s="4" t="str">
        <f t="shared" si="179"/>
        <v>Calcitriol</v>
      </c>
      <c r="H1031" s="3" t="str">
        <f>HYPERLINK("https://www.cortellis.com/drugdiscovery/entity/biomarkers/62663","9-protein immunological disorders panel")</f>
        <v>9-protein immunological disorders panel</v>
      </c>
      <c r="I1031" s="2" t="s">
        <v>24</v>
      </c>
      <c r="J1031" s="2" t="s">
        <v>17</v>
      </c>
      <c r="K1031" s="4" t="str">
        <f>HYPERLINK("https://www.cortellis.com/drugdiscovery/result/proxy/related-content/biomarkers/genestargets/62663","C-C motif chemokine ligand 2; interferon gamma; tumor necrosis factor")</f>
        <v>C-C motif chemokine ligand 2; interferon gamma; tumor necrosis factor</v>
      </c>
    </row>
    <row r="1032" spans="1:11" ht="60" customHeight="1" x14ac:dyDescent="0.2">
      <c r="A1032" s="2">
        <v>1029</v>
      </c>
      <c r="B1032" s="3" t="str">
        <f t="shared" si="175"/>
        <v>TNF-alpha</v>
      </c>
      <c r="C1032" s="3" t="str">
        <f t="shared" si="176"/>
        <v>TNF</v>
      </c>
      <c r="D1032" s="3" t="str">
        <f t="shared" si="177"/>
        <v>TNFA_HUMAN</v>
      </c>
      <c r="E1032" s="2" t="s">
        <v>21</v>
      </c>
      <c r="F1032" s="3" t="str">
        <f t="shared" si="178"/>
        <v>Tumor necrosis factor</v>
      </c>
      <c r="G1032" s="4" t="str">
        <f t="shared" si="179"/>
        <v>Calcitriol</v>
      </c>
      <c r="H1032" s="3" t="str">
        <f>HYPERLINK("https://www.cortellis.com/drugdiscovery/entity/biomarkers/62730","7-protein Alzheimer's disease panel")</f>
        <v>7-protein Alzheimer's disease panel</v>
      </c>
      <c r="I1032" s="2" t="s">
        <v>23</v>
      </c>
      <c r="J1032" s="2" t="s">
        <v>17</v>
      </c>
      <c r="K1032" s="4" t="str">
        <f>HYPERLINK("https://www.cortellis.com/drugdiscovery/result/proxy/related-content/biomarkers/genestargets/62730","tumor necrosis factor")</f>
        <v>tumor necrosis factor</v>
      </c>
    </row>
    <row r="1033" spans="1:11" ht="60" customHeight="1" x14ac:dyDescent="0.2">
      <c r="A1033" s="2">
        <v>1030</v>
      </c>
      <c r="B1033" s="3" t="str">
        <f t="shared" si="175"/>
        <v>TNF-alpha</v>
      </c>
      <c r="C1033" s="3" t="str">
        <f t="shared" si="176"/>
        <v>TNF</v>
      </c>
      <c r="D1033" s="3" t="str">
        <f t="shared" si="177"/>
        <v>TNFA_HUMAN</v>
      </c>
      <c r="E1033" s="2" t="s">
        <v>21</v>
      </c>
      <c r="F1033" s="3" t="str">
        <f t="shared" si="178"/>
        <v>Tumor necrosis factor</v>
      </c>
      <c r="G1033" s="4" t="str">
        <f t="shared" si="179"/>
        <v>Calcitriol</v>
      </c>
      <c r="H1033" s="3" t="str">
        <f>HYPERLINK("https://www.cortellis.com/drugdiscovery/entity/biomarkers/62746","5-protein renal disorder panel")</f>
        <v>5-protein renal disorder panel</v>
      </c>
      <c r="I1033" s="2" t="s">
        <v>25</v>
      </c>
      <c r="J1033" s="2" t="s">
        <v>17</v>
      </c>
      <c r="K1033" s="4" t="str">
        <f>HYPERLINK("https://www.cortellis.com/drugdiscovery/result/proxy/related-content/biomarkers/genestargets/62746","tumor necrosis factor")</f>
        <v>tumor necrosis factor</v>
      </c>
    </row>
    <row r="1034" spans="1:11" ht="60" customHeight="1" x14ac:dyDescent="0.2">
      <c r="A1034" s="2">
        <v>1031</v>
      </c>
      <c r="B1034" s="3" t="str">
        <f t="shared" si="175"/>
        <v>TNF-alpha</v>
      </c>
      <c r="C1034" s="3" t="str">
        <f t="shared" si="176"/>
        <v>TNF</v>
      </c>
      <c r="D1034" s="3" t="str">
        <f t="shared" si="177"/>
        <v>TNFA_HUMAN</v>
      </c>
      <c r="E1034" s="2" t="s">
        <v>21</v>
      </c>
      <c r="F1034" s="3" t="str">
        <f t="shared" si="178"/>
        <v>Tumor necrosis factor</v>
      </c>
      <c r="G1034" s="4" t="str">
        <f t="shared" si="179"/>
        <v>Calcitriol</v>
      </c>
      <c r="H1034" s="3" t="str">
        <f>HYPERLINK("https://www.cortellis.com/drugdiscovery/entity/biomarkers/65259","22-gene expression hepatocellular carcinoma panel")</f>
        <v>22-gene expression hepatocellular carcinoma panel</v>
      </c>
      <c r="I1034" s="2" t="s">
        <v>25</v>
      </c>
      <c r="J1034" s="2" t="s">
        <v>19</v>
      </c>
      <c r="K1034" s="4" t="str">
        <f>HYPERLINK("https://www.cortellis.com/drugdiscovery/result/proxy/related-content/biomarkers/genestargets/65259","tumor necrosis factor")</f>
        <v>tumor necrosis factor</v>
      </c>
    </row>
    <row r="1035" spans="1:11" ht="60" customHeight="1" x14ac:dyDescent="0.2">
      <c r="A1035" s="2">
        <v>1032</v>
      </c>
      <c r="B1035" s="3" t="str">
        <f t="shared" si="175"/>
        <v>TNF-alpha</v>
      </c>
      <c r="C1035" s="3" t="str">
        <f t="shared" si="176"/>
        <v>TNF</v>
      </c>
      <c r="D1035" s="3" t="str">
        <f t="shared" si="177"/>
        <v>TNFA_HUMAN</v>
      </c>
      <c r="E1035" s="2" t="s">
        <v>21</v>
      </c>
      <c r="F1035" s="3" t="str">
        <f t="shared" si="178"/>
        <v>Tumor necrosis factor</v>
      </c>
      <c r="G1035" s="4" t="str">
        <f t="shared" ref="G1035:G1061" si="180">HYPERLINK("https://portal.genego.com/cgi/entity_page.cgi?term=7&amp;id=66685204","Adalimumab")</f>
        <v>Adalimumab</v>
      </c>
      <c r="H1035" s="3" t="str">
        <f>HYPERLINK("https://www.cortellis.com/drugdiscovery/entity/biomarkers/274","Tumor necrosis factor")</f>
        <v>Tumor necrosis factor</v>
      </c>
      <c r="I1035" s="2" t="s">
        <v>22</v>
      </c>
      <c r="J1035" s="2" t="s">
        <v>15</v>
      </c>
      <c r="K1035" s="4" t="str">
        <f>HYPERLINK("https://www.cortellis.com/drugdiscovery/result/proxy/related-content/biomarkers/genestargets/274","tumor necrosis factor")</f>
        <v>tumor necrosis factor</v>
      </c>
    </row>
    <row r="1036" spans="1:11" ht="60" customHeight="1" x14ac:dyDescent="0.2">
      <c r="A1036" s="2">
        <v>1033</v>
      </c>
      <c r="B1036" s="3" t="str">
        <f t="shared" si="175"/>
        <v>TNF-alpha</v>
      </c>
      <c r="C1036" s="3" t="str">
        <f t="shared" si="176"/>
        <v>TNF</v>
      </c>
      <c r="D1036" s="3" t="str">
        <f t="shared" si="177"/>
        <v>TNFA_HUMAN</v>
      </c>
      <c r="E1036" s="2" t="s">
        <v>21</v>
      </c>
      <c r="F1036" s="3" t="str">
        <f t="shared" si="178"/>
        <v>Tumor necrosis factor</v>
      </c>
      <c r="G1036" s="4" t="str">
        <f t="shared" si="180"/>
        <v>Adalimumab</v>
      </c>
      <c r="H1036" s="3" t="str">
        <f>HYPERLINK("https://www.cortellis.com/drugdiscovery/entity/biomarkers/27598","89-protein neurological alzheimer's panel")</f>
        <v>89-protein neurological alzheimer's panel</v>
      </c>
      <c r="I1036" s="2" t="s">
        <v>23</v>
      </c>
      <c r="J1036" s="2" t="s">
        <v>17</v>
      </c>
      <c r="K1036"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037" spans="1:11" ht="60" customHeight="1" x14ac:dyDescent="0.2">
      <c r="A1037" s="2">
        <v>1034</v>
      </c>
      <c r="B1037" s="3" t="str">
        <f t="shared" si="175"/>
        <v>TNF-alpha</v>
      </c>
      <c r="C1037" s="3" t="str">
        <f t="shared" si="176"/>
        <v>TNF</v>
      </c>
      <c r="D1037" s="3" t="str">
        <f t="shared" si="177"/>
        <v>TNFA_HUMAN</v>
      </c>
      <c r="E1037" s="2" t="s">
        <v>21</v>
      </c>
      <c r="F1037" s="3" t="str">
        <f t="shared" si="178"/>
        <v>Tumor necrosis factor</v>
      </c>
      <c r="G1037" s="4" t="str">
        <f t="shared" si="180"/>
        <v>Adalimumab</v>
      </c>
      <c r="H1037" s="3" t="str">
        <f>HYPERLINK("https://www.cortellis.com/drugdiscovery/entity/biomarkers/27640","5-protein alzheimer's panel")</f>
        <v>5-protein alzheimer's panel</v>
      </c>
      <c r="I1037" s="2" t="s">
        <v>23</v>
      </c>
      <c r="J1037" s="2" t="s">
        <v>17</v>
      </c>
      <c r="K1037" s="4" t="str">
        <f>HYPERLINK("https://www.cortellis.com/drugdiscovery/result/proxy/related-content/biomarkers/genestargets/27640","tumor necrosis factor")</f>
        <v>tumor necrosis factor</v>
      </c>
    </row>
    <row r="1038" spans="1:11" ht="60" customHeight="1" x14ac:dyDescent="0.2">
      <c r="A1038" s="2">
        <v>1035</v>
      </c>
      <c r="B1038" s="3" t="str">
        <f t="shared" si="175"/>
        <v>TNF-alpha</v>
      </c>
      <c r="C1038" s="3" t="str">
        <f t="shared" si="176"/>
        <v>TNF</v>
      </c>
      <c r="D1038" s="3" t="str">
        <f t="shared" si="177"/>
        <v>TNFA_HUMAN</v>
      </c>
      <c r="E1038" s="2" t="s">
        <v>21</v>
      </c>
      <c r="F1038" s="3" t="str">
        <f t="shared" si="178"/>
        <v>Tumor necrosis factor</v>
      </c>
      <c r="G1038" s="4" t="str">
        <f t="shared" si="180"/>
        <v>Adalimumab</v>
      </c>
      <c r="H1038" s="3" t="str">
        <f>HYPERLINK("https://www.cortellis.com/drugdiscovery/entity/biomarkers/27734","6-protein lung cancer panel")</f>
        <v>6-protein lung cancer panel</v>
      </c>
      <c r="I1038" s="2" t="s">
        <v>23</v>
      </c>
      <c r="J1038" s="2" t="s">
        <v>17</v>
      </c>
      <c r="K1038" s="4" t="str">
        <f>HYPERLINK("https://www.cortellis.com/drugdiscovery/result/proxy/related-content/biomarkers/genestargets/27734","interferon gamma; tumor necrosis factor")</f>
        <v>interferon gamma; tumor necrosis factor</v>
      </c>
    </row>
    <row r="1039" spans="1:11" ht="60" customHeight="1" x14ac:dyDescent="0.2">
      <c r="A1039" s="2">
        <v>1036</v>
      </c>
      <c r="B1039" s="3" t="str">
        <f t="shared" si="175"/>
        <v>TNF-alpha</v>
      </c>
      <c r="C1039" s="3" t="str">
        <f t="shared" si="176"/>
        <v>TNF</v>
      </c>
      <c r="D1039" s="3" t="str">
        <f t="shared" si="177"/>
        <v>TNFA_HUMAN</v>
      </c>
      <c r="E1039" s="2" t="s">
        <v>21</v>
      </c>
      <c r="F1039" s="3" t="str">
        <f t="shared" si="178"/>
        <v>Tumor necrosis factor</v>
      </c>
      <c r="G1039" s="4" t="str">
        <f t="shared" si="180"/>
        <v>Adalimumab</v>
      </c>
      <c r="H1039" s="3" t="str">
        <f>HYPERLINK("https://www.cortellis.com/drugdiscovery/entity/biomarkers/28148","11-gene expression lung cancer panel")</f>
        <v>11-gene expression lung cancer panel</v>
      </c>
      <c r="I1039" s="2" t="s">
        <v>25</v>
      </c>
      <c r="J1039" s="2" t="s">
        <v>19</v>
      </c>
      <c r="K1039" s="4" t="str">
        <f>HYPERLINK("https://www.cortellis.com/drugdiscovery/result/proxy/related-content/biomarkers/genestargets/28148","interferon gamma; interleukin 15; tumor necrosis factor")</f>
        <v>interferon gamma; interleukin 15; tumor necrosis factor</v>
      </c>
    </row>
    <row r="1040" spans="1:11" ht="60" customHeight="1" x14ac:dyDescent="0.2">
      <c r="A1040" s="2">
        <v>1037</v>
      </c>
      <c r="B1040" s="3" t="str">
        <f t="shared" si="175"/>
        <v>TNF-alpha</v>
      </c>
      <c r="C1040" s="3" t="str">
        <f t="shared" si="176"/>
        <v>TNF</v>
      </c>
      <c r="D1040" s="3" t="str">
        <f t="shared" si="177"/>
        <v>TNFA_HUMAN</v>
      </c>
      <c r="E1040" s="2" t="s">
        <v>21</v>
      </c>
      <c r="F1040" s="3" t="str">
        <f t="shared" si="178"/>
        <v>Tumor necrosis factor</v>
      </c>
      <c r="G1040" s="4" t="str">
        <f t="shared" si="180"/>
        <v>Adalimumab</v>
      </c>
      <c r="H1040" s="3" t="str">
        <f>HYPERLINK("https://www.cortellis.com/drugdiscovery/entity/biomarkers/28647","15-gene expression lung cancer panel")</f>
        <v>15-gene expression lung cancer panel</v>
      </c>
      <c r="I1040" s="2" t="s">
        <v>20</v>
      </c>
      <c r="J1040" s="2" t="s">
        <v>19</v>
      </c>
      <c r="K1040" s="4" t="str">
        <f>HYPERLINK("https://www.cortellis.com/drugdiscovery/result/proxy/related-content/biomarkers/genestargets/28647","interferon gamma; interleukin 15; tumor necrosis factor")</f>
        <v>interferon gamma; interleukin 15; tumor necrosis factor</v>
      </c>
    </row>
    <row r="1041" spans="1:11" ht="60" customHeight="1" x14ac:dyDescent="0.2">
      <c r="A1041" s="2">
        <v>1038</v>
      </c>
      <c r="B1041" s="3" t="str">
        <f t="shared" si="175"/>
        <v>TNF-alpha</v>
      </c>
      <c r="C1041" s="3" t="str">
        <f t="shared" si="176"/>
        <v>TNF</v>
      </c>
      <c r="D1041" s="3" t="str">
        <f t="shared" si="177"/>
        <v>TNFA_HUMAN</v>
      </c>
      <c r="E1041" s="2" t="s">
        <v>21</v>
      </c>
      <c r="F1041" s="3" t="str">
        <f t="shared" si="178"/>
        <v>Tumor necrosis factor</v>
      </c>
      <c r="G1041" s="4" t="str">
        <f t="shared" si="180"/>
        <v>Adalimumab</v>
      </c>
      <c r="H1041" s="3" t="str">
        <f>HYPERLINK("https://www.cortellis.com/drugdiscovery/entity/biomarkers/29676","277-gene expression lung cancer panel")</f>
        <v>277-gene expression lung cancer panel</v>
      </c>
      <c r="I1041" s="2" t="s">
        <v>25</v>
      </c>
      <c r="J1041" s="2" t="s">
        <v>19</v>
      </c>
      <c r="K1041" s="4" t="str">
        <f>HYPERLINK("https://www.cortellis.com/drugdiscovery/result/proxy/related-content/biomarkers/genestargets/29676","cyclin D1; tumor necrosis factor")</f>
        <v>cyclin D1; tumor necrosis factor</v>
      </c>
    </row>
    <row r="1042" spans="1:11" ht="60" customHeight="1" x14ac:dyDescent="0.2">
      <c r="A1042" s="2">
        <v>1039</v>
      </c>
      <c r="B1042" s="3" t="str">
        <f t="shared" si="175"/>
        <v>TNF-alpha</v>
      </c>
      <c r="C1042" s="3" t="str">
        <f t="shared" si="176"/>
        <v>TNF</v>
      </c>
      <c r="D1042" s="3" t="str">
        <f t="shared" si="177"/>
        <v>TNFA_HUMAN</v>
      </c>
      <c r="E1042" s="2" t="s">
        <v>21</v>
      </c>
      <c r="F1042" s="3" t="str">
        <f t="shared" si="178"/>
        <v>Tumor necrosis factor</v>
      </c>
      <c r="G1042" s="4" t="str">
        <f t="shared" si="180"/>
        <v>Adalimumab</v>
      </c>
      <c r="H1042" s="3" t="str">
        <f>HYPERLINK("https://www.cortellis.com/drugdiscovery/entity/biomarkers/30768","11-protein cardiovascular panel")</f>
        <v>11-protein cardiovascular panel</v>
      </c>
      <c r="I1042" s="2" t="s">
        <v>23</v>
      </c>
      <c r="J1042" s="2" t="s">
        <v>17</v>
      </c>
      <c r="K1042" s="4" t="str">
        <f>HYPERLINK("https://www.cortellis.com/drugdiscovery/result/proxy/related-content/biomarkers/genestargets/30768","interferon gamma; interleukin 12B; tumor necrosis factor")</f>
        <v>interferon gamma; interleukin 12B; tumor necrosis factor</v>
      </c>
    </row>
    <row r="1043" spans="1:11" ht="60" customHeight="1" x14ac:dyDescent="0.2">
      <c r="A1043" s="2">
        <v>1040</v>
      </c>
      <c r="B1043" s="3" t="str">
        <f t="shared" si="175"/>
        <v>TNF-alpha</v>
      </c>
      <c r="C1043" s="3" t="str">
        <f t="shared" si="176"/>
        <v>TNF</v>
      </c>
      <c r="D1043" s="3" t="str">
        <f t="shared" si="177"/>
        <v>TNFA_HUMAN</v>
      </c>
      <c r="E1043" s="2" t="s">
        <v>21</v>
      </c>
      <c r="F1043" s="3" t="str">
        <f t="shared" si="178"/>
        <v>Tumor necrosis factor</v>
      </c>
      <c r="G1043" s="4" t="str">
        <f t="shared" si="180"/>
        <v>Adalimumab</v>
      </c>
      <c r="H1043" s="3" t="str">
        <f>HYPERLINK("https://www.cortellis.com/drugdiscovery/entity/biomarkers/34385","30-protein alzheimer's panel")</f>
        <v>30-protein alzheimer's panel</v>
      </c>
      <c r="I1043" s="2" t="s">
        <v>23</v>
      </c>
      <c r="J1043" s="2" t="s">
        <v>17</v>
      </c>
      <c r="K1043" s="4" t="str">
        <f>HYPERLINK("https://www.cortellis.com/drugdiscovery/result/proxy/related-content/biomarkers/genestargets/34385","C-C motif chemokine ligand 2; interleukin 7; tenascin C; tumor necrosis factor")</f>
        <v>C-C motif chemokine ligand 2; interleukin 7; tenascin C; tumor necrosis factor</v>
      </c>
    </row>
    <row r="1044" spans="1:11" ht="60" customHeight="1" x14ac:dyDescent="0.2">
      <c r="A1044" s="2">
        <v>1041</v>
      </c>
      <c r="B1044" s="3" t="str">
        <f t="shared" si="175"/>
        <v>TNF-alpha</v>
      </c>
      <c r="C1044" s="3" t="str">
        <f t="shared" si="176"/>
        <v>TNF</v>
      </c>
      <c r="D1044" s="3" t="str">
        <f t="shared" si="177"/>
        <v>TNFA_HUMAN</v>
      </c>
      <c r="E1044" s="2" t="s">
        <v>21</v>
      </c>
      <c r="F1044" s="3" t="str">
        <f t="shared" si="178"/>
        <v>Tumor necrosis factor</v>
      </c>
      <c r="G1044" s="4" t="str">
        <f t="shared" si="180"/>
        <v>Adalimumab</v>
      </c>
      <c r="H1044" s="3" t="str">
        <f>HYPERLINK("https://www.cortellis.com/drugdiscovery/entity/biomarkers/34437","3-protein 3-autoantibody lung cancer panel")</f>
        <v>3-protein 3-autoantibody lung cancer panel</v>
      </c>
      <c r="I1044" s="2" t="s">
        <v>23</v>
      </c>
      <c r="J1044" s="2" t="s">
        <v>17</v>
      </c>
      <c r="K1044" s="4" t="str">
        <f>HYPERLINK("https://www.cortellis.com/drugdiscovery/result/proxy/related-content/biomarkers/genestargets/34437","tumor necrosis factor")</f>
        <v>tumor necrosis factor</v>
      </c>
    </row>
    <row r="1045" spans="1:11" ht="60" customHeight="1" x14ac:dyDescent="0.2">
      <c r="A1045" s="2">
        <v>1042</v>
      </c>
      <c r="B1045" s="3" t="str">
        <f t="shared" si="175"/>
        <v>TNF-alpha</v>
      </c>
      <c r="C1045" s="3" t="str">
        <f t="shared" si="176"/>
        <v>TNF</v>
      </c>
      <c r="D1045" s="3" t="str">
        <f t="shared" si="177"/>
        <v>TNFA_HUMAN</v>
      </c>
      <c r="E1045" s="2" t="s">
        <v>21</v>
      </c>
      <c r="F1045" s="3" t="str">
        <f t="shared" si="178"/>
        <v>Tumor necrosis factor</v>
      </c>
      <c r="G1045" s="4" t="str">
        <f t="shared" si="180"/>
        <v>Adalimumab</v>
      </c>
      <c r="H1045" s="3" t="str">
        <f>HYPERLINK("https://www.cortellis.com/drugdiscovery/entity/biomarkers/35424","60-gene expression ovarian cancer panel")</f>
        <v>60-gene expression ovarian cancer panel</v>
      </c>
      <c r="I1045" s="2" t="s">
        <v>18</v>
      </c>
      <c r="J1045" s="2" t="s">
        <v>19</v>
      </c>
      <c r="K1045" s="4" t="str">
        <f>HYPERLINK("https://www.cortellis.com/drugdiscovery/result/proxy/related-content/biomarkers/genestargets/35424","tumor necrosis factor")</f>
        <v>tumor necrosis factor</v>
      </c>
    </row>
    <row r="1046" spans="1:11" ht="60" customHeight="1" x14ac:dyDescent="0.2">
      <c r="A1046" s="2">
        <v>1043</v>
      </c>
      <c r="B1046" s="3" t="str">
        <f t="shared" si="175"/>
        <v>TNF-alpha</v>
      </c>
      <c r="C1046" s="3" t="str">
        <f t="shared" si="176"/>
        <v>TNF</v>
      </c>
      <c r="D1046" s="3" t="str">
        <f t="shared" si="177"/>
        <v>TNFA_HUMAN</v>
      </c>
      <c r="E1046" s="2" t="s">
        <v>21</v>
      </c>
      <c r="F1046" s="3" t="str">
        <f t="shared" si="178"/>
        <v>Tumor necrosis factor</v>
      </c>
      <c r="G1046" s="4" t="str">
        <f t="shared" si="180"/>
        <v>Adalimumab</v>
      </c>
      <c r="H1046" s="3" t="str">
        <f>HYPERLINK("https://www.cortellis.com/drugdiscovery/entity/biomarkers/36125","10-protein respiratory panel")</f>
        <v>10-protein respiratory panel</v>
      </c>
      <c r="I1046" s="2" t="s">
        <v>25</v>
      </c>
      <c r="J1046" s="2" t="s">
        <v>17</v>
      </c>
      <c r="K1046" s="4" t="str">
        <f>HYPERLINK("https://www.cortellis.com/drugdiscovery/result/proxy/related-content/biomarkers/genestargets/36125","interferon gamma; tumor necrosis factor")</f>
        <v>interferon gamma; tumor necrosis factor</v>
      </c>
    </row>
    <row r="1047" spans="1:11" ht="60" customHeight="1" x14ac:dyDescent="0.2">
      <c r="A1047" s="2">
        <v>1044</v>
      </c>
      <c r="B1047" s="3" t="str">
        <f t="shared" si="175"/>
        <v>TNF-alpha</v>
      </c>
      <c r="C1047" s="3" t="str">
        <f t="shared" si="176"/>
        <v>TNF</v>
      </c>
      <c r="D1047" s="3" t="str">
        <f t="shared" si="177"/>
        <v>TNFA_HUMAN</v>
      </c>
      <c r="E1047" s="2" t="s">
        <v>21</v>
      </c>
      <c r="F1047" s="3" t="str">
        <f t="shared" si="178"/>
        <v>Tumor necrosis factor</v>
      </c>
      <c r="G1047" s="4" t="str">
        <f t="shared" si="180"/>
        <v>Adalimumab</v>
      </c>
      <c r="H1047" s="3" t="str">
        <f>HYPERLINK("https://www.cortellis.com/drugdiscovery/entity/biomarkers/36127","3-protein respiratory panel")</f>
        <v>3-protein respiratory panel</v>
      </c>
      <c r="I1047" s="2" t="s">
        <v>25</v>
      </c>
      <c r="J1047" s="2" t="s">
        <v>17</v>
      </c>
      <c r="K1047" s="4" t="str">
        <f>HYPERLINK("https://www.cortellis.com/drugdiscovery/result/proxy/related-content/biomarkers/genestargets/36127","interferon gamma; tumor necrosis factor")</f>
        <v>interferon gamma; tumor necrosis factor</v>
      </c>
    </row>
    <row r="1048" spans="1:11" ht="60" customHeight="1" x14ac:dyDescent="0.2">
      <c r="A1048" s="2">
        <v>1045</v>
      </c>
      <c r="B1048" s="3" t="str">
        <f t="shared" si="175"/>
        <v>TNF-alpha</v>
      </c>
      <c r="C1048" s="3" t="str">
        <f t="shared" si="176"/>
        <v>TNF</v>
      </c>
      <c r="D1048" s="3" t="str">
        <f t="shared" si="177"/>
        <v>TNFA_HUMAN</v>
      </c>
      <c r="E1048" s="2" t="s">
        <v>21</v>
      </c>
      <c r="F1048" s="3" t="str">
        <f t="shared" si="178"/>
        <v>Tumor necrosis factor</v>
      </c>
      <c r="G1048" s="4" t="str">
        <f t="shared" si="180"/>
        <v>Adalimumab</v>
      </c>
      <c r="H1048" s="3" t="str">
        <f>HYPERLINK("https://www.cortellis.com/drugdiscovery/entity/biomarkers/37520","4-protein bacteremia panel")</f>
        <v>4-protein bacteremia panel</v>
      </c>
      <c r="I1048" s="2" t="s">
        <v>23</v>
      </c>
      <c r="J1048" s="2" t="s">
        <v>17</v>
      </c>
      <c r="K1048" s="4" t="str">
        <f>HYPERLINK("https://www.cortellis.com/drugdiscovery/result/proxy/related-content/biomarkers/genestargets/37520","tumor necrosis factor")</f>
        <v>tumor necrosis factor</v>
      </c>
    </row>
    <row r="1049" spans="1:11" ht="60" customHeight="1" x14ac:dyDescent="0.2">
      <c r="A1049" s="2">
        <v>1046</v>
      </c>
      <c r="B1049" s="3" t="str">
        <f t="shared" si="175"/>
        <v>TNF-alpha</v>
      </c>
      <c r="C1049" s="3" t="str">
        <f t="shared" si="176"/>
        <v>TNF</v>
      </c>
      <c r="D1049" s="3" t="str">
        <f t="shared" si="177"/>
        <v>TNFA_HUMAN</v>
      </c>
      <c r="E1049" s="2" t="s">
        <v>21</v>
      </c>
      <c r="F1049" s="3" t="str">
        <f t="shared" si="178"/>
        <v>Tumor necrosis factor</v>
      </c>
      <c r="G1049" s="4" t="str">
        <f t="shared" si="180"/>
        <v>Adalimumab</v>
      </c>
      <c r="H1049" s="3" t="str">
        <f>HYPERLINK("https://www.cortellis.com/drugdiscovery/entity/biomarkers/43870","17-genomic 14-protein 3-biochemical irritable bowel syndrome panel")</f>
        <v>17-genomic 14-protein 3-biochemical irritable bowel syndrome panel</v>
      </c>
      <c r="I1049" s="2" t="s">
        <v>52</v>
      </c>
      <c r="J1049" s="2" t="s">
        <v>53</v>
      </c>
      <c r="K1049" s="4" t="str">
        <f>HYPERLINK("https://www.cortellis.com/drugdiscovery/result/proxy/related-content/biomarkers/genestargets/43870","interleukin 12B; tumor necrosis factor")</f>
        <v>interleukin 12B; tumor necrosis factor</v>
      </c>
    </row>
    <row r="1050" spans="1:11" ht="60" customHeight="1" x14ac:dyDescent="0.2">
      <c r="A1050" s="2">
        <v>1047</v>
      </c>
      <c r="B1050" s="3" t="str">
        <f t="shared" si="175"/>
        <v>TNF-alpha</v>
      </c>
      <c r="C1050" s="3" t="str">
        <f t="shared" si="176"/>
        <v>TNF</v>
      </c>
      <c r="D1050" s="3" t="str">
        <f t="shared" si="177"/>
        <v>TNFA_HUMAN</v>
      </c>
      <c r="E1050" s="2" t="s">
        <v>21</v>
      </c>
      <c r="F1050" s="3" t="str">
        <f t="shared" si="178"/>
        <v>Tumor necrosis factor</v>
      </c>
      <c r="G1050" s="4" t="str">
        <f t="shared" si="180"/>
        <v>Adalimumab</v>
      </c>
      <c r="H1050" s="3" t="str">
        <f>HYPERLINK("https://www.cortellis.com/drugdiscovery/entity/biomarkers/46842","7-protein non small cell lung cancer panel")</f>
        <v>7-protein non small cell lung cancer panel</v>
      </c>
      <c r="I1050" s="2" t="s">
        <v>23</v>
      </c>
      <c r="J1050" s="2" t="s">
        <v>17</v>
      </c>
      <c r="K1050" s="4" t="str">
        <f>HYPERLINK("https://www.cortellis.com/drugdiscovery/result/proxy/related-content/biomarkers/genestargets/46842","tumor necrosis factor")</f>
        <v>tumor necrosis factor</v>
      </c>
    </row>
    <row r="1051" spans="1:11" ht="60" customHeight="1" x14ac:dyDescent="0.2">
      <c r="A1051" s="2">
        <v>1048</v>
      </c>
      <c r="B1051" s="3" t="str">
        <f t="shared" si="175"/>
        <v>TNF-alpha</v>
      </c>
      <c r="C1051" s="3" t="str">
        <f t="shared" si="176"/>
        <v>TNF</v>
      </c>
      <c r="D1051" s="3" t="str">
        <f t="shared" si="177"/>
        <v>TNFA_HUMAN</v>
      </c>
      <c r="E1051" s="2" t="s">
        <v>21</v>
      </c>
      <c r="F1051" s="3" t="str">
        <f t="shared" si="178"/>
        <v>Tumor necrosis factor</v>
      </c>
      <c r="G1051" s="4" t="str">
        <f t="shared" si="180"/>
        <v>Adalimumab</v>
      </c>
      <c r="H1051" s="3" t="str">
        <f>HYPERLINK("https://www.cortellis.com/drugdiscovery/entity/biomarkers/50816","10-gene lyme disease panel")</f>
        <v>10-gene lyme disease panel</v>
      </c>
      <c r="I1051" s="2" t="s">
        <v>23</v>
      </c>
      <c r="J1051" s="2" t="s">
        <v>15</v>
      </c>
      <c r="K1051" s="4" t="str">
        <f>HYPERLINK("https://www.cortellis.com/drugdiscovery/result/proxy/related-content/biomarkers/genestargets/50816","C-C motif chemokine ligand 2; interferon gamma; tumor necrosis factor")</f>
        <v>C-C motif chemokine ligand 2; interferon gamma; tumor necrosis factor</v>
      </c>
    </row>
    <row r="1052" spans="1:11" ht="60" customHeight="1" x14ac:dyDescent="0.2">
      <c r="A1052" s="2">
        <v>1049</v>
      </c>
      <c r="B1052" s="3" t="str">
        <f t="shared" si="175"/>
        <v>TNF-alpha</v>
      </c>
      <c r="C1052" s="3" t="str">
        <f t="shared" si="176"/>
        <v>TNF</v>
      </c>
      <c r="D1052" s="3" t="str">
        <f t="shared" si="177"/>
        <v>TNFA_HUMAN</v>
      </c>
      <c r="E1052" s="2" t="s">
        <v>21</v>
      </c>
      <c r="F1052" s="3" t="str">
        <f t="shared" si="178"/>
        <v>Tumor necrosis factor</v>
      </c>
      <c r="G1052" s="4" t="str">
        <f t="shared" si="180"/>
        <v>Adalimumab</v>
      </c>
      <c r="H1052" s="3" t="str">
        <f>HYPERLINK("https://www.cortellis.com/drugdiscovery/entity/biomarkers/50817","11-gene lyme disease panel")</f>
        <v>11-gene lyme disease panel</v>
      </c>
      <c r="I1052" s="2" t="s">
        <v>23</v>
      </c>
      <c r="J1052" s="2" t="s">
        <v>15</v>
      </c>
      <c r="K1052" s="4" t="str">
        <f>HYPERLINK("https://www.cortellis.com/drugdiscovery/result/proxy/related-content/biomarkers/genestargets/50817","C-C motif chemokine ligand 2; interferon gamma; tumor necrosis factor")</f>
        <v>C-C motif chemokine ligand 2; interferon gamma; tumor necrosis factor</v>
      </c>
    </row>
    <row r="1053" spans="1:11" ht="60" customHeight="1" x14ac:dyDescent="0.2">
      <c r="A1053" s="2">
        <v>1050</v>
      </c>
      <c r="B1053" s="3" t="str">
        <f t="shared" si="175"/>
        <v>TNF-alpha</v>
      </c>
      <c r="C1053" s="3" t="str">
        <f t="shared" si="176"/>
        <v>TNF</v>
      </c>
      <c r="D1053" s="3" t="str">
        <f t="shared" si="177"/>
        <v>TNFA_HUMAN</v>
      </c>
      <c r="E1053" s="2" t="s">
        <v>21</v>
      </c>
      <c r="F1053" s="3" t="str">
        <f t="shared" si="178"/>
        <v>Tumor necrosis factor</v>
      </c>
      <c r="G1053" s="4" t="str">
        <f t="shared" si="180"/>
        <v>Adalimumab</v>
      </c>
      <c r="H1053" s="3" t="str">
        <f>HYPERLINK("https://www.cortellis.com/drugdiscovery/entity/biomarkers/50818","12 protein Lyme disease panel")</f>
        <v>12 protein Lyme disease panel</v>
      </c>
      <c r="I1053" s="2" t="s">
        <v>23</v>
      </c>
      <c r="J1053" s="2" t="s">
        <v>17</v>
      </c>
      <c r="K1053" s="4" t="str">
        <f>HYPERLINK("https://www.cortellis.com/drugdiscovery/result/proxy/related-content/biomarkers/genestargets/50818","C-C motif chemokine ligand 2; interferon gamma; tumor necrosis factor")</f>
        <v>C-C motif chemokine ligand 2; interferon gamma; tumor necrosis factor</v>
      </c>
    </row>
    <row r="1054" spans="1:11" ht="60" customHeight="1" x14ac:dyDescent="0.2">
      <c r="A1054" s="2">
        <v>1051</v>
      </c>
      <c r="B1054" s="3" t="str">
        <f t="shared" si="175"/>
        <v>TNF-alpha</v>
      </c>
      <c r="C1054" s="3" t="str">
        <f t="shared" si="176"/>
        <v>TNF</v>
      </c>
      <c r="D1054" s="3" t="str">
        <f t="shared" si="177"/>
        <v>TNFA_HUMAN</v>
      </c>
      <c r="E1054" s="2" t="s">
        <v>21</v>
      </c>
      <c r="F1054" s="3" t="str">
        <f t="shared" si="178"/>
        <v>Tumor necrosis factor</v>
      </c>
      <c r="G1054" s="4" t="str">
        <f t="shared" si="180"/>
        <v>Adalimumab</v>
      </c>
      <c r="H1054" s="3" t="str">
        <f>HYPERLINK("https://www.cortellis.com/drugdiscovery/entity/biomarkers/51292","37-gene expression major depression panel")</f>
        <v>37-gene expression major depression panel</v>
      </c>
      <c r="I1054" s="2" t="s">
        <v>23</v>
      </c>
      <c r="J1054" s="2" t="s">
        <v>19</v>
      </c>
      <c r="K1054" s="4" t="str">
        <f>HYPERLINK("https://www.cortellis.com/drugdiscovery/result/proxy/related-content/biomarkers/genestargets/51292","C-C motif chemokine ligand 2; tumor necrosis factor")</f>
        <v>C-C motif chemokine ligand 2; tumor necrosis factor</v>
      </c>
    </row>
    <row r="1055" spans="1:11" ht="60" customHeight="1" x14ac:dyDescent="0.2">
      <c r="A1055" s="2">
        <v>1052</v>
      </c>
      <c r="B1055" s="3" t="str">
        <f t="shared" ref="B1055:B1118" si="181">HYPERLINK("https://portal.genego.com/cgi/entity_page.cgi?term=100&amp;id=4487","TNF-alpha")</f>
        <v>TNF-alpha</v>
      </c>
      <c r="C1055" s="3" t="str">
        <f t="shared" ref="C1055:C1118" si="182">HYPERLINK("https://portal.genego.com/cgi/entity_page.cgi?term=20&amp;id=-1163959157","TNF")</f>
        <v>TNF</v>
      </c>
      <c r="D1055" s="3" t="str">
        <f t="shared" ref="D1055:D1118" si="183">HYPERLINK("https://portal.genego.com/cgi/entity_page.cgi?term=7&amp;id=2020057249","TNFA_HUMAN")</f>
        <v>TNFA_HUMAN</v>
      </c>
      <c r="E1055" s="2" t="s">
        <v>21</v>
      </c>
      <c r="F1055" s="3" t="str">
        <f t="shared" ref="F1055:F1118" si="184">HYPERLINK("https://portal.genego.com/cgi/entity_page.cgi?term=100&amp;id=4487","Tumor necrosis factor")</f>
        <v>Tumor necrosis factor</v>
      </c>
      <c r="G1055" s="4" t="str">
        <f t="shared" si="180"/>
        <v>Adalimumab</v>
      </c>
      <c r="H1055" s="3" t="str">
        <f>HYPERLINK("https://www.cortellis.com/drugdiscovery/entity/biomarkers/57224","21-protein mild cognitive impairment panel")</f>
        <v>21-protein mild cognitive impairment panel</v>
      </c>
      <c r="I1055" s="2" t="s">
        <v>23</v>
      </c>
      <c r="J1055" s="2" t="s">
        <v>19</v>
      </c>
      <c r="K1055" s="4" t="str">
        <f>HYPERLINK("https://www.cortellis.com/drugdiscovery/result/proxy/related-content/biomarkers/genestargets/57224","interleukin 7; tenascin C; tumor necrosis factor")</f>
        <v>interleukin 7; tenascin C; tumor necrosis factor</v>
      </c>
    </row>
    <row r="1056" spans="1:11" ht="60" customHeight="1" x14ac:dyDescent="0.2">
      <c r="A1056" s="2">
        <v>1053</v>
      </c>
      <c r="B1056" s="3" t="str">
        <f t="shared" si="181"/>
        <v>TNF-alpha</v>
      </c>
      <c r="C1056" s="3" t="str">
        <f t="shared" si="182"/>
        <v>TNF</v>
      </c>
      <c r="D1056" s="3" t="str">
        <f t="shared" si="183"/>
        <v>TNFA_HUMAN</v>
      </c>
      <c r="E1056" s="2" t="s">
        <v>21</v>
      </c>
      <c r="F1056" s="3" t="str">
        <f t="shared" si="184"/>
        <v>Tumor necrosis factor</v>
      </c>
      <c r="G1056" s="4" t="str">
        <f t="shared" si="180"/>
        <v>Adalimumab</v>
      </c>
      <c r="H1056" s="3" t="str">
        <f>HYPERLINK("https://www.cortellis.com/drugdiscovery/entity/biomarkers/57250","9-protein non-muscle invasive bladder cancer panel")</f>
        <v>9-protein non-muscle invasive bladder cancer panel</v>
      </c>
      <c r="I1056" s="2" t="s">
        <v>18</v>
      </c>
      <c r="J1056" s="2" t="s">
        <v>17</v>
      </c>
      <c r="K1056" s="4" t="str">
        <f>HYPERLINK("https://www.cortellis.com/drugdiscovery/result/proxy/related-content/biomarkers/genestargets/57250","interferon gamma; interleukin 12B; tumor necrosis factor")</f>
        <v>interferon gamma; interleukin 12B; tumor necrosis factor</v>
      </c>
    </row>
    <row r="1057" spans="1:11" ht="60" customHeight="1" x14ac:dyDescent="0.2">
      <c r="A1057" s="2">
        <v>1054</v>
      </c>
      <c r="B1057" s="3" t="str">
        <f t="shared" si="181"/>
        <v>TNF-alpha</v>
      </c>
      <c r="C1057" s="3" t="str">
        <f t="shared" si="182"/>
        <v>TNF</v>
      </c>
      <c r="D1057" s="3" t="str">
        <f t="shared" si="183"/>
        <v>TNFA_HUMAN</v>
      </c>
      <c r="E1057" s="2" t="s">
        <v>21</v>
      </c>
      <c r="F1057" s="3" t="str">
        <f t="shared" si="184"/>
        <v>Tumor necrosis factor</v>
      </c>
      <c r="G1057" s="4" t="str">
        <f t="shared" si="180"/>
        <v>Adalimumab</v>
      </c>
      <c r="H1057" s="3" t="str">
        <f>HYPERLINK("https://www.cortellis.com/drugdiscovery/entity/biomarkers/62155","19-protein rhegmatogenous retinal detachment panel")</f>
        <v>19-protein rhegmatogenous retinal detachment panel</v>
      </c>
      <c r="I1057" s="2" t="s">
        <v>24</v>
      </c>
      <c r="J1057" s="2" t="s">
        <v>17</v>
      </c>
      <c r="K1057" s="4" t="str">
        <f>HYPERLINK("https://www.cortellis.com/drugdiscovery/result/proxy/related-content/biomarkers/genestargets/62155","C-C motif chemokine ligand 2; interleukin 12B; tumor necrosis factor")</f>
        <v>C-C motif chemokine ligand 2; interleukin 12B; tumor necrosis factor</v>
      </c>
    </row>
    <row r="1058" spans="1:11" ht="60" customHeight="1" x14ac:dyDescent="0.2">
      <c r="A1058" s="2">
        <v>1055</v>
      </c>
      <c r="B1058" s="3" t="str">
        <f t="shared" si="181"/>
        <v>TNF-alpha</v>
      </c>
      <c r="C1058" s="3" t="str">
        <f t="shared" si="182"/>
        <v>TNF</v>
      </c>
      <c r="D1058" s="3" t="str">
        <f t="shared" si="183"/>
        <v>TNFA_HUMAN</v>
      </c>
      <c r="E1058" s="2" t="s">
        <v>21</v>
      </c>
      <c r="F1058" s="3" t="str">
        <f t="shared" si="184"/>
        <v>Tumor necrosis factor</v>
      </c>
      <c r="G1058" s="4" t="str">
        <f t="shared" si="180"/>
        <v>Adalimumab</v>
      </c>
      <c r="H1058" s="3" t="str">
        <f>HYPERLINK("https://www.cortellis.com/drugdiscovery/entity/biomarkers/62663","9-protein immunological disorders panel")</f>
        <v>9-protein immunological disorders panel</v>
      </c>
      <c r="I1058" s="2" t="s">
        <v>24</v>
      </c>
      <c r="J1058" s="2" t="s">
        <v>17</v>
      </c>
      <c r="K1058" s="4" t="str">
        <f>HYPERLINK("https://www.cortellis.com/drugdiscovery/result/proxy/related-content/biomarkers/genestargets/62663","C-C motif chemokine ligand 2; interferon gamma; tumor necrosis factor")</f>
        <v>C-C motif chemokine ligand 2; interferon gamma; tumor necrosis factor</v>
      </c>
    </row>
    <row r="1059" spans="1:11" ht="60" customHeight="1" x14ac:dyDescent="0.2">
      <c r="A1059" s="2">
        <v>1056</v>
      </c>
      <c r="B1059" s="3" t="str">
        <f t="shared" si="181"/>
        <v>TNF-alpha</v>
      </c>
      <c r="C1059" s="3" t="str">
        <f t="shared" si="182"/>
        <v>TNF</v>
      </c>
      <c r="D1059" s="3" t="str">
        <f t="shared" si="183"/>
        <v>TNFA_HUMAN</v>
      </c>
      <c r="E1059" s="2" t="s">
        <v>21</v>
      </c>
      <c r="F1059" s="3" t="str">
        <f t="shared" si="184"/>
        <v>Tumor necrosis factor</v>
      </c>
      <c r="G1059" s="4" t="str">
        <f t="shared" si="180"/>
        <v>Adalimumab</v>
      </c>
      <c r="H1059" s="3" t="str">
        <f>HYPERLINK("https://www.cortellis.com/drugdiscovery/entity/biomarkers/62730","7-protein Alzheimer's disease panel")</f>
        <v>7-protein Alzheimer's disease panel</v>
      </c>
      <c r="I1059" s="2" t="s">
        <v>23</v>
      </c>
      <c r="J1059" s="2" t="s">
        <v>17</v>
      </c>
      <c r="K1059" s="4" t="str">
        <f>HYPERLINK("https://www.cortellis.com/drugdiscovery/result/proxy/related-content/biomarkers/genestargets/62730","tumor necrosis factor")</f>
        <v>tumor necrosis factor</v>
      </c>
    </row>
    <row r="1060" spans="1:11" ht="60" customHeight="1" x14ac:dyDescent="0.2">
      <c r="A1060" s="2">
        <v>1057</v>
      </c>
      <c r="B1060" s="3" t="str">
        <f t="shared" si="181"/>
        <v>TNF-alpha</v>
      </c>
      <c r="C1060" s="3" t="str">
        <f t="shared" si="182"/>
        <v>TNF</v>
      </c>
      <c r="D1060" s="3" t="str">
        <f t="shared" si="183"/>
        <v>TNFA_HUMAN</v>
      </c>
      <c r="E1060" s="2" t="s">
        <v>21</v>
      </c>
      <c r="F1060" s="3" t="str">
        <f t="shared" si="184"/>
        <v>Tumor necrosis factor</v>
      </c>
      <c r="G1060" s="4" t="str">
        <f t="shared" si="180"/>
        <v>Adalimumab</v>
      </c>
      <c r="H1060" s="3" t="str">
        <f>HYPERLINK("https://www.cortellis.com/drugdiscovery/entity/biomarkers/62746","5-protein renal disorder panel")</f>
        <v>5-protein renal disorder panel</v>
      </c>
      <c r="I1060" s="2" t="s">
        <v>25</v>
      </c>
      <c r="J1060" s="2" t="s">
        <v>17</v>
      </c>
      <c r="K1060" s="4" t="str">
        <f>HYPERLINK("https://www.cortellis.com/drugdiscovery/result/proxy/related-content/biomarkers/genestargets/62746","tumor necrosis factor")</f>
        <v>tumor necrosis factor</v>
      </c>
    </row>
    <row r="1061" spans="1:11" ht="60" customHeight="1" x14ac:dyDescent="0.2">
      <c r="A1061" s="2">
        <v>1058</v>
      </c>
      <c r="B1061" s="3" t="str">
        <f t="shared" si="181"/>
        <v>TNF-alpha</v>
      </c>
      <c r="C1061" s="3" t="str">
        <f t="shared" si="182"/>
        <v>TNF</v>
      </c>
      <c r="D1061" s="3" t="str">
        <f t="shared" si="183"/>
        <v>TNFA_HUMAN</v>
      </c>
      <c r="E1061" s="2" t="s">
        <v>21</v>
      </c>
      <c r="F1061" s="3" t="str">
        <f t="shared" si="184"/>
        <v>Tumor necrosis factor</v>
      </c>
      <c r="G1061" s="4" t="str">
        <f t="shared" si="180"/>
        <v>Adalimumab</v>
      </c>
      <c r="H1061" s="3" t="str">
        <f>HYPERLINK("https://www.cortellis.com/drugdiscovery/entity/biomarkers/65259","22-gene expression hepatocellular carcinoma panel")</f>
        <v>22-gene expression hepatocellular carcinoma panel</v>
      </c>
      <c r="I1061" s="2" t="s">
        <v>25</v>
      </c>
      <c r="J1061" s="2" t="s">
        <v>19</v>
      </c>
      <c r="K1061" s="4" t="str">
        <f>HYPERLINK("https://www.cortellis.com/drugdiscovery/result/proxy/related-content/biomarkers/genestargets/65259","tumor necrosis factor")</f>
        <v>tumor necrosis factor</v>
      </c>
    </row>
    <row r="1062" spans="1:11" ht="60" customHeight="1" x14ac:dyDescent="0.2">
      <c r="A1062" s="2">
        <v>1059</v>
      </c>
      <c r="B1062" s="3" t="str">
        <f t="shared" si="181"/>
        <v>TNF-alpha</v>
      </c>
      <c r="C1062" s="3" t="str">
        <f t="shared" si="182"/>
        <v>TNF</v>
      </c>
      <c r="D1062" s="3" t="str">
        <f t="shared" si="183"/>
        <v>TNFA_HUMAN</v>
      </c>
      <c r="E1062" s="2" t="s">
        <v>21</v>
      </c>
      <c r="F1062" s="3" t="str">
        <f t="shared" si="184"/>
        <v>Tumor necrosis factor</v>
      </c>
      <c r="G1062" s="4" t="str">
        <f t="shared" ref="G1062:G1088" si="185">HYPERLINK("https://portal.genego.com/cgi/entity_page.cgi?term=7&amp;id=265969584","Aloperine")</f>
        <v>Aloperine</v>
      </c>
      <c r="H1062" s="3" t="str">
        <f>HYPERLINK("https://www.cortellis.com/drugdiscovery/entity/biomarkers/274","Tumor necrosis factor")</f>
        <v>Tumor necrosis factor</v>
      </c>
      <c r="I1062" s="2" t="s">
        <v>22</v>
      </c>
      <c r="J1062" s="2" t="s">
        <v>15</v>
      </c>
      <c r="K1062" s="4" t="str">
        <f>HYPERLINK("https://www.cortellis.com/drugdiscovery/result/proxy/related-content/biomarkers/genestargets/274","tumor necrosis factor")</f>
        <v>tumor necrosis factor</v>
      </c>
    </row>
    <row r="1063" spans="1:11" ht="60" customHeight="1" x14ac:dyDescent="0.2">
      <c r="A1063" s="2">
        <v>1060</v>
      </c>
      <c r="B1063" s="3" t="str">
        <f t="shared" si="181"/>
        <v>TNF-alpha</v>
      </c>
      <c r="C1063" s="3" t="str">
        <f t="shared" si="182"/>
        <v>TNF</v>
      </c>
      <c r="D1063" s="3" t="str">
        <f t="shared" si="183"/>
        <v>TNFA_HUMAN</v>
      </c>
      <c r="E1063" s="2" t="s">
        <v>21</v>
      </c>
      <c r="F1063" s="3" t="str">
        <f t="shared" si="184"/>
        <v>Tumor necrosis factor</v>
      </c>
      <c r="G1063" s="4" t="str">
        <f t="shared" si="185"/>
        <v>Aloperine</v>
      </c>
      <c r="H1063" s="3" t="str">
        <f>HYPERLINK("https://www.cortellis.com/drugdiscovery/entity/biomarkers/27598","89-protein neurological alzheimer's panel")</f>
        <v>89-protein neurological alzheimer's panel</v>
      </c>
      <c r="I1063" s="2" t="s">
        <v>23</v>
      </c>
      <c r="J1063" s="2" t="s">
        <v>17</v>
      </c>
      <c r="K1063"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064" spans="1:11" ht="60" customHeight="1" x14ac:dyDescent="0.2">
      <c r="A1064" s="2">
        <v>1061</v>
      </c>
      <c r="B1064" s="3" t="str">
        <f t="shared" si="181"/>
        <v>TNF-alpha</v>
      </c>
      <c r="C1064" s="3" t="str">
        <f t="shared" si="182"/>
        <v>TNF</v>
      </c>
      <c r="D1064" s="3" t="str">
        <f t="shared" si="183"/>
        <v>TNFA_HUMAN</v>
      </c>
      <c r="E1064" s="2" t="s">
        <v>21</v>
      </c>
      <c r="F1064" s="3" t="str">
        <f t="shared" si="184"/>
        <v>Tumor necrosis factor</v>
      </c>
      <c r="G1064" s="4" t="str">
        <f t="shared" si="185"/>
        <v>Aloperine</v>
      </c>
      <c r="H1064" s="3" t="str">
        <f>HYPERLINK("https://www.cortellis.com/drugdiscovery/entity/biomarkers/27640","5-protein alzheimer's panel")</f>
        <v>5-protein alzheimer's panel</v>
      </c>
      <c r="I1064" s="2" t="s">
        <v>23</v>
      </c>
      <c r="J1064" s="2" t="s">
        <v>17</v>
      </c>
      <c r="K1064" s="4" t="str">
        <f>HYPERLINK("https://www.cortellis.com/drugdiscovery/result/proxy/related-content/biomarkers/genestargets/27640","tumor necrosis factor")</f>
        <v>tumor necrosis factor</v>
      </c>
    </row>
    <row r="1065" spans="1:11" ht="60" customHeight="1" x14ac:dyDescent="0.2">
      <c r="A1065" s="2">
        <v>1062</v>
      </c>
      <c r="B1065" s="3" t="str">
        <f t="shared" si="181"/>
        <v>TNF-alpha</v>
      </c>
      <c r="C1065" s="3" t="str">
        <f t="shared" si="182"/>
        <v>TNF</v>
      </c>
      <c r="D1065" s="3" t="str">
        <f t="shared" si="183"/>
        <v>TNFA_HUMAN</v>
      </c>
      <c r="E1065" s="2" t="s">
        <v>21</v>
      </c>
      <c r="F1065" s="3" t="str">
        <f t="shared" si="184"/>
        <v>Tumor necrosis factor</v>
      </c>
      <c r="G1065" s="4" t="str">
        <f t="shared" si="185"/>
        <v>Aloperine</v>
      </c>
      <c r="H1065" s="3" t="str">
        <f>HYPERLINK("https://www.cortellis.com/drugdiscovery/entity/biomarkers/27734","6-protein lung cancer panel")</f>
        <v>6-protein lung cancer panel</v>
      </c>
      <c r="I1065" s="2" t="s">
        <v>23</v>
      </c>
      <c r="J1065" s="2" t="s">
        <v>17</v>
      </c>
      <c r="K1065" s="4" t="str">
        <f>HYPERLINK("https://www.cortellis.com/drugdiscovery/result/proxy/related-content/biomarkers/genestargets/27734","interferon gamma; tumor necrosis factor")</f>
        <v>interferon gamma; tumor necrosis factor</v>
      </c>
    </row>
    <row r="1066" spans="1:11" ht="60" customHeight="1" x14ac:dyDescent="0.2">
      <c r="A1066" s="2">
        <v>1063</v>
      </c>
      <c r="B1066" s="3" t="str">
        <f t="shared" si="181"/>
        <v>TNF-alpha</v>
      </c>
      <c r="C1066" s="3" t="str">
        <f t="shared" si="182"/>
        <v>TNF</v>
      </c>
      <c r="D1066" s="3" t="str">
        <f t="shared" si="183"/>
        <v>TNFA_HUMAN</v>
      </c>
      <c r="E1066" s="2" t="s">
        <v>21</v>
      </c>
      <c r="F1066" s="3" t="str">
        <f t="shared" si="184"/>
        <v>Tumor necrosis factor</v>
      </c>
      <c r="G1066" s="4" t="str">
        <f t="shared" si="185"/>
        <v>Aloperine</v>
      </c>
      <c r="H1066" s="3" t="str">
        <f>HYPERLINK("https://www.cortellis.com/drugdiscovery/entity/biomarkers/28148","11-gene expression lung cancer panel")</f>
        <v>11-gene expression lung cancer panel</v>
      </c>
      <c r="I1066" s="2" t="s">
        <v>25</v>
      </c>
      <c r="J1066" s="2" t="s">
        <v>19</v>
      </c>
      <c r="K1066" s="4" t="str">
        <f>HYPERLINK("https://www.cortellis.com/drugdiscovery/result/proxy/related-content/biomarkers/genestargets/28148","interferon gamma; interleukin 15; tumor necrosis factor")</f>
        <v>interferon gamma; interleukin 15; tumor necrosis factor</v>
      </c>
    </row>
    <row r="1067" spans="1:11" ht="60" customHeight="1" x14ac:dyDescent="0.2">
      <c r="A1067" s="2">
        <v>1064</v>
      </c>
      <c r="B1067" s="3" t="str">
        <f t="shared" si="181"/>
        <v>TNF-alpha</v>
      </c>
      <c r="C1067" s="3" t="str">
        <f t="shared" si="182"/>
        <v>TNF</v>
      </c>
      <c r="D1067" s="3" t="str">
        <f t="shared" si="183"/>
        <v>TNFA_HUMAN</v>
      </c>
      <c r="E1067" s="2" t="s">
        <v>21</v>
      </c>
      <c r="F1067" s="3" t="str">
        <f t="shared" si="184"/>
        <v>Tumor necrosis factor</v>
      </c>
      <c r="G1067" s="4" t="str">
        <f t="shared" si="185"/>
        <v>Aloperine</v>
      </c>
      <c r="H1067" s="3" t="str">
        <f>HYPERLINK("https://www.cortellis.com/drugdiscovery/entity/biomarkers/28647","15-gene expression lung cancer panel")</f>
        <v>15-gene expression lung cancer panel</v>
      </c>
      <c r="I1067" s="2" t="s">
        <v>20</v>
      </c>
      <c r="J1067" s="2" t="s">
        <v>19</v>
      </c>
      <c r="K1067" s="4" t="str">
        <f>HYPERLINK("https://www.cortellis.com/drugdiscovery/result/proxy/related-content/biomarkers/genestargets/28647","interferon gamma; interleukin 15; tumor necrosis factor")</f>
        <v>interferon gamma; interleukin 15; tumor necrosis factor</v>
      </c>
    </row>
    <row r="1068" spans="1:11" ht="60" customHeight="1" x14ac:dyDescent="0.2">
      <c r="A1068" s="2">
        <v>1065</v>
      </c>
      <c r="B1068" s="3" t="str">
        <f t="shared" si="181"/>
        <v>TNF-alpha</v>
      </c>
      <c r="C1068" s="3" t="str">
        <f t="shared" si="182"/>
        <v>TNF</v>
      </c>
      <c r="D1068" s="3" t="str">
        <f t="shared" si="183"/>
        <v>TNFA_HUMAN</v>
      </c>
      <c r="E1068" s="2" t="s">
        <v>21</v>
      </c>
      <c r="F1068" s="3" t="str">
        <f t="shared" si="184"/>
        <v>Tumor necrosis factor</v>
      </c>
      <c r="G1068" s="4" t="str">
        <f t="shared" si="185"/>
        <v>Aloperine</v>
      </c>
      <c r="H1068" s="3" t="str">
        <f>HYPERLINK("https://www.cortellis.com/drugdiscovery/entity/biomarkers/29676","277-gene expression lung cancer panel")</f>
        <v>277-gene expression lung cancer panel</v>
      </c>
      <c r="I1068" s="2" t="s">
        <v>25</v>
      </c>
      <c r="J1068" s="2" t="s">
        <v>19</v>
      </c>
      <c r="K1068" s="4" t="str">
        <f>HYPERLINK("https://www.cortellis.com/drugdiscovery/result/proxy/related-content/biomarkers/genestargets/29676","cyclin D1; tumor necrosis factor")</f>
        <v>cyclin D1; tumor necrosis factor</v>
      </c>
    </row>
    <row r="1069" spans="1:11" ht="60" customHeight="1" x14ac:dyDescent="0.2">
      <c r="A1069" s="2">
        <v>1066</v>
      </c>
      <c r="B1069" s="3" t="str">
        <f t="shared" si="181"/>
        <v>TNF-alpha</v>
      </c>
      <c r="C1069" s="3" t="str">
        <f t="shared" si="182"/>
        <v>TNF</v>
      </c>
      <c r="D1069" s="3" t="str">
        <f t="shared" si="183"/>
        <v>TNFA_HUMAN</v>
      </c>
      <c r="E1069" s="2" t="s">
        <v>21</v>
      </c>
      <c r="F1069" s="3" t="str">
        <f t="shared" si="184"/>
        <v>Tumor necrosis factor</v>
      </c>
      <c r="G1069" s="4" t="str">
        <f t="shared" si="185"/>
        <v>Aloperine</v>
      </c>
      <c r="H1069" s="3" t="str">
        <f>HYPERLINK("https://www.cortellis.com/drugdiscovery/entity/biomarkers/30768","11-protein cardiovascular panel")</f>
        <v>11-protein cardiovascular panel</v>
      </c>
      <c r="I1069" s="2" t="s">
        <v>23</v>
      </c>
      <c r="J1069" s="2" t="s">
        <v>17</v>
      </c>
      <c r="K1069" s="4" t="str">
        <f>HYPERLINK("https://www.cortellis.com/drugdiscovery/result/proxy/related-content/biomarkers/genestargets/30768","interferon gamma; interleukin 12B; tumor necrosis factor")</f>
        <v>interferon gamma; interleukin 12B; tumor necrosis factor</v>
      </c>
    </row>
    <row r="1070" spans="1:11" ht="60" customHeight="1" x14ac:dyDescent="0.2">
      <c r="A1070" s="2">
        <v>1067</v>
      </c>
      <c r="B1070" s="3" t="str">
        <f t="shared" si="181"/>
        <v>TNF-alpha</v>
      </c>
      <c r="C1070" s="3" t="str">
        <f t="shared" si="182"/>
        <v>TNF</v>
      </c>
      <c r="D1070" s="3" t="str">
        <f t="shared" si="183"/>
        <v>TNFA_HUMAN</v>
      </c>
      <c r="E1070" s="2" t="s">
        <v>21</v>
      </c>
      <c r="F1070" s="3" t="str">
        <f t="shared" si="184"/>
        <v>Tumor necrosis factor</v>
      </c>
      <c r="G1070" s="4" t="str">
        <f t="shared" si="185"/>
        <v>Aloperine</v>
      </c>
      <c r="H1070" s="3" t="str">
        <f>HYPERLINK("https://www.cortellis.com/drugdiscovery/entity/biomarkers/34385","30-protein alzheimer's panel")</f>
        <v>30-protein alzheimer's panel</v>
      </c>
      <c r="I1070" s="2" t="s">
        <v>23</v>
      </c>
      <c r="J1070" s="2" t="s">
        <v>17</v>
      </c>
      <c r="K1070" s="4" t="str">
        <f>HYPERLINK("https://www.cortellis.com/drugdiscovery/result/proxy/related-content/biomarkers/genestargets/34385","C-C motif chemokine ligand 2; interleukin 7; tenascin C; tumor necrosis factor")</f>
        <v>C-C motif chemokine ligand 2; interleukin 7; tenascin C; tumor necrosis factor</v>
      </c>
    </row>
    <row r="1071" spans="1:11" ht="60" customHeight="1" x14ac:dyDescent="0.2">
      <c r="A1071" s="2">
        <v>1068</v>
      </c>
      <c r="B1071" s="3" t="str">
        <f t="shared" si="181"/>
        <v>TNF-alpha</v>
      </c>
      <c r="C1071" s="3" t="str">
        <f t="shared" si="182"/>
        <v>TNF</v>
      </c>
      <c r="D1071" s="3" t="str">
        <f t="shared" si="183"/>
        <v>TNFA_HUMAN</v>
      </c>
      <c r="E1071" s="2" t="s">
        <v>21</v>
      </c>
      <c r="F1071" s="3" t="str">
        <f t="shared" si="184"/>
        <v>Tumor necrosis factor</v>
      </c>
      <c r="G1071" s="4" t="str">
        <f t="shared" si="185"/>
        <v>Aloperine</v>
      </c>
      <c r="H1071" s="3" t="str">
        <f>HYPERLINK("https://www.cortellis.com/drugdiscovery/entity/biomarkers/34437","3-protein 3-autoantibody lung cancer panel")</f>
        <v>3-protein 3-autoantibody lung cancer panel</v>
      </c>
      <c r="I1071" s="2" t="s">
        <v>23</v>
      </c>
      <c r="J1071" s="2" t="s">
        <v>17</v>
      </c>
      <c r="K1071" s="4" t="str">
        <f>HYPERLINK("https://www.cortellis.com/drugdiscovery/result/proxy/related-content/biomarkers/genestargets/34437","tumor necrosis factor")</f>
        <v>tumor necrosis factor</v>
      </c>
    </row>
    <row r="1072" spans="1:11" ht="60" customHeight="1" x14ac:dyDescent="0.2">
      <c r="A1072" s="2">
        <v>1069</v>
      </c>
      <c r="B1072" s="3" t="str">
        <f t="shared" si="181"/>
        <v>TNF-alpha</v>
      </c>
      <c r="C1072" s="3" t="str">
        <f t="shared" si="182"/>
        <v>TNF</v>
      </c>
      <c r="D1072" s="3" t="str">
        <f t="shared" si="183"/>
        <v>TNFA_HUMAN</v>
      </c>
      <c r="E1072" s="2" t="s">
        <v>21</v>
      </c>
      <c r="F1072" s="3" t="str">
        <f t="shared" si="184"/>
        <v>Tumor necrosis factor</v>
      </c>
      <c r="G1072" s="4" t="str">
        <f t="shared" si="185"/>
        <v>Aloperine</v>
      </c>
      <c r="H1072" s="3" t="str">
        <f>HYPERLINK("https://www.cortellis.com/drugdiscovery/entity/biomarkers/35424","60-gene expression ovarian cancer panel")</f>
        <v>60-gene expression ovarian cancer panel</v>
      </c>
      <c r="I1072" s="2" t="s">
        <v>18</v>
      </c>
      <c r="J1072" s="2" t="s">
        <v>19</v>
      </c>
      <c r="K1072" s="4" t="str">
        <f>HYPERLINK("https://www.cortellis.com/drugdiscovery/result/proxy/related-content/biomarkers/genestargets/35424","tumor necrosis factor")</f>
        <v>tumor necrosis factor</v>
      </c>
    </row>
    <row r="1073" spans="1:11" ht="60" customHeight="1" x14ac:dyDescent="0.2">
      <c r="A1073" s="2">
        <v>1070</v>
      </c>
      <c r="B1073" s="3" t="str">
        <f t="shared" si="181"/>
        <v>TNF-alpha</v>
      </c>
      <c r="C1073" s="3" t="str">
        <f t="shared" si="182"/>
        <v>TNF</v>
      </c>
      <c r="D1073" s="3" t="str">
        <f t="shared" si="183"/>
        <v>TNFA_HUMAN</v>
      </c>
      <c r="E1073" s="2" t="s">
        <v>21</v>
      </c>
      <c r="F1073" s="3" t="str">
        <f t="shared" si="184"/>
        <v>Tumor necrosis factor</v>
      </c>
      <c r="G1073" s="4" t="str">
        <f t="shared" si="185"/>
        <v>Aloperine</v>
      </c>
      <c r="H1073" s="3" t="str">
        <f>HYPERLINK("https://www.cortellis.com/drugdiscovery/entity/biomarkers/36125","10-protein respiratory panel")</f>
        <v>10-protein respiratory panel</v>
      </c>
      <c r="I1073" s="2" t="s">
        <v>25</v>
      </c>
      <c r="J1073" s="2" t="s">
        <v>17</v>
      </c>
      <c r="K1073" s="4" t="str">
        <f>HYPERLINK("https://www.cortellis.com/drugdiscovery/result/proxy/related-content/biomarkers/genestargets/36125","interferon gamma; tumor necrosis factor")</f>
        <v>interferon gamma; tumor necrosis factor</v>
      </c>
    </row>
    <row r="1074" spans="1:11" ht="60" customHeight="1" x14ac:dyDescent="0.2">
      <c r="A1074" s="2">
        <v>1071</v>
      </c>
      <c r="B1074" s="3" t="str">
        <f t="shared" si="181"/>
        <v>TNF-alpha</v>
      </c>
      <c r="C1074" s="3" t="str">
        <f t="shared" si="182"/>
        <v>TNF</v>
      </c>
      <c r="D1074" s="3" t="str">
        <f t="shared" si="183"/>
        <v>TNFA_HUMAN</v>
      </c>
      <c r="E1074" s="2" t="s">
        <v>21</v>
      </c>
      <c r="F1074" s="3" t="str">
        <f t="shared" si="184"/>
        <v>Tumor necrosis factor</v>
      </c>
      <c r="G1074" s="4" t="str">
        <f t="shared" si="185"/>
        <v>Aloperine</v>
      </c>
      <c r="H1074" s="3" t="str">
        <f>HYPERLINK("https://www.cortellis.com/drugdiscovery/entity/biomarkers/36127","3-protein respiratory panel")</f>
        <v>3-protein respiratory panel</v>
      </c>
      <c r="I1074" s="2" t="s">
        <v>25</v>
      </c>
      <c r="J1074" s="2" t="s">
        <v>17</v>
      </c>
      <c r="K1074" s="4" t="str">
        <f>HYPERLINK("https://www.cortellis.com/drugdiscovery/result/proxy/related-content/biomarkers/genestargets/36127","interferon gamma; tumor necrosis factor")</f>
        <v>interferon gamma; tumor necrosis factor</v>
      </c>
    </row>
    <row r="1075" spans="1:11" ht="60" customHeight="1" x14ac:dyDescent="0.2">
      <c r="A1075" s="2">
        <v>1072</v>
      </c>
      <c r="B1075" s="3" t="str">
        <f t="shared" si="181"/>
        <v>TNF-alpha</v>
      </c>
      <c r="C1075" s="3" t="str">
        <f t="shared" si="182"/>
        <v>TNF</v>
      </c>
      <c r="D1075" s="3" t="str">
        <f t="shared" si="183"/>
        <v>TNFA_HUMAN</v>
      </c>
      <c r="E1075" s="2" t="s">
        <v>21</v>
      </c>
      <c r="F1075" s="3" t="str">
        <f t="shared" si="184"/>
        <v>Tumor necrosis factor</v>
      </c>
      <c r="G1075" s="4" t="str">
        <f t="shared" si="185"/>
        <v>Aloperine</v>
      </c>
      <c r="H1075" s="3" t="str">
        <f>HYPERLINK("https://www.cortellis.com/drugdiscovery/entity/biomarkers/37520","4-protein bacteremia panel")</f>
        <v>4-protein bacteremia panel</v>
      </c>
      <c r="I1075" s="2" t="s">
        <v>23</v>
      </c>
      <c r="J1075" s="2" t="s">
        <v>17</v>
      </c>
      <c r="K1075" s="4" t="str">
        <f>HYPERLINK("https://www.cortellis.com/drugdiscovery/result/proxy/related-content/biomarkers/genestargets/37520","tumor necrosis factor")</f>
        <v>tumor necrosis factor</v>
      </c>
    </row>
    <row r="1076" spans="1:11" ht="60" customHeight="1" x14ac:dyDescent="0.2">
      <c r="A1076" s="2">
        <v>1073</v>
      </c>
      <c r="B1076" s="3" t="str">
        <f t="shared" si="181"/>
        <v>TNF-alpha</v>
      </c>
      <c r="C1076" s="3" t="str">
        <f t="shared" si="182"/>
        <v>TNF</v>
      </c>
      <c r="D1076" s="3" t="str">
        <f t="shared" si="183"/>
        <v>TNFA_HUMAN</v>
      </c>
      <c r="E1076" s="2" t="s">
        <v>21</v>
      </c>
      <c r="F1076" s="3" t="str">
        <f t="shared" si="184"/>
        <v>Tumor necrosis factor</v>
      </c>
      <c r="G1076" s="4" t="str">
        <f t="shared" si="185"/>
        <v>Aloperine</v>
      </c>
      <c r="H1076" s="3" t="str">
        <f>HYPERLINK("https://www.cortellis.com/drugdiscovery/entity/biomarkers/43870","17-genomic 14-protein 3-biochemical irritable bowel syndrome panel")</f>
        <v>17-genomic 14-protein 3-biochemical irritable bowel syndrome panel</v>
      </c>
      <c r="I1076" s="2" t="s">
        <v>52</v>
      </c>
      <c r="J1076" s="2" t="s">
        <v>53</v>
      </c>
      <c r="K1076" s="4" t="str">
        <f>HYPERLINK("https://www.cortellis.com/drugdiscovery/result/proxy/related-content/biomarkers/genestargets/43870","interleukin 12B; tumor necrosis factor")</f>
        <v>interleukin 12B; tumor necrosis factor</v>
      </c>
    </row>
    <row r="1077" spans="1:11" ht="60" customHeight="1" x14ac:dyDescent="0.2">
      <c r="A1077" s="2">
        <v>1074</v>
      </c>
      <c r="B1077" s="3" t="str">
        <f t="shared" si="181"/>
        <v>TNF-alpha</v>
      </c>
      <c r="C1077" s="3" t="str">
        <f t="shared" si="182"/>
        <v>TNF</v>
      </c>
      <c r="D1077" s="3" t="str">
        <f t="shared" si="183"/>
        <v>TNFA_HUMAN</v>
      </c>
      <c r="E1077" s="2" t="s">
        <v>21</v>
      </c>
      <c r="F1077" s="3" t="str">
        <f t="shared" si="184"/>
        <v>Tumor necrosis factor</v>
      </c>
      <c r="G1077" s="4" t="str">
        <f t="shared" si="185"/>
        <v>Aloperine</v>
      </c>
      <c r="H1077" s="3" t="str">
        <f>HYPERLINK("https://www.cortellis.com/drugdiscovery/entity/biomarkers/46842","7-protein non small cell lung cancer panel")</f>
        <v>7-protein non small cell lung cancer panel</v>
      </c>
      <c r="I1077" s="2" t="s">
        <v>23</v>
      </c>
      <c r="J1077" s="2" t="s">
        <v>17</v>
      </c>
      <c r="K1077" s="4" t="str">
        <f>HYPERLINK("https://www.cortellis.com/drugdiscovery/result/proxy/related-content/biomarkers/genestargets/46842","tumor necrosis factor")</f>
        <v>tumor necrosis factor</v>
      </c>
    </row>
    <row r="1078" spans="1:11" ht="60" customHeight="1" x14ac:dyDescent="0.2">
      <c r="A1078" s="2">
        <v>1075</v>
      </c>
      <c r="B1078" s="3" t="str">
        <f t="shared" si="181"/>
        <v>TNF-alpha</v>
      </c>
      <c r="C1078" s="3" t="str">
        <f t="shared" si="182"/>
        <v>TNF</v>
      </c>
      <c r="D1078" s="3" t="str">
        <f t="shared" si="183"/>
        <v>TNFA_HUMAN</v>
      </c>
      <c r="E1078" s="2" t="s">
        <v>21</v>
      </c>
      <c r="F1078" s="3" t="str">
        <f t="shared" si="184"/>
        <v>Tumor necrosis factor</v>
      </c>
      <c r="G1078" s="4" t="str">
        <f t="shared" si="185"/>
        <v>Aloperine</v>
      </c>
      <c r="H1078" s="3" t="str">
        <f>HYPERLINK("https://www.cortellis.com/drugdiscovery/entity/biomarkers/50816","10-gene lyme disease panel")</f>
        <v>10-gene lyme disease panel</v>
      </c>
      <c r="I1078" s="2" t="s">
        <v>23</v>
      </c>
      <c r="J1078" s="2" t="s">
        <v>15</v>
      </c>
      <c r="K1078" s="4" t="str">
        <f>HYPERLINK("https://www.cortellis.com/drugdiscovery/result/proxy/related-content/biomarkers/genestargets/50816","C-C motif chemokine ligand 2; interferon gamma; tumor necrosis factor")</f>
        <v>C-C motif chemokine ligand 2; interferon gamma; tumor necrosis factor</v>
      </c>
    </row>
    <row r="1079" spans="1:11" ht="60" customHeight="1" x14ac:dyDescent="0.2">
      <c r="A1079" s="2">
        <v>1076</v>
      </c>
      <c r="B1079" s="3" t="str">
        <f t="shared" si="181"/>
        <v>TNF-alpha</v>
      </c>
      <c r="C1079" s="3" t="str">
        <f t="shared" si="182"/>
        <v>TNF</v>
      </c>
      <c r="D1079" s="3" t="str">
        <f t="shared" si="183"/>
        <v>TNFA_HUMAN</v>
      </c>
      <c r="E1079" s="2" t="s">
        <v>21</v>
      </c>
      <c r="F1079" s="3" t="str">
        <f t="shared" si="184"/>
        <v>Tumor necrosis factor</v>
      </c>
      <c r="G1079" s="4" t="str">
        <f t="shared" si="185"/>
        <v>Aloperine</v>
      </c>
      <c r="H1079" s="3" t="str">
        <f>HYPERLINK("https://www.cortellis.com/drugdiscovery/entity/biomarkers/50817","11-gene lyme disease panel")</f>
        <v>11-gene lyme disease panel</v>
      </c>
      <c r="I1079" s="2" t="s">
        <v>23</v>
      </c>
      <c r="J1079" s="2" t="s">
        <v>15</v>
      </c>
      <c r="K1079" s="4" t="str">
        <f>HYPERLINK("https://www.cortellis.com/drugdiscovery/result/proxy/related-content/biomarkers/genestargets/50817","C-C motif chemokine ligand 2; interferon gamma; tumor necrosis factor")</f>
        <v>C-C motif chemokine ligand 2; interferon gamma; tumor necrosis factor</v>
      </c>
    </row>
    <row r="1080" spans="1:11" ht="60" customHeight="1" x14ac:dyDescent="0.2">
      <c r="A1080" s="2">
        <v>1077</v>
      </c>
      <c r="B1080" s="3" t="str">
        <f t="shared" si="181"/>
        <v>TNF-alpha</v>
      </c>
      <c r="C1080" s="3" t="str">
        <f t="shared" si="182"/>
        <v>TNF</v>
      </c>
      <c r="D1080" s="3" t="str">
        <f t="shared" si="183"/>
        <v>TNFA_HUMAN</v>
      </c>
      <c r="E1080" s="2" t="s">
        <v>21</v>
      </c>
      <c r="F1080" s="3" t="str">
        <f t="shared" si="184"/>
        <v>Tumor necrosis factor</v>
      </c>
      <c r="G1080" s="4" t="str">
        <f t="shared" si="185"/>
        <v>Aloperine</v>
      </c>
      <c r="H1080" s="3" t="str">
        <f>HYPERLINK("https://www.cortellis.com/drugdiscovery/entity/biomarkers/50818","12 protein Lyme disease panel")</f>
        <v>12 protein Lyme disease panel</v>
      </c>
      <c r="I1080" s="2" t="s">
        <v>23</v>
      </c>
      <c r="J1080" s="2" t="s">
        <v>17</v>
      </c>
      <c r="K1080" s="4" t="str">
        <f>HYPERLINK("https://www.cortellis.com/drugdiscovery/result/proxy/related-content/biomarkers/genestargets/50818","C-C motif chemokine ligand 2; interferon gamma; tumor necrosis factor")</f>
        <v>C-C motif chemokine ligand 2; interferon gamma; tumor necrosis factor</v>
      </c>
    </row>
    <row r="1081" spans="1:11" ht="60" customHeight="1" x14ac:dyDescent="0.2">
      <c r="A1081" s="2">
        <v>1078</v>
      </c>
      <c r="B1081" s="3" t="str">
        <f t="shared" si="181"/>
        <v>TNF-alpha</v>
      </c>
      <c r="C1081" s="3" t="str">
        <f t="shared" si="182"/>
        <v>TNF</v>
      </c>
      <c r="D1081" s="3" t="str">
        <f t="shared" si="183"/>
        <v>TNFA_HUMAN</v>
      </c>
      <c r="E1081" s="2" t="s">
        <v>21</v>
      </c>
      <c r="F1081" s="3" t="str">
        <f t="shared" si="184"/>
        <v>Tumor necrosis factor</v>
      </c>
      <c r="G1081" s="4" t="str">
        <f t="shared" si="185"/>
        <v>Aloperine</v>
      </c>
      <c r="H1081" s="3" t="str">
        <f>HYPERLINK("https://www.cortellis.com/drugdiscovery/entity/biomarkers/51292","37-gene expression major depression panel")</f>
        <v>37-gene expression major depression panel</v>
      </c>
      <c r="I1081" s="2" t="s">
        <v>23</v>
      </c>
      <c r="J1081" s="2" t="s">
        <v>19</v>
      </c>
      <c r="K1081" s="4" t="str">
        <f>HYPERLINK("https://www.cortellis.com/drugdiscovery/result/proxy/related-content/biomarkers/genestargets/51292","C-C motif chemokine ligand 2; tumor necrosis factor")</f>
        <v>C-C motif chemokine ligand 2; tumor necrosis factor</v>
      </c>
    </row>
    <row r="1082" spans="1:11" ht="60" customHeight="1" x14ac:dyDescent="0.2">
      <c r="A1082" s="2">
        <v>1079</v>
      </c>
      <c r="B1082" s="3" t="str">
        <f t="shared" si="181"/>
        <v>TNF-alpha</v>
      </c>
      <c r="C1082" s="3" t="str">
        <f t="shared" si="182"/>
        <v>TNF</v>
      </c>
      <c r="D1082" s="3" t="str">
        <f t="shared" si="183"/>
        <v>TNFA_HUMAN</v>
      </c>
      <c r="E1082" s="2" t="s">
        <v>21</v>
      </c>
      <c r="F1082" s="3" t="str">
        <f t="shared" si="184"/>
        <v>Tumor necrosis factor</v>
      </c>
      <c r="G1082" s="4" t="str">
        <f t="shared" si="185"/>
        <v>Aloperine</v>
      </c>
      <c r="H1082" s="3" t="str">
        <f>HYPERLINK("https://www.cortellis.com/drugdiscovery/entity/biomarkers/57224","21-protein mild cognitive impairment panel")</f>
        <v>21-protein mild cognitive impairment panel</v>
      </c>
      <c r="I1082" s="2" t="s">
        <v>23</v>
      </c>
      <c r="J1082" s="2" t="s">
        <v>19</v>
      </c>
      <c r="K1082" s="4" t="str">
        <f>HYPERLINK("https://www.cortellis.com/drugdiscovery/result/proxy/related-content/biomarkers/genestargets/57224","interleukin 7; tenascin C; tumor necrosis factor")</f>
        <v>interleukin 7; tenascin C; tumor necrosis factor</v>
      </c>
    </row>
    <row r="1083" spans="1:11" ht="60" customHeight="1" x14ac:dyDescent="0.2">
      <c r="A1083" s="2">
        <v>1080</v>
      </c>
      <c r="B1083" s="3" t="str">
        <f t="shared" si="181"/>
        <v>TNF-alpha</v>
      </c>
      <c r="C1083" s="3" t="str">
        <f t="shared" si="182"/>
        <v>TNF</v>
      </c>
      <c r="D1083" s="3" t="str">
        <f t="shared" si="183"/>
        <v>TNFA_HUMAN</v>
      </c>
      <c r="E1083" s="2" t="s">
        <v>21</v>
      </c>
      <c r="F1083" s="3" t="str">
        <f t="shared" si="184"/>
        <v>Tumor necrosis factor</v>
      </c>
      <c r="G1083" s="4" t="str">
        <f t="shared" si="185"/>
        <v>Aloperine</v>
      </c>
      <c r="H1083" s="3" t="str">
        <f>HYPERLINK("https://www.cortellis.com/drugdiscovery/entity/biomarkers/57250","9-protein non-muscle invasive bladder cancer panel")</f>
        <v>9-protein non-muscle invasive bladder cancer panel</v>
      </c>
      <c r="I1083" s="2" t="s">
        <v>18</v>
      </c>
      <c r="J1083" s="2" t="s">
        <v>17</v>
      </c>
      <c r="K1083" s="4" t="str">
        <f>HYPERLINK("https://www.cortellis.com/drugdiscovery/result/proxy/related-content/biomarkers/genestargets/57250","interferon gamma; interleukin 12B; tumor necrosis factor")</f>
        <v>interferon gamma; interleukin 12B; tumor necrosis factor</v>
      </c>
    </row>
    <row r="1084" spans="1:11" ht="60" customHeight="1" x14ac:dyDescent="0.2">
      <c r="A1084" s="2">
        <v>1081</v>
      </c>
      <c r="B1084" s="3" t="str">
        <f t="shared" si="181"/>
        <v>TNF-alpha</v>
      </c>
      <c r="C1084" s="3" t="str">
        <f t="shared" si="182"/>
        <v>TNF</v>
      </c>
      <c r="D1084" s="3" t="str">
        <f t="shared" si="183"/>
        <v>TNFA_HUMAN</v>
      </c>
      <c r="E1084" s="2" t="s">
        <v>21</v>
      </c>
      <c r="F1084" s="3" t="str">
        <f t="shared" si="184"/>
        <v>Tumor necrosis factor</v>
      </c>
      <c r="G1084" s="4" t="str">
        <f t="shared" si="185"/>
        <v>Aloperine</v>
      </c>
      <c r="H1084" s="3" t="str">
        <f>HYPERLINK("https://www.cortellis.com/drugdiscovery/entity/biomarkers/62155","19-protein rhegmatogenous retinal detachment panel")</f>
        <v>19-protein rhegmatogenous retinal detachment panel</v>
      </c>
      <c r="I1084" s="2" t="s">
        <v>24</v>
      </c>
      <c r="J1084" s="2" t="s">
        <v>17</v>
      </c>
      <c r="K1084" s="4" t="str">
        <f>HYPERLINK("https://www.cortellis.com/drugdiscovery/result/proxy/related-content/biomarkers/genestargets/62155","C-C motif chemokine ligand 2; interleukin 12B; tumor necrosis factor")</f>
        <v>C-C motif chemokine ligand 2; interleukin 12B; tumor necrosis factor</v>
      </c>
    </row>
    <row r="1085" spans="1:11" ht="60" customHeight="1" x14ac:dyDescent="0.2">
      <c r="A1085" s="2">
        <v>1082</v>
      </c>
      <c r="B1085" s="3" t="str">
        <f t="shared" si="181"/>
        <v>TNF-alpha</v>
      </c>
      <c r="C1085" s="3" t="str">
        <f t="shared" si="182"/>
        <v>TNF</v>
      </c>
      <c r="D1085" s="3" t="str">
        <f t="shared" si="183"/>
        <v>TNFA_HUMAN</v>
      </c>
      <c r="E1085" s="2" t="s">
        <v>21</v>
      </c>
      <c r="F1085" s="3" t="str">
        <f t="shared" si="184"/>
        <v>Tumor necrosis factor</v>
      </c>
      <c r="G1085" s="4" t="str">
        <f t="shared" si="185"/>
        <v>Aloperine</v>
      </c>
      <c r="H1085" s="3" t="str">
        <f>HYPERLINK("https://www.cortellis.com/drugdiscovery/entity/biomarkers/62663","9-protein immunological disorders panel")</f>
        <v>9-protein immunological disorders panel</v>
      </c>
      <c r="I1085" s="2" t="s">
        <v>24</v>
      </c>
      <c r="J1085" s="2" t="s">
        <v>17</v>
      </c>
      <c r="K1085" s="4" t="str">
        <f>HYPERLINK("https://www.cortellis.com/drugdiscovery/result/proxy/related-content/biomarkers/genestargets/62663","C-C motif chemokine ligand 2; interferon gamma; tumor necrosis factor")</f>
        <v>C-C motif chemokine ligand 2; interferon gamma; tumor necrosis factor</v>
      </c>
    </row>
    <row r="1086" spans="1:11" ht="60" customHeight="1" x14ac:dyDescent="0.2">
      <c r="A1086" s="2">
        <v>1083</v>
      </c>
      <c r="B1086" s="3" t="str">
        <f t="shared" si="181"/>
        <v>TNF-alpha</v>
      </c>
      <c r="C1086" s="3" t="str">
        <f t="shared" si="182"/>
        <v>TNF</v>
      </c>
      <c r="D1086" s="3" t="str">
        <f t="shared" si="183"/>
        <v>TNFA_HUMAN</v>
      </c>
      <c r="E1086" s="2" t="s">
        <v>21</v>
      </c>
      <c r="F1086" s="3" t="str">
        <f t="shared" si="184"/>
        <v>Tumor necrosis factor</v>
      </c>
      <c r="G1086" s="4" t="str">
        <f t="shared" si="185"/>
        <v>Aloperine</v>
      </c>
      <c r="H1086" s="3" t="str">
        <f>HYPERLINK("https://www.cortellis.com/drugdiscovery/entity/biomarkers/62730","7-protein Alzheimer's disease panel")</f>
        <v>7-protein Alzheimer's disease panel</v>
      </c>
      <c r="I1086" s="2" t="s">
        <v>23</v>
      </c>
      <c r="J1086" s="2" t="s">
        <v>17</v>
      </c>
      <c r="K1086" s="4" t="str">
        <f>HYPERLINK("https://www.cortellis.com/drugdiscovery/result/proxy/related-content/biomarkers/genestargets/62730","tumor necrosis factor")</f>
        <v>tumor necrosis factor</v>
      </c>
    </row>
    <row r="1087" spans="1:11" ht="60" customHeight="1" x14ac:dyDescent="0.2">
      <c r="A1087" s="2">
        <v>1084</v>
      </c>
      <c r="B1087" s="3" t="str">
        <f t="shared" si="181"/>
        <v>TNF-alpha</v>
      </c>
      <c r="C1087" s="3" t="str">
        <f t="shared" si="182"/>
        <v>TNF</v>
      </c>
      <c r="D1087" s="3" t="str">
        <f t="shared" si="183"/>
        <v>TNFA_HUMAN</v>
      </c>
      <c r="E1087" s="2" t="s">
        <v>21</v>
      </c>
      <c r="F1087" s="3" t="str">
        <f t="shared" si="184"/>
        <v>Tumor necrosis factor</v>
      </c>
      <c r="G1087" s="4" t="str">
        <f t="shared" si="185"/>
        <v>Aloperine</v>
      </c>
      <c r="H1087" s="3" t="str">
        <f>HYPERLINK("https://www.cortellis.com/drugdiscovery/entity/biomarkers/62746","5-protein renal disorder panel")</f>
        <v>5-protein renal disorder panel</v>
      </c>
      <c r="I1087" s="2" t="s">
        <v>25</v>
      </c>
      <c r="J1087" s="2" t="s">
        <v>17</v>
      </c>
      <c r="K1087" s="4" t="str">
        <f>HYPERLINK("https://www.cortellis.com/drugdiscovery/result/proxy/related-content/biomarkers/genestargets/62746","tumor necrosis factor")</f>
        <v>tumor necrosis factor</v>
      </c>
    </row>
    <row r="1088" spans="1:11" ht="60" customHeight="1" x14ac:dyDescent="0.2">
      <c r="A1088" s="2">
        <v>1085</v>
      </c>
      <c r="B1088" s="3" t="str">
        <f t="shared" si="181"/>
        <v>TNF-alpha</v>
      </c>
      <c r="C1088" s="3" t="str">
        <f t="shared" si="182"/>
        <v>TNF</v>
      </c>
      <c r="D1088" s="3" t="str">
        <f t="shared" si="183"/>
        <v>TNFA_HUMAN</v>
      </c>
      <c r="E1088" s="2" t="s">
        <v>21</v>
      </c>
      <c r="F1088" s="3" t="str">
        <f t="shared" si="184"/>
        <v>Tumor necrosis factor</v>
      </c>
      <c r="G1088" s="4" t="str">
        <f t="shared" si="185"/>
        <v>Aloperine</v>
      </c>
      <c r="H1088" s="3" t="str">
        <f>HYPERLINK("https://www.cortellis.com/drugdiscovery/entity/biomarkers/65259","22-gene expression hepatocellular carcinoma panel")</f>
        <v>22-gene expression hepatocellular carcinoma panel</v>
      </c>
      <c r="I1088" s="2" t="s">
        <v>25</v>
      </c>
      <c r="J1088" s="2" t="s">
        <v>19</v>
      </c>
      <c r="K1088" s="4" t="str">
        <f>HYPERLINK("https://www.cortellis.com/drugdiscovery/result/proxy/related-content/biomarkers/genestargets/65259","tumor necrosis factor")</f>
        <v>tumor necrosis factor</v>
      </c>
    </row>
    <row r="1089" spans="1:11" ht="60" customHeight="1" x14ac:dyDescent="0.2">
      <c r="A1089" s="2">
        <v>1086</v>
      </c>
      <c r="B1089" s="3" t="str">
        <f t="shared" si="181"/>
        <v>TNF-alpha</v>
      </c>
      <c r="C1089" s="3" t="str">
        <f t="shared" si="182"/>
        <v>TNF</v>
      </c>
      <c r="D1089" s="3" t="str">
        <f t="shared" si="183"/>
        <v>TNFA_HUMAN</v>
      </c>
      <c r="E1089" s="2" t="s">
        <v>21</v>
      </c>
      <c r="F1089" s="3" t="str">
        <f t="shared" si="184"/>
        <v>Tumor necrosis factor</v>
      </c>
      <c r="G1089" s="4" t="str">
        <f t="shared" ref="G1089:G1115" si="186">HYPERLINK("https://portal.genego.com/cgi/entity_page.cgi?term=7&amp;id=565516943","Certolizumab pegol")</f>
        <v>Certolizumab pegol</v>
      </c>
      <c r="H1089" s="3" t="str">
        <f>HYPERLINK("https://www.cortellis.com/drugdiscovery/entity/biomarkers/274","Tumor necrosis factor")</f>
        <v>Tumor necrosis factor</v>
      </c>
      <c r="I1089" s="2" t="s">
        <v>22</v>
      </c>
      <c r="J1089" s="2" t="s">
        <v>15</v>
      </c>
      <c r="K1089" s="4" t="str">
        <f>HYPERLINK("https://www.cortellis.com/drugdiscovery/result/proxy/related-content/biomarkers/genestargets/274","tumor necrosis factor")</f>
        <v>tumor necrosis factor</v>
      </c>
    </row>
    <row r="1090" spans="1:11" ht="60" customHeight="1" x14ac:dyDescent="0.2">
      <c r="A1090" s="2">
        <v>1087</v>
      </c>
      <c r="B1090" s="3" t="str">
        <f t="shared" si="181"/>
        <v>TNF-alpha</v>
      </c>
      <c r="C1090" s="3" t="str">
        <f t="shared" si="182"/>
        <v>TNF</v>
      </c>
      <c r="D1090" s="3" t="str">
        <f t="shared" si="183"/>
        <v>TNFA_HUMAN</v>
      </c>
      <c r="E1090" s="2" t="s">
        <v>21</v>
      </c>
      <c r="F1090" s="3" t="str">
        <f t="shared" si="184"/>
        <v>Tumor necrosis factor</v>
      </c>
      <c r="G1090" s="4" t="str">
        <f t="shared" si="186"/>
        <v>Certolizumab pegol</v>
      </c>
      <c r="H1090" s="3" t="str">
        <f>HYPERLINK("https://www.cortellis.com/drugdiscovery/entity/biomarkers/27598","89-protein neurological alzheimer's panel")</f>
        <v>89-protein neurological alzheimer's panel</v>
      </c>
      <c r="I1090" s="2" t="s">
        <v>23</v>
      </c>
      <c r="J1090" s="2" t="s">
        <v>17</v>
      </c>
      <c r="K1090"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091" spans="1:11" ht="60" customHeight="1" x14ac:dyDescent="0.2">
      <c r="A1091" s="2">
        <v>1088</v>
      </c>
      <c r="B1091" s="3" t="str">
        <f t="shared" si="181"/>
        <v>TNF-alpha</v>
      </c>
      <c r="C1091" s="3" t="str">
        <f t="shared" si="182"/>
        <v>TNF</v>
      </c>
      <c r="D1091" s="3" t="str">
        <f t="shared" si="183"/>
        <v>TNFA_HUMAN</v>
      </c>
      <c r="E1091" s="2" t="s">
        <v>21</v>
      </c>
      <c r="F1091" s="3" t="str">
        <f t="shared" si="184"/>
        <v>Tumor necrosis factor</v>
      </c>
      <c r="G1091" s="4" t="str">
        <f t="shared" si="186"/>
        <v>Certolizumab pegol</v>
      </c>
      <c r="H1091" s="3" t="str">
        <f>HYPERLINK("https://www.cortellis.com/drugdiscovery/entity/biomarkers/27640","5-protein alzheimer's panel")</f>
        <v>5-protein alzheimer's panel</v>
      </c>
      <c r="I1091" s="2" t="s">
        <v>23</v>
      </c>
      <c r="J1091" s="2" t="s">
        <v>17</v>
      </c>
      <c r="K1091" s="4" t="str">
        <f>HYPERLINK("https://www.cortellis.com/drugdiscovery/result/proxy/related-content/biomarkers/genestargets/27640","tumor necrosis factor")</f>
        <v>tumor necrosis factor</v>
      </c>
    </row>
    <row r="1092" spans="1:11" ht="60" customHeight="1" x14ac:dyDescent="0.2">
      <c r="A1092" s="2">
        <v>1089</v>
      </c>
      <c r="B1092" s="3" t="str">
        <f t="shared" si="181"/>
        <v>TNF-alpha</v>
      </c>
      <c r="C1092" s="3" t="str">
        <f t="shared" si="182"/>
        <v>TNF</v>
      </c>
      <c r="D1092" s="3" t="str">
        <f t="shared" si="183"/>
        <v>TNFA_HUMAN</v>
      </c>
      <c r="E1092" s="2" t="s">
        <v>21</v>
      </c>
      <c r="F1092" s="3" t="str">
        <f t="shared" si="184"/>
        <v>Tumor necrosis factor</v>
      </c>
      <c r="G1092" s="4" t="str">
        <f t="shared" si="186"/>
        <v>Certolizumab pegol</v>
      </c>
      <c r="H1092" s="3" t="str">
        <f>HYPERLINK("https://www.cortellis.com/drugdiscovery/entity/biomarkers/27734","6-protein lung cancer panel")</f>
        <v>6-protein lung cancer panel</v>
      </c>
      <c r="I1092" s="2" t="s">
        <v>23</v>
      </c>
      <c r="J1092" s="2" t="s">
        <v>17</v>
      </c>
      <c r="K1092" s="4" t="str">
        <f>HYPERLINK("https://www.cortellis.com/drugdiscovery/result/proxy/related-content/biomarkers/genestargets/27734","interferon gamma; tumor necrosis factor")</f>
        <v>interferon gamma; tumor necrosis factor</v>
      </c>
    </row>
    <row r="1093" spans="1:11" ht="60" customHeight="1" x14ac:dyDescent="0.2">
      <c r="A1093" s="2">
        <v>1090</v>
      </c>
      <c r="B1093" s="3" t="str">
        <f t="shared" si="181"/>
        <v>TNF-alpha</v>
      </c>
      <c r="C1093" s="3" t="str">
        <f t="shared" si="182"/>
        <v>TNF</v>
      </c>
      <c r="D1093" s="3" t="str">
        <f t="shared" si="183"/>
        <v>TNFA_HUMAN</v>
      </c>
      <c r="E1093" s="2" t="s">
        <v>21</v>
      </c>
      <c r="F1093" s="3" t="str">
        <f t="shared" si="184"/>
        <v>Tumor necrosis factor</v>
      </c>
      <c r="G1093" s="4" t="str">
        <f t="shared" si="186"/>
        <v>Certolizumab pegol</v>
      </c>
      <c r="H1093" s="3" t="str">
        <f>HYPERLINK("https://www.cortellis.com/drugdiscovery/entity/biomarkers/28148","11-gene expression lung cancer panel")</f>
        <v>11-gene expression lung cancer panel</v>
      </c>
      <c r="I1093" s="2" t="s">
        <v>25</v>
      </c>
      <c r="J1093" s="2" t="s">
        <v>19</v>
      </c>
      <c r="K1093" s="4" t="str">
        <f>HYPERLINK("https://www.cortellis.com/drugdiscovery/result/proxy/related-content/biomarkers/genestargets/28148","interferon gamma; interleukin 15; tumor necrosis factor")</f>
        <v>interferon gamma; interleukin 15; tumor necrosis factor</v>
      </c>
    </row>
    <row r="1094" spans="1:11" ht="60" customHeight="1" x14ac:dyDescent="0.2">
      <c r="A1094" s="2">
        <v>1091</v>
      </c>
      <c r="B1094" s="3" t="str">
        <f t="shared" si="181"/>
        <v>TNF-alpha</v>
      </c>
      <c r="C1094" s="3" t="str">
        <f t="shared" si="182"/>
        <v>TNF</v>
      </c>
      <c r="D1094" s="3" t="str">
        <f t="shared" si="183"/>
        <v>TNFA_HUMAN</v>
      </c>
      <c r="E1094" s="2" t="s">
        <v>21</v>
      </c>
      <c r="F1094" s="3" t="str">
        <f t="shared" si="184"/>
        <v>Tumor necrosis factor</v>
      </c>
      <c r="G1094" s="4" t="str">
        <f t="shared" si="186"/>
        <v>Certolizumab pegol</v>
      </c>
      <c r="H1094" s="3" t="str">
        <f>HYPERLINK("https://www.cortellis.com/drugdiscovery/entity/biomarkers/28647","15-gene expression lung cancer panel")</f>
        <v>15-gene expression lung cancer panel</v>
      </c>
      <c r="I1094" s="2" t="s">
        <v>20</v>
      </c>
      <c r="J1094" s="2" t="s">
        <v>19</v>
      </c>
      <c r="K1094" s="4" t="str">
        <f>HYPERLINK("https://www.cortellis.com/drugdiscovery/result/proxy/related-content/biomarkers/genestargets/28647","interferon gamma; interleukin 15; tumor necrosis factor")</f>
        <v>interferon gamma; interleukin 15; tumor necrosis factor</v>
      </c>
    </row>
    <row r="1095" spans="1:11" ht="60" customHeight="1" x14ac:dyDescent="0.2">
      <c r="A1095" s="2">
        <v>1092</v>
      </c>
      <c r="B1095" s="3" t="str">
        <f t="shared" si="181"/>
        <v>TNF-alpha</v>
      </c>
      <c r="C1095" s="3" t="str">
        <f t="shared" si="182"/>
        <v>TNF</v>
      </c>
      <c r="D1095" s="3" t="str">
        <f t="shared" si="183"/>
        <v>TNFA_HUMAN</v>
      </c>
      <c r="E1095" s="2" t="s">
        <v>21</v>
      </c>
      <c r="F1095" s="3" t="str">
        <f t="shared" si="184"/>
        <v>Tumor necrosis factor</v>
      </c>
      <c r="G1095" s="4" t="str">
        <f t="shared" si="186"/>
        <v>Certolizumab pegol</v>
      </c>
      <c r="H1095" s="3" t="str">
        <f>HYPERLINK("https://www.cortellis.com/drugdiscovery/entity/biomarkers/29676","277-gene expression lung cancer panel")</f>
        <v>277-gene expression lung cancer panel</v>
      </c>
      <c r="I1095" s="2" t="s">
        <v>25</v>
      </c>
      <c r="J1095" s="2" t="s">
        <v>19</v>
      </c>
      <c r="K1095" s="4" t="str">
        <f>HYPERLINK("https://www.cortellis.com/drugdiscovery/result/proxy/related-content/biomarkers/genestargets/29676","cyclin D1; tumor necrosis factor")</f>
        <v>cyclin D1; tumor necrosis factor</v>
      </c>
    </row>
    <row r="1096" spans="1:11" ht="60" customHeight="1" x14ac:dyDescent="0.2">
      <c r="A1096" s="2">
        <v>1093</v>
      </c>
      <c r="B1096" s="3" t="str">
        <f t="shared" si="181"/>
        <v>TNF-alpha</v>
      </c>
      <c r="C1096" s="3" t="str">
        <f t="shared" si="182"/>
        <v>TNF</v>
      </c>
      <c r="D1096" s="3" t="str">
        <f t="shared" si="183"/>
        <v>TNFA_HUMAN</v>
      </c>
      <c r="E1096" s="2" t="s">
        <v>21</v>
      </c>
      <c r="F1096" s="3" t="str">
        <f t="shared" si="184"/>
        <v>Tumor necrosis factor</v>
      </c>
      <c r="G1096" s="4" t="str">
        <f t="shared" si="186"/>
        <v>Certolizumab pegol</v>
      </c>
      <c r="H1096" s="3" t="str">
        <f>HYPERLINK("https://www.cortellis.com/drugdiscovery/entity/biomarkers/30768","11-protein cardiovascular panel")</f>
        <v>11-protein cardiovascular panel</v>
      </c>
      <c r="I1096" s="2" t="s">
        <v>23</v>
      </c>
      <c r="J1096" s="2" t="s">
        <v>17</v>
      </c>
      <c r="K1096" s="4" t="str">
        <f>HYPERLINK("https://www.cortellis.com/drugdiscovery/result/proxy/related-content/biomarkers/genestargets/30768","interferon gamma; interleukin 12B; tumor necrosis factor")</f>
        <v>interferon gamma; interleukin 12B; tumor necrosis factor</v>
      </c>
    </row>
    <row r="1097" spans="1:11" ht="60" customHeight="1" x14ac:dyDescent="0.2">
      <c r="A1097" s="2">
        <v>1094</v>
      </c>
      <c r="B1097" s="3" t="str">
        <f t="shared" si="181"/>
        <v>TNF-alpha</v>
      </c>
      <c r="C1097" s="3" t="str">
        <f t="shared" si="182"/>
        <v>TNF</v>
      </c>
      <c r="D1097" s="3" t="str">
        <f t="shared" si="183"/>
        <v>TNFA_HUMAN</v>
      </c>
      <c r="E1097" s="2" t="s">
        <v>21</v>
      </c>
      <c r="F1097" s="3" t="str">
        <f t="shared" si="184"/>
        <v>Tumor necrosis factor</v>
      </c>
      <c r="G1097" s="4" t="str">
        <f t="shared" si="186"/>
        <v>Certolizumab pegol</v>
      </c>
      <c r="H1097" s="3" t="str">
        <f>HYPERLINK("https://www.cortellis.com/drugdiscovery/entity/biomarkers/34385","30-protein alzheimer's panel")</f>
        <v>30-protein alzheimer's panel</v>
      </c>
      <c r="I1097" s="2" t="s">
        <v>23</v>
      </c>
      <c r="J1097" s="2" t="s">
        <v>17</v>
      </c>
      <c r="K1097" s="4" t="str">
        <f>HYPERLINK("https://www.cortellis.com/drugdiscovery/result/proxy/related-content/biomarkers/genestargets/34385","C-C motif chemokine ligand 2; interleukin 7; tenascin C; tumor necrosis factor")</f>
        <v>C-C motif chemokine ligand 2; interleukin 7; tenascin C; tumor necrosis factor</v>
      </c>
    </row>
    <row r="1098" spans="1:11" ht="60" customHeight="1" x14ac:dyDescent="0.2">
      <c r="A1098" s="2">
        <v>1095</v>
      </c>
      <c r="B1098" s="3" t="str">
        <f t="shared" si="181"/>
        <v>TNF-alpha</v>
      </c>
      <c r="C1098" s="3" t="str">
        <f t="shared" si="182"/>
        <v>TNF</v>
      </c>
      <c r="D1098" s="3" t="str">
        <f t="shared" si="183"/>
        <v>TNFA_HUMAN</v>
      </c>
      <c r="E1098" s="2" t="s">
        <v>21</v>
      </c>
      <c r="F1098" s="3" t="str">
        <f t="shared" si="184"/>
        <v>Tumor necrosis factor</v>
      </c>
      <c r="G1098" s="4" t="str">
        <f t="shared" si="186"/>
        <v>Certolizumab pegol</v>
      </c>
      <c r="H1098" s="3" t="str">
        <f>HYPERLINK("https://www.cortellis.com/drugdiscovery/entity/biomarkers/34437","3-protein 3-autoantibody lung cancer panel")</f>
        <v>3-protein 3-autoantibody lung cancer panel</v>
      </c>
      <c r="I1098" s="2" t="s">
        <v>23</v>
      </c>
      <c r="J1098" s="2" t="s">
        <v>17</v>
      </c>
      <c r="K1098" s="4" t="str">
        <f>HYPERLINK("https://www.cortellis.com/drugdiscovery/result/proxy/related-content/biomarkers/genestargets/34437","tumor necrosis factor")</f>
        <v>tumor necrosis factor</v>
      </c>
    </row>
    <row r="1099" spans="1:11" ht="60" customHeight="1" x14ac:dyDescent="0.2">
      <c r="A1099" s="2">
        <v>1096</v>
      </c>
      <c r="B1099" s="3" t="str">
        <f t="shared" si="181"/>
        <v>TNF-alpha</v>
      </c>
      <c r="C1099" s="3" t="str">
        <f t="shared" si="182"/>
        <v>TNF</v>
      </c>
      <c r="D1099" s="3" t="str">
        <f t="shared" si="183"/>
        <v>TNFA_HUMAN</v>
      </c>
      <c r="E1099" s="2" t="s">
        <v>21</v>
      </c>
      <c r="F1099" s="3" t="str">
        <f t="shared" si="184"/>
        <v>Tumor necrosis factor</v>
      </c>
      <c r="G1099" s="4" t="str">
        <f t="shared" si="186"/>
        <v>Certolizumab pegol</v>
      </c>
      <c r="H1099" s="3" t="str">
        <f>HYPERLINK("https://www.cortellis.com/drugdiscovery/entity/biomarkers/35424","60-gene expression ovarian cancer panel")</f>
        <v>60-gene expression ovarian cancer panel</v>
      </c>
      <c r="I1099" s="2" t="s">
        <v>18</v>
      </c>
      <c r="J1099" s="2" t="s">
        <v>19</v>
      </c>
      <c r="K1099" s="4" t="str">
        <f>HYPERLINK("https://www.cortellis.com/drugdiscovery/result/proxy/related-content/biomarkers/genestargets/35424","tumor necrosis factor")</f>
        <v>tumor necrosis factor</v>
      </c>
    </row>
    <row r="1100" spans="1:11" ht="60" customHeight="1" x14ac:dyDescent="0.2">
      <c r="A1100" s="2">
        <v>1097</v>
      </c>
      <c r="B1100" s="3" t="str">
        <f t="shared" si="181"/>
        <v>TNF-alpha</v>
      </c>
      <c r="C1100" s="3" t="str">
        <f t="shared" si="182"/>
        <v>TNF</v>
      </c>
      <c r="D1100" s="3" t="str">
        <f t="shared" si="183"/>
        <v>TNFA_HUMAN</v>
      </c>
      <c r="E1100" s="2" t="s">
        <v>21</v>
      </c>
      <c r="F1100" s="3" t="str">
        <f t="shared" si="184"/>
        <v>Tumor necrosis factor</v>
      </c>
      <c r="G1100" s="4" t="str">
        <f t="shared" si="186"/>
        <v>Certolizumab pegol</v>
      </c>
      <c r="H1100" s="3" t="str">
        <f>HYPERLINK("https://www.cortellis.com/drugdiscovery/entity/biomarkers/36125","10-protein respiratory panel")</f>
        <v>10-protein respiratory panel</v>
      </c>
      <c r="I1100" s="2" t="s">
        <v>25</v>
      </c>
      <c r="J1100" s="2" t="s">
        <v>17</v>
      </c>
      <c r="K1100" s="4" t="str">
        <f>HYPERLINK("https://www.cortellis.com/drugdiscovery/result/proxy/related-content/biomarkers/genestargets/36125","interferon gamma; tumor necrosis factor")</f>
        <v>interferon gamma; tumor necrosis factor</v>
      </c>
    </row>
    <row r="1101" spans="1:11" ht="60" customHeight="1" x14ac:dyDescent="0.2">
      <c r="A1101" s="2">
        <v>1098</v>
      </c>
      <c r="B1101" s="3" t="str">
        <f t="shared" si="181"/>
        <v>TNF-alpha</v>
      </c>
      <c r="C1101" s="3" t="str">
        <f t="shared" si="182"/>
        <v>TNF</v>
      </c>
      <c r="D1101" s="3" t="str">
        <f t="shared" si="183"/>
        <v>TNFA_HUMAN</v>
      </c>
      <c r="E1101" s="2" t="s">
        <v>21</v>
      </c>
      <c r="F1101" s="3" t="str">
        <f t="shared" si="184"/>
        <v>Tumor necrosis factor</v>
      </c>
      <c r="G1101" s="4" t="str">
        <f t="shared" si="186"/>
        <v>Certolizumab pegol</v>
      </c>
      <c r="H1101" s="3" t="str">
        <f>HYPERLINK("https://www.cortellis.com/drugdiscovery/entity/biomarkers/36127","3-protein respiratory panel")</f>
        <v>3-protein respiratory panel</v>
      </c>
      <c r="I1101" s="2" t="s">
        <v>25</v>
      </c>
      <c r="J1101" s="2" t="s">
        <v>17</v>
      </c>
      <c r="K1101" s="4" t="str">
        <f>HYPERLINK("https://www.cortellis.com/drugdiscovery/result/proxy/related-content/biomarkers/genestargets/36127","interferon gamma; tumor necrosis factor")</f>
        <v>interferon gamma; tumor necrosis factor</v>
      </c>
    </row>
    <row r="1102" spans="1:11" ht="60" customHeight="1" x14ac:dyDescent="0.2">
      <c r="A1102" s="2">
        <v>1099</v>
      </c>
      <c r="B1102" s="3" t="str">
        <f t="shared" si="181"/>
        <v>TNF-alpha</v>
      </c>
      <c r="C1102" s="3" t="str">
        <f t="shared" si="182"/>
        <v>TNF</v>
      </c>
      <c r="D1102" s="3" t="str">
        <f t="shared" si="183"/>
        <v>TNFA_HUMAN</v>
      </c>
      <c r="E1102" s="2" t="s">
        <v>21</v>
      </c>
      <c r="F1102" s="3" t="str">
        <f t="shared" si="184"/>
        <v>Tumor necrosis factor</v>
      </c>
      <c r="G1102" s="4" t="str">
        <f t="shared" si="186"/>
        <v>Certolizumab pegol</v>
      </c>
      <c r="H1102" s="3" t="str">
        <f>HYPERLINK("https://www.cortellis.com/drugdiscovery/entity/biomarkers/37520","4-protein bacteremia panel")</f>
        <v>4-protein bacteremia panel</v>
      </c>
      <c r="I1102" s="2" t="s">
        <v>23</v>
      </c>
      <c r="J1102" s="2" t="s">
        <v>17</v>
      </c>
      <c r="K1102" s="4" t="str">
        <f>HYPERLINK("https://www.cortellis.com/drugdiscovery/result/proxy/related-content/biomarkers/genestargets/37520","tumor necrosis factor")</f>
        <v>tumor necrosis factor</v>
      </c>
    </row>
    <row r="1103" spans="1:11" ht="60" customHeight="1" x14ac:dyDescent="0.2">
      <c r="A1103" s="2">
        <v>1100</v>
      </c>
      <c r="B1103" s="3" t="str">
        <f t="shared" si="181"/>
        <v>TNF-alpha</v>
      </c>
      <c r="C1103" s="3" t="str">
        <f t="shared" si="182"/>
        <v>TNF</v>
      </c>
      <c r="D1103" s="3" t="str">
        <f t="shared" si="183"/>
        <v>TNFA_HUMAN</v>
      </c>
      <c r="E1103" s="2" t="s">
        <v>21</v>
      </c>
      <c r="F1103" s="3" t="str">
        <f t="shared" si="184"/>
        <v>Tumor necrosis factor</v>
      </c>
      <c r="G1103" s="4" t="str">
        <f t="shared" si="186"/>
        <v>Certolizumab pegol</v>
      </c>
      <c r="H1103" s="3" t="str">
        <f>HYPERLINK("https://www.cortellis.com/drugdiscovery/entity/biomarkers/43870","17-genomic 14-protein 3-biochemical irritable bowel syndrome panel")</f>
        <v>17-genomic 14-protein 3-biochemical irritable bowel syndrome panel</v>
      </c>
      <c r="I1103" s="2" t="s">
        <v>52</v>
      </c>
      <c r="J1103" s="2" t="s">
        <v>53</v>
      </c>
      <c r="K1103" s="4" t="str">
        <f>HYPERLINK("https://www.cortellis.com/drugdiscovery/result/proxy/related-content/biomarkers/genestargets/43870","interleukin 12B; tumor necrosis factor")</f>
        <v>interleukin 12B; tumor necrosis factor</v>
      </c>
    </row>
    <row r="1104" spans="1:11" ht="60" customHeight="1" x14ac:dyDescent="0.2">
      <c r="A1104" s="2">
        <v>1101</v>
      </c>
      <c r="B1104" s="3" t="str">
        <f t="shared" si="181"/>
        <v>TNF-alpha</v>
      </c>
      <c r="C1104" s="3" t="str">
        <f t="shared" si="182"/>
        <v>TNF</v>
      </c>
      <c r="D1104" s="3" t="str">
        <f t="shared" si="183"/>
        <v>TNFA_HUMAN</v>
      </c>
      <c r="E1104" s="2" t="s">
        <v>21</v>
      </c>
      <c r="F1104" s="3" t="str">
        <f t="shared" si="184"/>
        <v>Tumor necrosis factor</v>
      </c>
      <c r="G1104" s="4" t="str">
        <f t="shared" si="186"/>
        <v>Certolizumab pegol</v>
      </c>
      <c r="H1104" s="3" t="str">
        <f>HYPERLINK("https://www.cortellis.com/drugdiscovery/entity/biomarkers/46842","7-protein non small cell lung cancer panel")</f>
        <v>7-protein non small cell lung cancer panel</v>
      </c>
      <c r="I1104" s="2" t="s">
        <v>23</v>
      </c>
      <c r="J1104" s="2" t="s">
        <v>17</v>
      </c>
      <c r="K1104" s="4" t="str">
        <f>HYPERLINK("https://www.cortellis.com/drugdiscovery/result/proxy/related-content/biomarkers/genestargets/46842","tumor necrosis factor")</f>
        <v>tumor necrosis factor</v>
      </c>
    </row>
    <row r="1105" spans="1:11" ht="60" customHeight="1" x14ac:dyDescent="0.2">
      <c r="A1105" s="2">
        <v>1102</v>
      </c>
      <c r="B1105" s="3" t="str">
        <f t="shared" si="181"/>
        <v>TNF-alpha</v>
      </c>
      <c r="C1105" s="3" t="str">
        <f t="shared" si="182"/>
        <v>TNF</v>
      </c>
      <c r="D1105" s="3" t="str">
        <f t="shared" si="183"/>
        <v>TNFA_HUMAN</v>
      </c>
      <c r="E1105" s="2" t="s">
        <v>21</v>
      </c>
      <c r="F1105" s="3" t="str">
        <f t="shared" si="184"/>
        <v>Tumor necrosis factor</v>
      </c>
      <c r="G1105" s="4" t="str">
        <f t="shared" si="186"/>
        <v>Certolizumab pegol</v>
      </c>
      <c r="H1105" s="3" t="str">
        <f>HYPERLINK("https://www.cortellis.com/drugdiscovery/entity/biomarkers/50816","10-gene lyme disease panel")</f>
        <v>10-gene lyme disease panel</v>
      </c>
      <c r="I1105" s="2" t="s">
        <v>23</v>
      </c>
      <c r="J1105" s="2" t="s">
        <v>15</v>
      </c>
      <c r="K1105" s="4" t="str">
        <f>HYPERLINK("https://www.cortellis.com/drugdiscovery/result/proxy/related-content/biomarkers/genestargets/50816","C-C motif chemokine ligand 2; interferon gamma; tumor necrosis factor")</f>
        <v>C-C motif chemokine ligand 2; interferon gamma; tumor necrosis factor</v>
      </c>
    </row>
    <row r="1106" spans="1:11" ht="60" customHeight="1" x14ac:dyDescent="0.2">
      <c r="A1106" s="2">
        <v>1103</v>
      </c>
      <c r="B1106" s="3" t="str">
        <f t="shared" si="181"/>
        <v>TNF-alpha</v>
      </c>
      <c r="C1106" s="3" t="str">
        <f t="shared" si="182"/>
        <v>TNF</v>
      </c>
      <c r="D1106" s="3" t="str">
        <f t="shared" si="183"/>
        <v>TNFA_HUMAN</v>
      </c>
      <c r="E1106" s="2" t="s">
        <v>21</v>
      </c>
      <c r="F1106" s="3" t="str">
        <f t="shared" si="184"/>
        <v>Tumor necrosis factor</v>
      </c>
      <c r="G1106" s="4" t="str">
        <f t="shared" si="186"/>
        <v>Certolizumab pegol</v>
      </c>
      <c r="H1106" s="3" t="str">
        <f>HYPERLINK("https://www.cortellis.com/drugdiscovery/entity/biomarkers/50817","11-gene lyme disease panel")</f>
        <v>11-gene lyme disease panel</v>
      </c>
      <c r="I1106" s="2" t="s">
        <v>23</v>
      </c>
      <c r="J1106" s="2" t="s">
        <v>15</v>
      </c>
      <c r="K1106" s="4" t="str">
        <f>HYPERLINK("https://www.cortellis.com/drugdiscovery/result/proxy/related-content/biomarkers/genestargets/50817","C-C motif chemokine ligand 2; interferon gamma; tumor necrosis factor")</f>
        <v>C-C motif chemokine ligand 2; interferon gamma; tumor necrosis factor</v>
      </c>
    </row>
    <row r="1107" spans="1:11" ht="60" customHeight="1" x14ac:dyDescent="0.2">
      <c r="A1107" s="2">
        <v>1104</v>
      </c>
      <c r="B1107" s="3" t="str">
        <f t="shared" si="181"/>
        <v>TNF-alpha</v>
      </c>
      <c r="C1107" s="3" t="str">
        <f t="shared" si="182"/>
        <v>TNF</v>
      </c>
      <c r="D1107" s="3" t="str">
        <f t="shared" si="183"/>
        <v>TNFA_HUMAN</v>
      </c>
      <c r="E1107" s="2" t="s">
        <v>21</v>
      </c>
      <c r="F1107" s="3" t="str">
        <f t="shared" si="184"/>
        <v>Tumor necrosis factor</v>
      </c>
      <c r="G1107" s="4" t="str">
        <f t="shared" si="186"/>
        <v>Certolizumab pegol</v>
      </c>
      <c r="H1107" s="3" t="str">
        <f>HYPERLINK("https://www.cortellis.com/drugdiscovery/entity/biomarkers/50818","12 protein Lyme disease panel")</f>
        <v>12 protein Lyme disease panel</v>
      </c>
      <c r="I1107" s="2" t="s">
        <v>23</v>
      </c>
      <c r="J1107" s="2" t="s">
        <v>17</v>
      </c>
      <c r="K1107" s="4" t="str">
        <f>HYPERLINK("https://www.cortellis.com/drugdiscovery/result/proxy/related-content/biomarkers/genestargets/50818","C-C motif chemokine ligand 2; interferon gamma; tumor necrosis factor")</f>
        <v>C-C motif chemokine ligand 2; interferon gamma; tumor necrosis factor</v>
      </c>
    </row>
    <row r="1108" spans="1:11" ht="60" customHeight="1" x14ac:dyDescent="0.2">
      <c r="A1108" s="2">
        <v>1105</v>
      </c>
      <c r="B1108" s="3" t="str">
        <f t="shared" si="181"/>
        <v>TNF-alpha</v>
      </c>
      <c r="C1108" s="3" t="str">
        <f t="shared" si="182"/>
        <v>TNF</v>
      </c>
      <c r="D1108" s="3" t="str">
        <f t="shared" si="183"/>
        <v>TNFA_HUMAN</v>
      </c>
      <c r="E1108" s="2" t="s">
        <v>21</v>
      </c>
      <c r="F1108" s="3" t="str">
        <f t="shared" si="184"/>
        <v>Tumor necrosis factor</v>
      </c>
      <c r="G1108" s="4" t="str">
        <f t="shared" si="186"/>
        <v>Certolizumab pegol</v>
      </c>
      <c r="H1108" s="3" t="str">
        <f>HYPERLINK("https://www.cortellis.com/drugdiscovery/entity/biomarkers/51292","37-gene expression major depression panel")</f>
        <v>37-gene expression major depression panel</v>
      </c>
      <c r="I1108" s="2" t="s">
        <v>23</v>
      </c>
      <c r="J1108" s="2" t="s">
        <v>19</v>
      </c>
      <c r="K1108" s="4" t="str">
        <f>HYPERLINK("https://www.cortellis.com/drugdiscovery/result/proxy/related-content/biomarkers/genestargets/51292","C-C motif chemokine ligand 2; tumor necrosis factor")</f>
        <v>C-C motif chemokine ligand 2; tumor necrosis factor</v>
      </c>
    </row>
    <row r="1109" spans="1:11" ht="60" customHeight="1" x14ac:dyDescent="0.2">
      <c r="A1109" s="2">
        <v>1106</v>
      </c>
      <c r="B1109" s="3" t="str">
        <f t="shared" si="181"/>
        <v>TNF-alpha</v>
      </c>
      <c r="C1109" s="3" t="str">
        <f t="shared" si="182"/>
        <v>TNF</v>
      </c>
      <c r="D1109" s="3" t="str">
        <f t="shared" si="183"/>
        <v>TNFA_HUMAN</v>
      </c>
      <c r="E1109" s="2" t="s">
        <v>21</v>
      </c>
      <c r="F1109" s="3" t="str">
        <f t="shared" si="184"/>
        <v>Tumor necrosis factor</v>
      </c>
      <c r="G1109" s="4" t="str">
        <f t="shared" si="186"/>
        <v>Certolizumab pegol</v>
      </c>
      <c r="H1109" s="3" t="str">
        <f>HYPERLINK("https://www.cortellis.com/drugdiscovery/entity/biomarkers/57224","21-protein mild cognitive impairment panel")</f>
        <v>21-protein mild cognitive impairment panel</v>
      </c>
      <c r="I1109" s="2" t="s">
        <v>23</v>
      </c>
      <c r="J1109" s="2" t="s">
        <v>19</v>
      </c>
      <c r="K1109" s="4" t="str">
        <f>HYPERLINK("https://www.cortellis.com/drugdiscovery/result/proxy/related-content/biomarkers/genestargets/57224","interleukin 7; tenascin C; tumor necrosis factor")</f>
        <v>interleukin 7; tenascin C; tumor necrosis factor</v>
      </c>
    </row>
    <row r="1110" spans="1:11" ht="60" customHeight="1" x14ac:dyDescent="0.2">
      <c r="A1110" s="2">
        <v>1107</v>
      </c>
      <c r="B1110" s="3" t="str">
        <f t="shared" si="181"/>
        <v>TNF-alpha</v>
      </c>
      <c r="C1110" s="3" t="str">
        <f t="shared" si="182"/>
        <v>TNF</v>
      </c>
      <c r="D1110" s="3" t="str">
        <f t="shared" si="183"/>
        <v>TNFA_HUMAN</v>
      </c>
      <c r="E1110" s="2" t="s">
        <v>21</v>
      </c>
      <c r="F1110" s="3" t="str">
        <f t="shared" si="184"/>
        <v>Tumor necrosis factor</v>
      </c>
      <c r="G1110" s="4" t="str">
        <f t="shared" si="186"/>
        <v>Certolizumab pegol</v>
      </c>
      <c r="H1110" s="3" t="str">
        <f>HYPERLINK("https://www.cortellis.com/drugdiscovery/entity/biomarkers/57250","9-protein non-muscle invasive bladder cancer panel")</f>
        <v>9-protein non-muscle invasive bladder cancer panel</v>
      </c>
      <c r="I1110" s="2" t="s">
        <v>18</v>
      </c>
      <c r="J1110" s="2" t="s">
        <v>17</v>
      </c>
      <c r="K1110" s="4" t="str">
        <f>HYPERLINK("https://www.cortellis.com/drugdiscovery/result/proxy/related-content/biomarkers/genestargets/57250","interferon gamma; interleukin 12B; tumor necrosis factor")</f>
        <v>interferon gamma; interleukin 12B; tumor necrosis factor</v>
      </c>
    </row>
    <row r="1111" spans="1:11" ht="60" customHeight="1" x14ac:dyDescent="0.2">
      <c r="A1111" s="2">
        <v>1108</v>
      </c>
      <c r="B1111" s="3" t="str">
        <f t="shared" si="181"/>
        <v>TNF-alpha</v>
      </c>
      <c r="C1111" s="3" t="str">
        <f t="shared" si="182"/>
        <v>TNF</v>
      </c>
      <c r="D1111" s="3" t="str">
        <f t="shared" si="183"/>
        <v>TNFA_HUMAN</v>
      </c>
      <c r="E1111" s="2" t="s">
        <v>21</v>
      </c>
      <c r="F1111" s="3" t="str">
        <f t="shared" si="184"/>
        <v>Tumor necrosis factor</v>
      </c>
      <c r="G1111" s="4" t="str">
        <f t="shared" si="186"/>
        <v>Certolizumab pegol</v>
      </c>
      <c r="H1111" s="3" t="str">
        <f>HYPERLINK("https://www.cortellis.com/drugdiscovery/entity/biomarkers/62155","19-protein rhegmatogenous retinal detachment panel")</f>
        <v>19-protein rhegmatogenous retinal detachment panel</v>
      </c>
      <c r="I1111" s="2" t="s">
        <v>24</v>
      </c>
      <c r="J1111" s="2" t="s">
        <v>17</v>
      </c>
      <c r="K1111" s="4" t="str">
        <f>HYPERLINK("https://www.cortellis.com/drugdiscovery/result/proxy/related-content/biomarkers/genestargets/62155","C-C motif chemokine ligand 2; interleukin 12B; tumor necrosis factor")</f>
        <v>C-C motif chemokine ligand 2; interleukin 12B; tumor necrosis factor</v>
      </c>
    </row>
    <row r="1112" spans="1:11" ht="60" customHeight="1" x14ac:dyDescent="0.2">
      <c r="A1112" s="2">
        <v>1109</v>
      </c>
      <c r="B1112" s="3" t="str">
        <f t="shared" si="181"/>
        <v>TNF-alpha</v>
      </c>
      <c r="C1112" s="3" t="str">
        <f t="shared" si="182"/>
        <v>TNF</v>
      </c>
      <c r="D1112" s="3" t="str">
        <f t="shared" si="183"/>
        <v>TNFA_HUMAN</v>
      </c>
      <c r="E1112" s="2" t="s">
        <v>21</v>
      </c>
      <c r="F1112" s="3" t="str">
        <f t="shared" si="184"/>
        <v>Tumor necrosis factor</v>
      </c>
      <c r="G1112" s="4" t="str">
        <f t="shared" si="186"/>
        <v>Certolizumab pegol</v>
      </c>
      <c r="H1112" s="3" t="str">
        <f>HYPERLINK("https://www.cortellis.com/drugdiscovery/entity/biomarkers/62663","9-protein immunological disorders panel")</f>
        <v>9-protein immunological disorders panel</v>
      </c>
      <c r="I1112" s="2" t="s">
        <v>24</v>
      </c>
      <c r="J1112" s="2" t="s">
        <v>17</v>
      </c>
      <c r="K1112" s="4" t="str">
        <f>HYPERLINK("https://www.cortellis.com/drugdiscovery/result/proxy/related-content/biomarkers/genestargets/62663","C-C motif chemokine ligand 2; interferon gamma; tumor necrosis factor")</f>
        <v>C-C motif chemokine ligand 2; interferon gamma; tumor necrosis factor</v>
      </c>
    </row>
    <row r="1113" spans="1:11" ht="60" customHeight="1" x14ac:dyDescent="0.2">
      <c r="A1113" s="2">
        <v>1110</v>
      </c>
      <c r="B1113" s="3" t="str">
        <f t="shared" si="181"/>
        <v>TNF-alpha</v>
      </c>
      <c r="C1113" s="3" t="str">
        <f t="shared" si="182"/>
        <v>TNF</v>
      </c>
      <c r="D1113" s="3" t="str">
        <f t="shared" si="183"/>
        <v>TNFA_HUMAN</v>
      </c>
      <c r="E1113" s="2" t="s">
        <v>21</v>
      </c>
      <c r="F1113" s="3" t="str">
        <f t="shared" si="184"/>
        <v>Tumor necrosis factor</v>
      </c>
      <c r="G1113" s="4" t="str">
        <f t="shared" si="186"/>
        <v>Certolizumab pegol</v>
      </c>
      <c r="H1113" s="3" t="str">
        <f>HYPERLINK("https://www.cortellis.com/drugdiscovery/entity/biomarkers/62730","7-protein Alzheimer's disease panel")</f>
        <v>7-protein Alzheimer's disease panel</v>
      </c>
      <c r="I1113" s="2" t="s">
        <v>23</v>
      </c>
      <c r="J1113" s="2" t="s">
        <v>17</v>
      </c>
      <c r="K1113" s="4" t="str">
        <f>HYPERLINK("https://www.cortellis.com/drugdiscovery/result/proxy/related-content/biomarkers/genestargets/62730","tumor necrosis factor")</f>
        <v>tumor necrosis factor</v>
      </c>
    </row>
    <row r="1114" spans="1:11" ht="60" customHeight="1" x14ac:dyDescent="0.2">
      <c r="A1114" s="2">
        <v>1111</v>
      </c>
      <c r="B1114" s="3" t="str">
        <f t="shared" si="181"/>
        <v>TNF-alpha</v>
      </c>
      <c r="C1114" s="3" t="str">
        <f t="shared" si="182"/>
        <v>TNF</v>
      </c>
      <c r="D1114" s="3" t="str">
        <f t="shared" si="183"/>
        <v>TNFA_HUMAN</v>
      </c>
      <c r="E1114" s="2" t="s">
        <v>21</v>
      </c>
      <c r="F1114" s="3" t="str">
        <f t="shared" si="184"/>
        <v>Tumor necrosis factor</v>
      </c>
      <c r="G1114" s="4" t="str">
        <f t="shared" si="186"/>
        <v>Certolizumab pegol</v>
      </c>
      <c r="H1114" s="3" t="str">
        <f>HYPERLINK("https://www.cortellis.com/drugdiscovery/entity/biomarkers/62746","5-protein renal disorder panel")</f>
        <v>5-protein renal disorder panel</v>
      </c>
      <c r="I1114" s="2" t="s">
        <v>25</v>
      </c>
      <c r="J1114" s="2" t="s">
        <v>17</v>
      </c>
      <c r="K1114" s="4" t="str">
        <f>HYPERLINK("https://www.cortellis.com/drugdiscovery/result/proxy/related-content/biomarkers/genestargets/62746","tumor necrosis factor")</f>
        <v>tumor necrosis factor</v>
      </c>
    </row>
    <row r="1115" spans="1:11" ht="60" customHeight="1" x14ac:dyDescent="0.2">
      <c r="A1115" s="2">
        <v>1112</v>
      </c>
      <c r="B1115" s="3" t="str">
        <f t="shared" si="181"/>
        <v>TNF-alpha</v>
      </c>
      <c r="C1115" s="3" t="str">
        <f t="shared" si="182"/>
        <v>TNF</v>
      </c>
      <c r="D1115" s="3" t="str">
        <f t="shared" si="183"/>
        <v>TNFA_HUMAN</v>
      </c>
      <c r="E1115" s="2" t="s">
        <v>21</v>
      </c>
      <c r="F1115" s="3" t="str">
        <f t="shared" si="184"/>
        <v>Tumor necrosis factor</v>
      </c>
      <c r="G1115" s="4" t="str">
        <f t="shared" si="186"/>
        <v>Certolizumab pegol</v>
      </c>
      <c r="H1115" s="3" t="str">
        <f>HYPERLINK("https://www.cortellis.com/drugdiscovery/entity/biomarkers/65259","22-gene expression hepatocellular carcinoma panel")</f>
        <v>22-gene expression hepatocellular carcinoma panel</v>
      </c>
      <c r="I1115" s="2" t="s">
        <v>25</v>
      </c>
      <c r="J1115" s="2" t="s">
        <v>19</v>
      </c>
      <c r="K1115" s="4" t="str">
        <f>HYPERLINK("https://www.cortellis.com/drugdiscovery/result/proxy/related-content/biomarkers/genestargets/65259","tumor necrosis factor")</f>
        <v>tumor necrosis factor</v>
      </c>
    </row>
    <row r="1116" spans="1:11" ht="60" customHeight="1" x14ac:dyDescent="0.2">
      <c r="A1116" s="2">
        <v>1113</v>
      </c>
      <c r="B1116" s="3" t="str">
        <f t="shared" si="181"/>
        <v>TNF-alpha</v>
      </c>
      <c r="C1116" s="3" t="str">
        <f t="shared" si="182"/>
        <v>TNF</v>
      </c>
      <c r="D1116" s="3" t="str">
        <f t="shared" si="183"/>
        <v>TNFA_HUMAN</v>
      </c>
      <c r="E1116" s="2" t="s">
        <v>21</v>
      </c>
      <c r="F1116" s="3" t="str">
        <f t="shared" si="184"/>
        <v>Tumor necrosis factor</v>
      </c>
      <c r="G1116" s="4" t="str">
        <f t="shared" ref="G1116:G1142" si="187">HYPERLINK("https://portal.genego.com/cgi/entity_page.cgi?term=7&amp;id=626417348","Genz-29155")</f>
        <v>Genz-29155</v>
      </c>
      <c r="H1116" s="3" t="str">
        <f>HYPERLINK("https://www.cortellis.com/drugdiscovery/entity/biomarkers/274","Tumor necrosis factor")</f>
        <v>Tumor necrosis factor</v>
      </c>
      <c r="I1116" s="2" t="s">
        <v>22</v>
      </c>
      <c r="J1116" s="2" t="s">
        <v>15</v>
      </c>
      <c r="K1116" s="4" t="str">
        <f>HYPERLINK("https://www.cortellis.com/drugdiscovery/result/proxy/related-content/biomarkers/genestargets/274","tumor necrosis factor")</f>
        <v>tumor necrosis factor</v>
      </c>
    </row>
    <row r="1117" spans="1:11" ht="60" customHeight="1" x14ac:dyDescent="0.2">
      <c r="A1117" s="2">
        <v>1114</v>
      </c>
      <c r="B1117" s="3" t="str">
        <f t="shared" si="181"/>
        <v>TNF-alpha</v>
      </c>
      <c r="C1117" s="3" t="str">
        <f t="shared" si="182"/>
        <v>TNF</v>
      </c>
      <c r="D1117" s="3" t="str">
        <f t="shared" si="183"/>
        <v>TNFA_HUMAN</v>
      </c>
      <c r="E1117" s="2" t="s">
        <v>21</v>
      </c>
      <c r="F1117" s="3" t="str">
        <f t="shared" si="184"/>
        <v>Tumor necrosis factor</v>
      </c>
      <c r="G1117" s="4" t="str">
        <f t="shared" si="187"/>
        <v>Genz-29155</v>
      </c>
      <c r="H1117" s="3" t="str">
        <f>HYPERLINK("https://www.cortellis.com/drugdiscovery/entity/biomarkers/27598","89-protein neurological alzheimer's panel")</f>
        <v>89-protein neurological alzheimer's panel</v>
      </c>
      <c r="I1117" s="2" t="s">
        <v>23</v>
      </c>
      <c r="J1117" s="2" t="s">
        <v>17</v>
      </c>
      <c r="K1117"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118" spans="1:11" ht="60" customHeight="1" x14ac:dyDescent="0.2">
      <c r="A1118" s="2">
        <v>1115</v>
      </c>
      <c r="B1118" s="3" t="str">
        <f t="shared" si="181"/>
        <v>TNF-alpha</v>
      </c>
      <c r="C1118" s="3" t="str">
        <f t="shared" si="182"/>
        <v>TNF</v>
      </c>
      <c r="D1118" s="3" t="str">
        <f t="shared" si="183"/>
        <v>TNFA_HUMAN</v>
      </c>
      <c r="E1118" s="2" t="s">
        <v>21</v>
      </c>
      <c r="F1118" s="3" t="str">
        <f t="shared" si="184"/>
        <v>Tumor necrosis factor</v>
      </c>
      <c r="G1118" s="4" t="str">
        <f t="shared" si="187"/>
        <v>Genz-29155</v>
      </c>
      <c r="H1118" s="3" t="str">
        <f>HYPERLINK("https://www.cortellis.com/drugdiscovery/entity/biomarkers/27640","5-protein alzheimer's panel")</f>
        <v>5-protein alzheimer's panel</v>
      </c>
      <c r="I1118" s="2" t="s">
        <v>23</v>
      </c>
      <c r="J1118" s="2" t="s">
        <v>17</v>
      </c>
      <c r="K1118" s="4" t="str">
        <f>HYPERLINK("https://www.cortellis.com/drugdiscovery/result/proxy/related-content/biomarkers/genestargets/27640","tumor necrosis factor")</f>
        <v>tumor necrosis factor</v>
      </c>
    </row>
    <row r="1119" spans="1:11" ht="60" customHeight="1" x14ac:dyDescent="0.2">
      <c r="A1119" s="2">
        <v>1116</v>
      </c>
      <c r="B1119" s="3" t="str">
        <f t="shared" ref="B1119:B1182" si="188">HYPERLINK("https://portal.genego.com/cgi/entity_page.cgi?term=100&amp;id=4487","TNF-alpha")</f>
        <v>TNF-alpha</v>
      </c>
      <c r="C1119" s="3" t="str">
        <f t="shared" ref="C1119:C1182" si="189">HYPERLINK("https://portal.genego.com/cgi/entity_page.cgi?term=20&amp;id=-1163959157","TNF")</f>
        <v>TNF</v>
      </c>
      <c r="D1119" s="3" t="str">
        <f t="shared" ref="D1119:D1182" si="190">HYPERLINK("https://portal.genego.com/cgi/entity_page.cgi?term=7&amp;id=2020057249","TNFA_HUMAN")</f>
        <v>TNFA_HUMAN</v>
      </c>
      <c r="E1119" s="2" t="s">
        <v>21</v>
      </c>
      <c r="F1119" s="3" t="str">
        <f t="shared" ref="F1119:F1182" si="191">HYPERLINK("https://portal.genego.com/cgi/entity_page.cgi?term=100&amp;id=4487","Tumor necrosis factor")</f>
        <v>Tumor necrosis factor</v>
      </c>
      <c r="G1119" s="4" t="str">
        <f t="shared" si="187"/>
        <v>Genz-29155</v>
      </c>
      <c r="H1119" s="3" t="str">
        <f>HYPERLINK("https://www.cortellis.com/drugdiscovery/entity/biomarkers/27734","6-protein lung cancer panel")</f>
        <v>6-protein lung cancer panel</v>
      </c>
      <c r="I1119" s="2" t="s">
        <v>23</v>
      </c>
      <c r="J1119" s="2" t="s">
        <v>17</v>
      </c>
      <c r="K1119" s="4" t="str">
        <f>HYPERLINK("https://www.cortellis.com/drugdiscovery/result/proxy/related-content/biomarkers/genestargets/27734","interferon gamma; tumor necrosis factor")</f>
        <v>interferon gamma; tumor necrosis factor</v>
      </c>
    </row>
    <row r="1120" spans="1:11" ht="60" customHeight="1" x14ac:dyDescent="0.2">
      <c r="A1120" s="2">
        <v>1117</v>
      </c>
      <c r="B1120" s="3" t="str">
        <f t="shared" si="188"/>
        <v>TNF-alpha</v>
      </c>
      <c r="C1120" s="3" t="str">
        <f t="shared" si="189"/>
        <v>TNF</v>
      </c>
      <c r="D1120" s="3" t="str">
        <f t="shared" si="190"/>
        <v>TNFA_HUMAN</v>
      </c>
      <c r="E1120" s="2" t="s">
        <v>21</v>
      </c>
      <c r="F1120" s="3" t="str">
        <f t="shared" si="191"/>
        <v>Tumor necrosis factor</v>
      </c>
      <c r="G1120" s="4" t="str">
        <f t="shared" si="187"/>
        <v>Genz-29155</v>
      </c>
      <c r="H1120" s="3" t="str">
        <f>HYPERLINK("https://www.cortellis.com/drugdiscovery/entity/biomarkers/28148","11-gene expression lung cancer panel")</f>
        <v>11-gene expression lung cancer panel</v>
      </c>
      <c r="I1120" s="2" t="s">
        <v>25</v>
      </c>
      <c r="J1120" s="2" t="s">
        <v>19</v>
      </c>
      <c r="K1120" s="4" t="str">
        <f>HYPERLINK("https://www.cortellis.com/drugdiscovery/result/proxy/related-content/biomarkers/genestargets/28148","interferon gamma; interleukin 15; tumor necrosis factor")</f>
        <v>interferon gamma; interleukin 15; tumor necrosis factor</v>
      </c>
    </row>
    <row r="1121" spans="1:11" ht="60" customHeight="1" x14ac:dyDescent="0.2">
      <c r="A1121" s="2">
        <v>1118</v>
      </c>
      <c r="B1121" s="3" t="str">
        <f t="shared" si="188"/>
        <v>TNF-alpha</v>
      </c>
      <c r="C1121" s="3" t="str">
        <f t="shared" si="189"/>
        <v>TNF</v>
      </c>
      <c r="D1121" s="3" t="str">
        <f t="shared" si="190"/>
        <v>TNFA_HUMAN</v>
      </c>
      <c r="E1121" s="2" t="s">
        <v>21</v>
      </c>
      <c r="F1121" s="3" t="str">
        <f t="shared" si="191"/>
        <v>Tumor necrosis factor</v>
      </c>
      <c r="G1121" s="4" t="str">
        <f t="shared" si="187"/>
        <v>Genz-29155</v>
      </c>
      <c r="H1121" s="3" t="str">
        <f>HYPERLINK("https://www.cortellis.com/drugdiscovery/entity/biomarkers/28647","15-gene expression lung cancer panel")</f>
        <v>15-gene expression lung cancer panel</v>
      </c>
      <c r="I1121" s="2" t="s">
        <v>20</v>
      </c>
      <c r="J1121" s="2" t="s">
        <v>19</v>
      </c>
      <c r="K1121" s="4" t="str">
        <f>HYPERLINK("https://www.cortellis.com/drugdiscovery/result/proxy/related-content/biomarkers/genestargets/28647","interferon gamma; interleukin 15; tumor necrosis factor")</f>
        <v>interferon gamma; interleukin 15; tumor necrosis factor</v>
      </c>
    </row>
    <row r="1122" spans="1:11" ht="60" customHeight="1" x14ac:dyDescent="0.2">
      <c r="A1122" s="2">
        <v>1119</v>
      </c>
      <c r="B1122" s="3" t="str">
        <f t="shared" si="188"/>
        <v>TNF-alpha</v>
      </c>
      <c r="C1122" s="3" t="str">
        <f t="shared" si="189"/>
        <v>TNF</v>
      </c>
      <c r="D1122" s="3" t="str">
        <f t="shared" si="190"/>
        <v>TNFA_HUMAN</v>
      </c>
      <c r="E1122" s="2" t="s">
        <v>21</v>
      </c>
      <c r="F1122" s="3" t="str">
        <f t="shared" si="191"/>
        <v>Tumor necrosis factor</v>
      </c>
      <c r="G1122" s="4" t="str">
        <f t="shared" si="187"/>
        <v>Genz-29155</v>
      </c>
      <c r="H1122" s="3" t="str">
        <f>HYPERLINK("https://www.cortellis.com/drugdiscovery/entity/biomarkers/29676","277-gene expression lung cancer panel")</f>
        <v>277-gene expression lung cancer panel</v>
      </c>
      <c r="I1122" s="2" t="s">
        <v>25</v>
      </c>
      <c r="J1122" s="2" t="s">
        <v>19</v>
      </c>
      <c r="K1122" s="4" t="str">
        <f>HYPERLINK("https://www.cortellis.com/drugdiscovery/result/proxy/related-content/biomarkers/genestargets/29676","cyclin D1; tumor necrosis factor")</f>
        <v>cyclin D1; tumor necrosis factor</v>
      </c>
    </row>
    <row r="1123" spans="1:11" ht="60" customHeight="1" x14ac:dyDescent="0.2">
      <c r="A1123" s="2">
        <v>1120</v>
      </c>
      <c r="B1123" s="3" t="str">
        <f t="shared" si="188"/>
        <v>TNF-alpha</v>
      </c>
      <c r="C1123" s="3" t="str">
        <f t="shared" si="189"/>
        <v>TNF</v>
      </c>
      <c r="D1123" s="3" t="str">
        <f t="shared" si="190"/>
        <v>TNFA_HUMAN</v>
      </c>
      <c r="E1123" s="2" t="s">
        <v>21</v>
      </c>
      <c r="F1123" s="3" t="str">
        <f t="shared" si="191"/>
        <v>Tumor necrosis factor</v>
      </c>
      <c r="G1123" s="4" t="str">
        <f t="shared" si="187"/>
        <v>Genz-29155</v>
      </c>
      <c r="H1123" s="3" t="str">
        <f>HYPERLINK("https://www.cortellis.com/drugdiscovery/entity/biomarkers/30768","11-protein cardiovascular panel")</f>
        <v>11-protein cardiovascular panel</v>
      </c>
      <c r="I1123" s="2" t="s">
        <v>23</v>
      </c>
      <c r="J1123" s="2" t="s">
        <v>17</v>
      </c>
      <c r="K1123" s="4" t="str">
        <f>HYPERLINK("https://www.cortellis.com/drugdiscovery/result/proxy/related-content/biomarkers/genestargets/30768","interferon gamma; interleukin 12B; tumor necrosis factor")</f>
        <v>interferon gamma; interleukin 12B; tumor necrosis factor</v>
      </c>
    </row>
    <row r="1124" spans="1:11" ht="60" customHeight="1" x14ac:dyDescent="0.2">
      <c r="A1124" s="2">
        <v>1121</v>
      </c>
      <c r="B1124" s="3" t="str">
        <f t="shared" si="188"/>
        <v>TNF-alpha</v>
      </c>
      <c r="C1124" s="3" t="str">
        <f t="shared" si="189"/>
        <v>TNF</v>
      </c>
      <c r="D1124" s="3" t="str">
        <f t="shared" si="190"/>
        <v>TNFA_HUMAN</v>
      </c>
      <c r="E1124" s="2" t="s">
        <v>21</v>
      </c>
      <c r="F1124" s="3" t="str">
        <f t="shared" si="191"/>
        <v>Tumor necrosis factor</v>
      </c>
      <c r="G1124" s="4" t="str">
        <f t="shared" si="187"/>
        <v>Genz-29155</v>
      </c>
      <c r="H1124" s="3" t="str">
        <f>HYPERLINK("https://www.cortellis.com/drugdiscovery/entity/biomarkers/34385","30-protein alzheimer's panel")</f>
        <v>30-protein alzheimer's panel</v>
      </c>
      <c r="I1124" s="2" t="s">
        <v>23</v>
      </c>
      <c r="J1124" s="2" t="s">
        <v>17</v>
      </c>
      <c r="K1124" s="4" t="str">
        <f>HYPERLINK("https://www.cortellis.com/drugdiscovery/result/proxy/related-content/biomarkers/genestargets/34385","C-C motif chemokine ligand 2; interleukin 7; tenascin C; tumor necrosis factor")</f>
        <v>C-C motif chemokine ligand 2; interleukin 7; tenascin C; tumor necrosis factor</v>
      </c>
    </row>
    <row r="1125" spans="1:11" ht="60" customHeight="1" x14ac:dyDescent="0.2">
      <c r="A1125" s="2">
        <v>1122</v>
      </c>
      <c r="B1125" s="3" t="str">
        <f t="shared" si="188"/>
        <v>TNF-alpha</v>
      </c>
      <c r="C1125" s="3" t="str">
        <f t="shared" si="189"/>
        <v>TNF</v>
      </c>
      <c r="D1125" s="3" t="str">
        <f t="shared" si="190"/>
        <v>TNFA_HUMAN</v>
      </c>
      <c r="E1125" s="2" t="s">
        <v>21</v>
      </c>
      <c r="F1125" s="3" t="str">
        <f t="shared" si="191"/>
        <v>Tumor necrosis factor</v>
      </c>
      <c r="G1125" s="4" t="str">
        <f t="shared" si="187"/>
        <v>Genz-29155</v>
      </c>
      <c r="H1125" s="3" t="str">
        <f>HYPERLINK("https://www.cortellis.com/drugdiscovery/entity/biomarkers/34437","3-protein 3-autoantibody lung cancer panel")</f>
        <v>3-protein 3-autoantibody lung cancer panel</v>
      </c>
      <c r="I1125" s="2" t="s">
        <v>23</v>
      </c>
      <c r="J1125" s="2" t="s">
        <v>17</v>
      </c>
      <c r="K1125" s="4" t="str">
        <f>HYPERLINK("https://www.cortellis.com/drugdiscovery/result/proxy/related-content/biomarkers/genestargets/34437","tumor necrosis factor")</f>
        <v>tumor necrosis factor</v>
      </c>
    </row>
    <row r="1126" spans="1:11" ht="60" customHeight="1" x14ac:dyDescent="0.2">
      <c r="A1126" s="2">
        <v>1123</v>
      </c>
      <c r="B1126" s="3" t="str">
        <f t="shared" si="188"/>
        <v>TNF-alpha</v>
      </c>
      <c r="C1126" s="3" t="str">
        <f t="shared" si="189"/>
        <v>TNF</v>
      </c>
      <c r="D1126" s="3" t="str">
        <f t="shared" si="190"/>
        <v>TNFA_HUMAN</v>
      </c>
      <c r="E1126" s="2" t="s">
        <v>21</v>
      </c>
      <c r="F1126" s="3" t="str">
        <f t="shared" si="191"/>
        <v>Tumor necrosis factor</v>
      </c>
      <c r="G1126" s="4" t="str">
        <f t="shared" si="187"/>
        <v>Genz-29155</v>
      </c>
      <c r="H1126" s="3" t="str">
        <f>HYPERLINK("https://www.cortellis.com/drugdiscovery/entity/biomarkers/35424","60-gene expression ovarian cancer panel")</f>
        <v>60-gene expression ovarian cancer panel</v>
      </c>
      <c r="I1126" s="2" t="s">
        <v>18</v>
      </c>
      <c r="J1126" s="2" t="s">
        <v>19</v>
      </c>
      <c r="K1126" s="4" t="str">
        <f>HYPERLINK("https://www.cortellis.com/drugdiscovery/result/proxy/related-content/biomarkers/genestargets/35424","tumor necrosis factor")</f>
        <v>tumor necrosis factor</v>
      </c>
    </row>
    <row r="1127" spans="1:11" ht="60" customHeight="1" x14ac:dyDescent="0.2">
      <c r="A1127" s="2">
        <v>1124</v>
      </c>
      <c r="B1127" s="3" t="str">
        <f t="shared" si="188"/>
        <v>TNF-alpha</v>
      </c>
      <c r="C1127" s="3" t="str">
        <f t="shared" si="189"/>
        <v>TNF</v>
      </c>
      <c r="D1127" s="3" t="str">
        <f t="shared" si="190"/>
        <v>TNFA_HUMAN</v>
      </c>
      <c r="E1127" s="2" t="s">
        <v>21</v>
      </c>
      <c r="F1127" s="3" t="str">
        <f t="shared" si="191"/>
        <v>Tumor necrosis factor</v>
      </c>
      <c r="G1127" s="4" t="str">
        <f t="shared" si="187"/>
        <v>Genz-29155</v>
      </c>
      <c r="H1127" s="3" t="str">
        <f>HYPERLINK("https://www.cortellis.com/drugdiscovery/entity/biomarkers/36125","10-protein respiratory panel")</f>
        <v>10-protein respiratory panel</v>
      </c>
      <c r="I1127" s="2" t="s">
        <v>25</v>
      </c>
      <c r="J1127" s="2" t="s">
        <v>17</v>
      </c>
      <c r="K1127" s="4" t="str">
        <f>HYPERLINK("https://www.cortellis.com/drugdiscovery/result/proxy/related-content/biomarkers/genestargets/36125","interferon gamma; tumor necrosis factor")</f>
        <v>interferon gamma; tumor necrosis factor</v>
      </c>
    </row>
    <row r="1128" spans="1:11" ht="60" customHeight="1" x14ac:dyDescent="0.2">
      <c r="A1128" s="2">
        <v>1125</v>
      </c>
      <c r="B1128" s="3" t="str">
        <f t="shared" si="188"/>
        <v>TNF-alpha</v>
      </c>
      <c r="C1128" s="3" t="str">
        <f t="shared" si="189"/>
        <v>TNF</v>
      </c>
      <c r="D1128" s="3" t="str">
        <f t="shared" si="190"/>
        <v>TNFA_HUMAN</v>
      </c>
      <c r="E1128" s="2" t="s">
        <v>21</v>
      </c>
      <c r="F1128" s="3" t="str">
        <f t="shared" si="191"/>
        <v>Tumor necrosis factor</v>
      </c>
      <c r="G1128" s="4" t="str">
        <f t="shared" si="187"/>
        <v>Genz-29155</v>
      </c>
      <c r="H1128" s="3" t="str">
        <f>HYPERLINK("https://www.cortellis.com/drugdiscovery/entity/biomarkers/36127","3-protein respiratory panel")</f>
        <v>3-protein respiratory panel</v>
      </c>
      <c r="I1128" s="2" t="s">
        <v>25</v>
      </c>
      <c r="J1128" s="2" t="s">
        <v>17</v>
      </c>
      <c r="K1128" s="4" t="str">
        <f>HYPERLINK("https://www.cortellis.com/drugdiscovery/result/proxy/related-content/biomarkers/genestargets/36127","interferon gamma; tumor necrosis factor")</f>
        <v>interferon gamma; tumor necrosis factor</v>
      </c>
    </row>
    <row r="1129" spans="1:11" ht="60" customHeight="1" x14ac:dyDescent="0.2">
      <c r="A1129" s="2">
        <v>1126</v>
      </c>
      <c r="B1129" s="3" t="str">
        <f t="shared" si="188"/>
        <v>TNF-alpha</v>
      </c>
      <c r="C1129" s="3" t="str">
        <f t="shared" si="189"/>
        <v>TNF</v>
      </c>
      <c r="D1129" s="3" t="str">
        <f t="shared" si="190"/>
        <v>TNFA_HUMAN</v>
      </c>
      <c r="E1129" s="2" t="s">
        <v>21</v>
      </c>
      <c r="F1129" s="3" t="str">
        <f t="shared" si="191"/>
        <v>Tumor necrosis factor</v>
      </c>
      <c r="G1129" s="4" t="str">
        <f t="shared" si="187"/>
        <v>Genz-29155</v>
      </c>
      <c r="H1129" s="3" t="str">
        <f>HYPERLINK("https://www.cortellis.com/drugdiscovery/entity/biomarkers/37520","4-protein bacteremia panel")</f>
        <v>4-protein bacteremia panel</v>
      </c>
      <c r="I1129" s="2" t="s">
        <v>23</v>
      </c>
      <c r="J1129" s="2" t="s">
        <v>17</v>
      </c>
      <c r="K1129" s="4" t="str">
        <f>HYPERLINK("https://www.cortellis.com/drugdiscovery/result/proxy/related-content/biomarkers/genestargets/37520","tumor necrosis factor")</f>
        <v>tumor necrosis factor</v>
      </c>
    </row>
    <row r="1130" spans="1:11" ht="60" customHeight="1" x14ac:dyDescent="0.2">
      <c r="A1130" s="2">
        <v>1127</v>
      </c>
      <c r="B1130" s="3" t="str">
        <f t="shared" si="188"/>
        <v>TNF-alpha</v>
      </c>
      <c r="C1130" s="3" t="str">
        <f t="shared" si="189"/>
        <v>TNF</v>
      </c>
      <c r="D1130" s="3" t="str">
        <f t="shared" si="190"/>
        <v>TNFA_HUMAN</v>
      </c>
      <c r="E1130" s="2" t="s">
        <v>21</v>
      </c>
      <c r="F1130" s="3" t="str">
        <f t="shared" si="191"/>
        <v>Tumor necrosis factor</v>
      </c>
      <c r="G1130" s="4" t="str">
        <f t="shared" si="187"/>
        <v>Genz-29155</v>
      </c>
      <c r="H1130" s="3" t="str">
        <f>HYPERLINK("https://www.cortellis.com/drugdiscovery/entity/biomarkers/43870","17-genomic 14-protein 3-biochemical irritable bowel syndrome panel")</f>
        <v>17-genomic 14-protein 3-biochemical irritable bowel syndrome panel</v>
      </c>
      <c r="I1130" s="2" t="s">
        <v>52</v>
      </c>
      <c r="J1130" s="2" t="s">
        <v>53</v>
      </c>
      <c r="K1130" s="4" t="str">
        <f>HYPERLINK("https://www.cortellis.com/drugdiscovery/result/proxy/related-content/biomarkers/genestargets/43870","interleukin 12B; tumor necrosis factor")</f>
        <v>interleukin 12B; tumor necrosis factor</v>
      </c>
    </row>
    <row r="1131" spans="1:11" ht="60" customHeight="1" x14ac:dyDescent="0.2">
      <c r="A1131" s="2">
        <v>1128</v>
      </c>
      <c r="B1131" s="3" t="str">
        <f t="shared" si="188"/>
        <v>TNF-alpha</v>
      </c>
      <c r="C1131" s="3" t="str">
        <f t="shared" si="189"/>
        <v>TNF</v>
      </c>
      <c r="D1131" s="3" t="str">
        <f t="shared" si="190"/>
        <v>TNFA_HUMAN</v>
      </c>
      <c r="E1131" s="2" t="s">
        <v>21</v>
      </c>
      <c r="F1131" s="3" t="str">
        <f t="shared" si="191"/>
        <v>Tumor necrosis factor</v>
      </c>
      <c r="G1131" s="4" t="str">
        <f t="shared" si="187"/>
        <v>Genz-29155</v>
      </c>
      <c r="H1131" s="3" t="str">
        <f>HYPERLINK("https://www.cortellis.com/drugdiscovery/entity/biomarkers/46842","7-protein non small cell lung cancer panel")</f>
        <v>7-protein non small cell lung cancer panel</v>
      </c>
      <c r="I1131" s="2" t="s">
        <v>23</v>
      </c>
      <c r="J1131" s="2" t="s">
        <v>17</v>
      </c>
      <c r="K1131" s="4" t="str">
        <f>HYPERLINK("https://www.cortellis.com/drugdiscovery/result/proxy/related-content/biomarkers/genestargets/46842","tumor necrosis factor")</f>
        <v>tumor necrosis factor</v>
      </c>
    </row>
    <row r="1132" spans="1:11" ht="60" customHeight="1" x14ac:dyDescent="0.2">
      <c r="A1132" s="2">
        <v>1129</v>
      </c>
      <c r="B1132" s="3" t="str">
        <f t="shared" si="188"/>
        <v>TNF-alpha</v>
      </c>
      <c r="C1132" s="3" t="str">
        <f t="shared" si="189"/>
        <v>TNF</v>
      </c>
      <c r="D1132" s="3" t="str">
        <f t="shared" si="190"/>
        <v>TNFA_HUMAN</v>
      </c>
      <c r="E1132" s="2" t="s">
        <v>21</v>
      </c>
      <c r="F1132" s="3" t="str">
        <f t="shared" si="191"/>
        <v>Tumor necrosis factor</v>
      </c>
      <c r="G1132" s="4" t="str">
        <f t="shared" si="187"/>
        <v>Genz-29155</v>
      </c>
      <c r="H1132" s="3" t="str">
        <f>HYPERLINK("https://www.cortellis.com/drugdiscovery/entity/biomarkers/50816","10-gene lyme disease panel")</f>
        <v>10-gene lyme disease panel</v>
      </c>
      <c r="I1132" s="2" t="s">
        <v>23</v>
      </c>
      <c r="J1132" s="2" t="s">
        <v>15</v>
      </c>
      <c r="K1132" s="4" t="str">
        <f>HYPERLINK("https://www.cortellis.com/drugdiscovery/result/proxy/related-content/biomarkers/genestargets/50816","C-C motif chemokine ligand 2; interferon gamma; tumor necrosis factor")</f>
        <v>C-C motif chemokine ligand 2; interferon gamma; tumor necrosis factor</v>
      </c>
    </row>
    <row r="1133" spans="1:11" ht="60" customHeight="1" x14ac:dyDescent="0.2">
      <c r="A1133" s="2">
        <v>1130</v>
      </c>
      <c r="B1133" s="3" t="str">
        <f t="shared" si="188"/>
        <v>TNF-alpha</v>
      </c>
      <c r="C1133" s="3" t="str">
        <f t="shared" si="189"/>
        <v>TNF</v>
      </c>
      <c r="D1133" s="3" t="str">
        <f t="shared" si="190"/>
        <v>TNFA_HUMAN</v>
      </c>
      <c r="E1133" s="2" t="s">
        <v>21</v>
      </c>
      <c r="F1133" s="3" t="str">
        <f t="shared" si="191"/>
        <v>Tumor necrosis factor</v>
      </c>
      <c r="G1133" s="4" t="str">
        <f t="shared" si="187"/>
        <v>Genz-29155</v>
      </c>
      <c r="H1133" s="3" t="str">
        <f>HYPERLINK("https://www.cortellis.com/drugdiscovery/entity/biomarkers/50817","11-gene lyme disease panel")</f>
        <v>11-gene lyme disease panel</v>
      </c>
      <c r="I1133" s="2" t="s">
        <v>23</v>
      </c>
      <c r="J1133" s="2" t="s">
        <v>15</v>
      </c>
      <c r="K1133" s="4" t="str">
        <f>HYPERLINK("https://www.cortellis.com/drugdiscovery/result/proxy/related-content/biomarkers/genestargets/50817","C-C motif chemokine ligand 2; interferon gamma; tumor necrosis factor")</f>
        <v>C-C motif chemokine ligand 2; interferon gamma; tumor necrosis factor</v>
      </c>
    </row>
    <row r="1134" spans="1:11" ht="60" customHeight="1" x14ac:dyDescent="0.2">
      <c r="A1134" s="2">
        <v>1131</v>
      </c>
      <c r="B1134" s="3" t="str">
        <f t="shared" si="188"/>
        <v>TNF-alpha</v>
      </c>
      <c r="C1134" s="3" t="str">
        <f t="shared" si="189"/>
        <v>TNF</v>
      </c>
      <c r="D1134" s="3" t="str">
        <f t="shared" si="190"/>
        <v>TNFA_HUMAN</v>
      </c>
      <c r="E1134" s="2" t="s">
        <v>21</v>
      </c>
      <c r="F1134" s="3" t="str">
        <f t="shared" si="191"/>
        <v>Tumor necrosis factor</v>
      </c>
      <c r="G1134" s="4" t="str">
        <f t="shared" si="187"/>
        <v>Genz-29155</v>
      </c>
      <c r="H1134" s="3" t="str">
        <f>HYPERLINK("https://www.cortellis.com/drugdiscovery/entity/biomarkers/50818","12 protein Lyme disease panel")</f>
        <v>12 protein Lyme disease panel</v>
      </c>
      <c r="I1134" s="2" t="s">
        <v>23</v>
      </c>
      <c r="J1134" s="2" t="s">
        <v>17</v>
      </c>
      <c r="K1134" s="4" t="str">
        <f>HYPERLINK("https://www.cortellis.com/drugdiscovery/result/proxy/related-content/biomarkers/genestargets/50818","C-C motif chemokine ligand 2; interferon gamma; tumor necrosis factor")</f>
        <v>C-C motif chemokine ligand 2; interferon gamma; tumor necrosis factor</v>
      </c>
    </row>
    <row r="1135" spans="1:11" ht="60" customHeight="1" x14ac:dyDescent="0.2">
      <c r="A1135" s="2">
        <v>1132</v>
      </c>
      <c r="B1135" s="3" t="str">
        <f t="shared" si="188"/>
        <v>TNF-alpha</v>
      </c>
      <c r="C1135" s="3" t="str">
        <f t="shared" si="189"/>
        <v>TNF</v>
      </c>
      <c r="D1135" s="3" t="str">
        <f t="shared" si="190"/>
        <v>TNFA_HUMAN</v>
      </c>
      <c r="E1135" s="2" t="s">
        <v>21</v>
      </c>
      <c r="F1135" s="3" t="str">
        <f t="shared" si="191"/>
        <v>Tumor necrosis factor</v>
      </c>
      <c r="G1135" s="4" t="str">
        <f t="shared" si="187"/>
        <v>Genz-29155</v>
      </c>
      <c r="H1135" s="3" t="str">
        <f>HYPERLINK("https://www.cortellis.com/drugdiscovery/entity/biomarkers/51292","37-gene expression major depression panel")</f>
        <v>37-gene expression major depression panel</v>
      </c>
      <c r="I1135" s="2" t="s">
        <v>23</v>
      </c>
      <c r="J1135" s="2" t="s">
        <v>19</v>
      </c>
      <c r="K1135" s="4" t="str">
        <f>HYPERLINK("https://www.cortellis.com/drugdiscovery/result/proxy/related-content/biomarkers/genestargets/51292","C-C motif chemokine ligand 2; tumor necrosis factor")</f>
        <v>C-C motif chemokine ligand 2; tumor necrosis factor</v>
      </c>
    </row>
    <row r="1136" spans="1:11" ht="60" customHeight="1" x14ac:dyDescent="0.2">
      <c r="A1136" s="2">
        <v>1133</v>
      </c>
      <c r="B1136" s="3" t="str">
        <f t="shared" si="188"/>
        <v>TNF-alpha</v>
      </c>
      <c r="C1136" s="3" t="str">
        <f t="shared" si="189"/>
        <v>TNF</v>
      </c>
      <c r="D1136" s="3" t="str">
        <f t="shared" si="190"/>
        <v>TNFA_HUMAN</v>
      </c>
      <c r="E1136" s="2" t="s">
        <v>21</v>
      </c>
      <c r="F1136" s="3" t="str">
        <f t="shared" si="191"/>
        <v>Tumor necrosis factor</v>
      </c>
      <c r="G1136" s="4" t="str">
        <f t="shared" si="187"/>
        <v>Genz-29155</v>
      </c>
      <c r="H1136" s="3" t="str">
        <f>HYPERLINK("https://www.cortellis.com/drugdiscovery/entity/biomarkers/57224","21-protein mild cognitive impairment panel")</f>
        <v>21-protein mild cognitive impairment panel</v>
      </c>
      <c r="I1136" s="2" t="s">
        <v>23</v>
      </c>
      <c r="J1136" s="2" t="s">
        <v>19</v>
      </c>
      <c r="K1136" s="4" t="str">
        <f>HYPERLINK("https://www.cortellis.com/drugdiscovery/result/proxy/related-content/biomarkers/genestargets/57224","interleukin 7; tenascin C; tumor necrosis factor")</f>
        <v>interleukin 7; tenascin C; tumor necrosis factor</v>
      </c>
    </row>
    <row r="1137" spans="1:11" ht="60" customHeight="1" x14ac:dyDescent="0.2">
      <c r="A1137" s="2">
        <v>1134</v>
      </c>
      <c r="B1137" s="3" t="str">
        <f t="shared" si="188"/>
        <v>TNF-alpha</v>
      </c>
      <c r="C1137" s="3" t="str">
        <f t="shared" si="189"/>
        <v>TNF</v>
      </c>
      <c r="D1137" s="3" t="str">
        <f t="shared" si="190"/>
        <v>TNFA_HUMAN</v>
      </c>
      <c r="E1137" s="2" t="s">
        <v>21</v>
      </c>
      <c r="F1137" s="3" t="str">
        <f t="shared" si="191"/>
        <v>Tumor necrosis factor</v>
      </c>
      <c r="G1137" s="4" t="str">
        <f t="shared" si="187"/>
        <v>Genz-29155</v>
      </c>
      <c r="H1137" s="3" t="str">
        <f>HYPERLINK("https://www.cortellis.com/drugdiscovery/entity/biomarkers/57250","9-protein non-muscle invasive bladder cancer panel")</f>
        <v>9-protein non-muscle invasive bladder cancer panel</v>
      </c>
      <c r="I1137" s="2" t="s">
        <v>18</v>
      </c>
      <c r="J1137" s="2" t="s">
        <v>17</v>
      </c>
      <c r="K1137" s="4" t="str">
        <f>HYPERLINK("https://www.cortellis.com/drugdiscovery/result/proxy/related-content/biomarkers/genestargets/57250","interferon gamma; interleukin 12B; tumor necrosis factor")</f>
        <v>interferon gamma; interleukin 12B; tumor necrosis factor</v>
      </c>
    </row>
    <row r="1138" spans="1:11" ht="60" customHeight="1" x14ac:dyDescent="0.2">
      <c r="A1138" s="2">
        <v>1135</v>
      </c>
      <c r="B1138" s="3" t="str">
        <f t="shared" si="188"/>
        <v>TNF-alpha</v>
      </c>
      <c r="C1138" s="3" t="str">
        <f t="shared" si="189"/>
        <v>TNF</v>
      </c>
      <c r="D1138" s="3" t="str">
        <f t="shared" si="190"/>
        <v>TNFA_HUMAN</v>
      </c>
      <c r="E1138" s="2" t="s">
        <v>21</v>
      </c>
      <c r="F1138" s="3" t="str">
        <f t="shared" si="191"/>
        <v>Tumor necrosis factor</v>
      </c>
      <c r="G1138" s="4" t="str">
        <f t="shared" si="187"/>
        <v>Genz-29155</v>
      </c>
      <c r="H1138" s="3" t="str">
        <f>HYPERLINK("https://www.cortellis.com/drugdiscovery/entity/biomarkers/62155","19-protein rhegmatogenous retinal detachment panel")</f>
        <v>19-protein rhegmatogenous retinal detachment panel</v>
      </c>
      <c r="I1138" s="2" t="s">
        <v>24</v>
      </c>
      <c r="J1138" s="2" t="s">
        <v>17</v>
      </c>
      <c r="K1138" s="4" t="str">
        <f>HYPERLINK("https://www.cortellis.com/drugdiscovery/result/proxy/related-content/biomarkers/genestargets/62155","C-C motif chemokine ligand 2; interleukin 12B; tumor necrosis factor")</f>
        <v>C-C motif chemokine ligand 2; interleukin 12B; tumor necrosis factor</v>
      </c>
    </row>
    <row r="1139" spans="1:11" ht="60" customHeight="1" x14ac:dyDescent="0.2">
      <c r="A1139" s="2">
        <v>1136</v>
      </c>
      <c r="B1139" s="3" t="str">
        <f t="shared" si="188"/>
        <v>TNF-alpha</v>
      </c>
      <c r="C1139" s="3" t="str">
        <f t="shared" si="189"/>
        <v>TNF</v>
      </c>
      <c r="D1139" s="3" t="str">
        <f t="shared" si="190"/>
        <v>TNFA_HUMAN</v>
      </c>
      <c r="E1139" s="2" t="s">
        <v>21</v>
      </c>
      <c r="F1139" s="3" t="str">
        <f t="shared" si="191"/>
        <v>Tumor necrosis factor</v>
      </c>
      <c r="G1139" s="4" t="str">
        <f t="shared" si="187"/>
        <v>Genz-29155</v>
      </c>
      <c r="H1139" s="3" t="str">
        <f>HYPERLINK("https://www.cortellis.com/drugdiscovery/entity/biomarkers/62663","9-protein immunological disorders panel")</f>
        <v>9-protein immunological disorders panel</v>
      </c>
      <c r="I1139" s="2" t="s">
        <v>24</v>
      </c>
      <c r="J1139" s="2" t="s">
        <v>17</v>
      </c>
      <c r="K1139" s="4" t="str">
        <f>HYPERLINK("https://www.cortellis.com/drugdiscovery/result/proxy/related-content/biomarkers/genestargets/62663","C-C motif chemokine ligand 2; interferon gamma; tumor necrosis factor")</f>
        <v>C-C motif chemokine ligand 2; interferon gamma; tumor necrosis factor</v>
      </c>
    </row>
    <row r="1140" spans="1:11" ht="60" customHeight="1" x14ac:dyDescent="0.2">
      <c r="A1140" s="2">
        <v>1137</v>
      </c>
      <c r="B1140" s="3" t="str">
        <f t="shared" si="188"/>
        <v>TNF-alpha</v>
      </c>
      <c r="C1140" s="3" t="str">
        <f t="shared" si="189"/>
        <v>TNF</v>
      </c>
      <c r="D1140" s="3" t="str">
        <f t="shared" si="190"/>
        <v>TNFA_HUMAN</v>
      </c>
      <c r="E1140" s="2" t="s">
        <v>21</v>
      </c>
      <c r="F1140" s="3" t="str">
        <f t="shared" si="191"/>
        <v>Tumor necrosis factor</v>
      </c>
      <c r="G1140" s="4" t="str">
        <f t="shared" si="187"/>
        <v>Genz-29155</v>
      </c>
      <c r="H1140" s="3" t="str">
        <f>HYPERLINK("https://www.cortellis.com/drugdiscovery/entity/biomarkers/62730","7-protein Alzheimer's disease panel")</f>
        <v>7-protein Alzheimer's disease panel</v>
      </c>
      <c r="I1140" s="2" t="s">
        <v>23</v>
      </c>
      <c r="J1140" s="2" t="s">
        <v>17</v>
      </c>
      <c r="K1140" s="4" t="str">
        <f>HYPERLINK("https://www.cortellis.com/drugdiscovery/result/proxy/related-content/biomarkers/genestargets/62730","tumor necrosis factor")</f>
        <v>tumor necrosis factor</v>
      </c>
    </row>
    <row r="1141" spans="1:11" ht="60" customHeight="1" x14ac:dyDescent="0.2">
      <c r="A1141" s="2">
        <v>1138</v>
      </c>
      <c r="B1141" s="3" t="str">
        <f t="shared" si="188"/>
        <v>TNF-alpha</v>
      </c>
      <c r="C1141" s="3" t="str">
        <f t="shared" si="189"/>
        <v>TNF</v>
      </c>
      <c r="D1141" s="3" t="str">
        <f t="shared" si="190"/>
        <v>TNFA_HUMAN</v>
      </c>
      <c r="E1141" s="2" t="s">
        <v>21</v>
      </c>
      <c r="F1141" s="3" t="str">
        <f t="shared" si="191"/>
        <v>Tumor necrosis factor</v>
      </c>
      <c r="G1141" s="4" t="str">
        <f t="shared" si="187"/>
        <v>Genz-29155</v>
      </c>
      <c r="H1141" s="3" t="str">
        <f>HYPERLINK("https://www.cortellis.com/drugdiscovery/entity/biomarkers/62746","5-protein renal disorder panel")</f>
        <v>5-protein renal disorder panel</v>
      </c>
      <c r="I1141" s="2" t="s">
        <v>25</v>
      </c>
      <c r="J1141" s="2" t="s">
        <v>17</v>
      </c>
      <c r="K1141" s="4" t="str">
        <f>HYPERLINK("https://www.cortellis.com/drugdiscovery/result/proxy/related-content/biomarkers/genestargets/62746","tumor necrosis factor")</f>
        <v>tumor necrosis factor</v>
      </c>
    </row>
    <row r="1142" spans="1:11" ht="60" customHeight="1" x14ac:dyDescent="0.2">
      <c r="A1142" s="2">
        <v>1139</v>
      </c>
      <c r="B1142" s="3" t="str">
        <f t="shared" si="188"/>
        <v>TNF-alpha</v>
      </c>
      <c r="C1142" s="3" t="str">
        <f t="shared" si="189"/>
        <v>TNF</v>
      </c>
      <c r="D1142" s="3" t="str">
        <f t="shared" si="190"/>
        <v>TNFA_HUMAN</v>
      </c>
      <c r="E1142" s="2" t="s">
        <v>21</v>
      </c>
      <c r="F1142" s="3" t="str">
        <f t="shared" si="191"/>
        <v>Tumor necrosis factor</v>
      </c>
      <c r="G1142" s="4" t="str">
        <f t="shared" si="187"/>
        <v>Genz-29155</v>
      </c>
      <c r="H1142" s="3" t="str">
        <f>HYPERLINK("https://www.cortellis.com/drugdiscovery/entity/biomarkers/65259","22-gene expression hepatocellular carcinoma panel")</f>
        <v>22-gene expression hepatocellular carcinoma panel</v>
      </c>
      <c r="I1142" s="2" t="s">
        <v>25</v>
      </c>
      <c r="J1142" s="2" t="s">
        <v>19</v>
      </c>
      <c r="K1142" s="4" t="str">
        <f>HYPERLINK("https://www.cortellis.com/drugdiscovery/result/proxy/related-content/biomarkers/genestargets/65259","tumor necrosis factor")</f>
        <v>tumor necrosis factor</v>
      </c>
    </row>
    <row r="1143" spans="1:11" ht="60" customHeight="1" x14ac:dyDescent="0.2">
      <c r="A1143" s="2">
        <v>1140</v>
      </c>
      <c r="B1143" s="3" t="str">
        <f t="shared" si="188"/>
        <v>TNF-alpha</v>
      </c>
      <c r="C1143" s="3" t="str">
        <f t="shared" si="189"/>
        <v>TNF</v>
      </c>
      <c r="D1143" s="3" t="str">
        <f t="shared" si="190"/>
        <v>TNFA_HUMAN</v>
      </c>
      <c r="E1143" s="2" t="s">
        <v>21</v>
      </c>
      <c r="F1143" s="3" t="str">
        <f t="shared" si="191"/>
        <v>Tumor necrosis factor</v>
      </c>
      <c r="G1143" s="4" t="str">
        <f t="shared" ref="G1143:G1169" si="192">HYPERLINK("https://portal.genego.com/cgi/entity_page.cgi?term=7&amp;id=674280516","Onercept")</f>
        <v>Onercept</v>
      </c>
      <c r="H1143" s="3" t="str">
        <f>HYPERLINK("https://www.cortellis.com/drugdiscovery/entity/biomarkers/274","Tumor necrosis factor")</f>
        <v>Tumor necrosis factor</v>
      </c>
      <c r="I1143" s="2" t="s">
        <v>22</v>
      </c>
      <c r="J1143" s="2" t="s">
        <v>15</v>
      </c>
      <c r="K1143" s="4" t="str">
        <f>HYPERLINK("https://www.cortellis.com/drugdiscovery/result/proxy/related-content/biomarkers/genestargets/274","tumor necrosis factor")</f>
        <v>tumor necrosis factor</v>
      </c>
    </row>
    <row r="1144" spans="1:11" ht="60" customHeight="1" x14ac:dyDescent="0.2">
      <c r="A1144" s="2">
        <v>1141</v>
      </c>
      <c r="B1144" s="3" t="str">
        <f t="shared" si="188"/>
        <v>TNF-alpha</v>
      </c>
      <c r="C1144" s="3" t="str">
        <f t="shared" si="189"/>
        <v>TNF</v>
      </c>
      <c r="D1144" s="3" t="str">
        <f t="shared" si="190"/>
        <v>TNFA_HUMAN</v>
      </c>
      <c r="E1144" s="2" t="s">
        <v>21</v>
      </c>
      <c r="F1144" s="3" t="str">
        <f t="shared" si="191"/>
        <v>Tumor necrosis factor</v>
      </c>
      <c r="G1144" s="4" t="str">
        <f t="shared" si="192"/>
        <v>Onercept</v>
      </c>
      <c r="H1144" s="3" t="str">
        <f>HYPERLINK("https://www.cortellis.com/drugdiscovery/entity/biomarkers/27598","89-protein neurological alzheimer's panel")</f>
        <v>89-protein neurological alzheimer's panel</v>
      </c>
      <c r="I1144" s="2" t="s">
        <v>23</v>
      </c>
      <c r="J1144" s="2" t="s">
        <v>17</v>
      </c>
      <c r="K114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145" spans="1:11" ht="60" customHeight="1" x14ac:dyDescent="0.2">
      <c r="A1145" s="2">
        <v>1142</v>
      </c>
      <c r="B1145" s="3" t="str">
        <f t="shared" si="188"/>
        <v>TNF-alpha</v>
      </c>
      <c r="C1145" s="3" t="str">
        <f t="shared" si="189"/>
        <v>TNF</v>
      </c>
      <c r="D1145" s="3" t="str">
        <f t="shared" si="190"/>
        <v>TNFA_HUMAN</v>
      </c>
      <c r="E1145" s="2" t="s">
        <v>21</v>
      </c>
      <c r="F1145" s="3" t="str">
        <f t="shared" si="191"/>
        <v>Tumor necrosis factor</v>
      </c>
      <c r="G1145" s="4" t="str">
        <f t="shared" si="192"/>
        <v>Onercept</v>
      </c>
      <c r="H1145" s="3" t="str">
        <f>HYPERLINK("https://www.cortellis.com/drugdiscovery/entity/biomarkers/27640","5-protein alzheimer's panel")</f>
        <v>5-protein alzheimer's panel</v>
      </c>
      <c r="I1145" s="2" t="s">
        <v>23</v>
      </c>
      <c r="J1145" s="2" t="s">
        <v>17</v>
      </c>
      <c r="K1145" s="4" t="str">
        <f>HYPERLINK("https://www.cortellis.com/drugdiscovery/result/proxy/related-content/biomarkers/genestargets/27640","tumor necrosis factor")</f>
        <v>tumor necrosis factor</v>
      </c>
    </row>
    <row r="1146" spans="1:11" ht="60" customHeight="1" x14ac:dyDescent="0.2">
      <c r="A1146" s="2">
        <v>1143</v>
      </c>
      <c r="B1146" s="3" t="str">
        <f t="shared" si="188"/>
        <v>TNF-alpha</v>
      </c>
      <c r="C1146" s="3" t="str">
        <f t="shared" si="189"/>
        <v>TNF</v>
      </c>
      <c r="D1146" s="3" t="str">
        <f t="shared" si="190"/>
        <v>TNFA_HUMAN</v>
      </c>
      <c r="E1146" s="2" t="s">
        <v>21</v>
      </c>
      <c r="F1146" s="3" t="str">
        <f t="shared" si="191"/>
        <v>Tumor necrosis factor</v>
      </c>
      <c r="G1146" s="4" t="str">
        <f t="shared" si="192"/>
        <v>Onercept</v>
      </c>
      <c r="H1146" s="3" t="str">
        <f>HYPERLINK("https://www.cortellis.com/drugdiscovery/entity/biomarkers/27734","6-protein lung cancer panel")</f>
        <v>6-protein lung cancer panel</v>
      </c>
      <c r="I1146" s="2" t="s">
        <v>23</v>
      </c>
      <c r="J1146" s="2" t="s">
        <v>17</v>
      </c>
      <c r="K1146" s="4" t="str">
        <f>HYPERLINK("https://www.cortellis.com/drugdiscovery/result/proxy/related-content/biomarkers/genestargets/27734","interferon gamma; tumor necrosis factor")</f>
        <v>interferon gamma; tumor necrosis factor</v>
      </c>
    </row>
    <row r="1147" spans="1:11" ht="60" customHeight="1" x14ac:dyDescent="0.2">
      <c r="A1147" s="2">
        <v>1144</v>
      </c>
      <c r="B1147" s="3" t="str">
        <f t="shared" si="188"/>
        <v>TNF-alpha</v>
      </c>
      <c r="C1147" s="3" t="str">
        <f t="shared" si="189"/>
        <v>TNF</v>
      </c>
      <c r="D1147" s="3" t="str">
        <f t="shared" si="190"/>
        <v>TNFA_HUMAN</v>
      </c>
      <c r="E1147" s="2" t="s">
        <v>21</v>
      </c>
      <c r="F1147" s="3" t="str">
        <f t="shared" si="191"/>
        <v>Tumor necrosis factor</v>
      </c>
      <c r="G1147" s="4" t="str">
        <f t="shared" si="192"/>
        <v>Onercept</v>
      </c>
      <c r="H1147" s="3" t="str">
        <f>HYPERLINK("https://www.cortellis.com/drugdiscovery/entity/biomarkers/28148","11-gene expression lung cancer panel")</f>
        <v>11-gene expression lung cancer panel</v>
      </c>
      <c r="I1147" s="2" t="s">
        <v>25</v>
      </c>
      <c r="J1147" s="2" t="s">
        <v>19</v>
      </c>
      <c r="K1147" s="4" t="str">
        <f>HYPERLINK("https://www.cortellis.com/drugdiscovery/result/proxy/related-content/biomarkers/genestargets/28148","interferon gamma; interleukin 15; tumor necrosis factor")</f>
        <v>interferon gamma; interleukin 15; tumor necrosis factor</v>
      </c>
    </row>
    <row r="1148" spans="1:11" ht="60" customHeight="1" x14ac:dyDescent="0.2">
      <c r="A1148" s="2">
        <v>1145</v>
      </c>
      <c r="B1148" s="3" t="str">
        <f t="shared" si="188"/>
        <v>TNF-alpha</v>
      </c>
      <c r="C1148" s="3" t="str">
        <f t="shared" si="189"/>
        <v>TNF</v>
      </c>
      <c r="D1148" s="3" t="str">
        <f t="shared" si="190"/>
        <v>TNFA_HUMAN</v>
      </c>
      <c r="E1148" s="2" t="s">
        <v>21</v>
      </c>
      <c r="F1148" s="3" t="str">
        <f t="shared" si="191"/>
        <v>Tumor necrosis factor</v>
      </c>
      <c r="G1148" s="4" t="str">
        <f t="shared" si="192"/>
        <v>Onercept</v>
      </c>
      <c r="H1148" s="3" t="str">
        <f>HYPERLINK("https://www.cortellis.com/drugdiscovery/entity/biomarkers/28647","15-gene expression lung cancer panel")</f>
        <v>15-gene expression lung cancer panel</v>
      </c>
      <c r="I1148" s="2" t="s">
        <v>20</v>
      </c>
      <c r="J1148" s="2" t="s">
        <v>19</v>
      </c>
      <c r="K1148" s="4" t="str">
        <f>HYPERLINK("https://www.cortellis.com/drugdiscovery/result/proxy/related-content/biomarkers/genestargets/28647","interferon gamma; interleukin 15; tumor necrosis factor")</f>
        <v>interferon gamma; interleukin 15; tumor necrosis factor</v>
      </c>
    </row>
    <row r="1149" spans="1:11" ht="60" customHeight="1" x14ac:dyDescent="0.2">
      <c r="A1149" s="2">
        <v>1146</v>
      </c>
      <c r="B1149" s="3" t="str">
        <f t="shared" si="188"/>
        <v>TNF-alpha</v>
      </c>
      <c r="C1149" s="3" t="str">
        <f t="shared" si="189"/>
        <v>TNF</v>
      </c>
      <c r="D1149" s="3" t="str">
        <f t="shared" si="190"/>
        <v>TNFA_HUMAN</v>
      </c>
      <c r="E1149" s="2" t="s">
        <v>21</v>
      </c>
      <c r="F1149" s="3" t="str">
        <f t="shared" si="191"/>
        <v>Tumor necrosis factor</v>
      </c>
      <c r="G1149" s="4" t="str">
        <f t="shared" si="192"/>
        <v>Onercept</v>
      </c>
      <c r="H1149" s="3" t="str">
        <f>HYPERLINK("https://www.cortellis.com/drugdiscovery/entity/biomarkers/29676","277-gene expression lung cancer panel")</f>
        <v>277-gene expression lung cancer panel</v>
      </c>
      <c r="I1149" s="2" t="s">
        <v>25</v>
      </c>
      <c r="J1149" s="2" t="s">
        <v>19</v>
      </c>
      <c r="K1149" s="4" t="str">
        <f>HYPERLINK("https://www.cortellis.com/drugdiscovery/result/proxy/related-content/biomarkers/genestargets/29676","cyclin D1; tumor necrosis factor")</f>
        <v>cyclin D1; tumor necrosis factor</v>
      </c>
    </row>
    <row r="1150" spans="1:11" ht="60" customHeight="1" x14ac:dyDescent="0.2">
      <c r="A1150" s="2">
        <v>1147</v>
      </c>
      <c r="B1150" s="3" t="str">
        <f t="shared" si="188"/>
        <v>TNF-alpha</v>
      </c>
      <c r="C1150" s="3" t="str">
        <f t="shared" si="189"/>
        <v>TNF</v>
      </c>
      <c r="D1150" s="3" t="str">
        <f t="shared" si="190"/>
        <v>TNFA_HUMAN</v>
      </c>
      <c r="E1150" s="2" t="s">
        <v>21</v>
      </c>
      <c r="F1150" s="3" t="str">
        <f t="shared" si="191"/>
        <v>Tumor necrosis factor</v>
      </c>
      <c r="G1150" s="4" t="str">
        <f t="shared" si="192"/>
        <v>Onercept</v>
      </c>
      <c r="H1150" s="3" t="str">
        <f>HYPERLINK("https://www.cortellis.com/drugdiscovery/entity/biomarkers/30768","11-protein cardiovascular panel")</f>
        <v>11-protein cardiovascular panel</v>
      </c>
      <c r="I1150" s="2" t="s">
        <v>23</v>
      </c>
      <c r="J1150" s="2" t="s">
        <v>17</v>
      </c>
      <c r="K1150" s="4" t="str">
        <f>HYPERLINK("https://www.cortellis.com/drugdiscovery/result/proxy/related-content/biomarkers/genestargets/30768","interferon gamma; interleukin 12B; tumor necrosis factor")</f>
        <v>interferon gamma; interleukin 12B; tumor necrosis factor</v>
      </c>
    </row>
    <row r="1151" spans="1:11" ht="60" customHeight="1" x14ac:dyDescent="0.2">
      <c r="A1151" s="2">
        <v>1148</v>
      </c>
      <c r="B1151" s="3" t="str">
        <f t="shared" si="188"/>
        <v>TNF-alpha</v>
      </c>
      <c r="C1151" s="3" t="str">
        <f t="shared" si="189"/>
        <v>TNF</v>
      </c>
      <c r="D1151" s="3" t="str">
        <f t="shared" si="190"/>
        <v>TNFA_HUMAN</v>
      </c>
      <c r="E1151" s="2" t="s">
        <v>21</v>
      </c>
      <c r="F1151" s="3" t="str">
        <f t="shared" si="191"/>
        <v>Tumor necrosis factor</v>
      </c>
      <c r="G1151" s="4" t="str">
        <f t="shared" si="192"/>
        <v>Onercept</v>
      </c>
      <c r="H1151" s="3" t="str">
        <f>HYPERLINK("https://www.cortellis.com/drugdiscovery/entity/biomarkers/34385","30-protein alzheimer's panel")</f>
        <v>30-protein alzheimer's panel</v>
      </c>
      <c r="I1151" s="2" t="s">
        <v>23</v>
      </c>
      <c r="J1151" s="2" t="s">
        <v>17</v>
      </c>
      <c r="K1151" s="4" t="str">
        <f>HYPERLINK("https://www.cortellis.com/drugdiscovery/result/proxy/related-content/biomarkers/genestargets/34385","C-C motif chemokine ligand 2; interleukin 7; tenascin C; tumor necrosis factor")</f>
        <v>C-C motif chemokine ligand 2; interleukin 7; tenascin C; tumor necrosis factor</v>
      </c>
    </row>
    <row r="1152" spans="1:11" ht="60" customHeight="1" x14ac:dyDescent="0.2">
      <c r="A1152" s="2">
        <v>1149</v>
      </c>
      <c r="B1152" s="3" t="str">
        <f t="shared" si="188"/>
        <v>TNF-alpha</v>
      </c>
      <c r="C1152" s="3" t="str">
        <f t="shared" si="189"/>
        <v>TNF</v>
      </c>
      <c r="D1152" s="3" t="str">
        <f t="shared" si="190"/>
        <v>TNFA_HUMAN</v>
      </c>
      <c r="E1152" s="2" t="s">
        <v>21</v>
      </c>
      <c r="F1152" s="3" t="str">
        <f t="shared" si="191"/>
        <v>Tumor necrosis factor</v>
      </c>
      <c r="G1152" s="4" t="str">
        <f t="shared" si="192"/>
        <v>Onercept</v>
      </c>
      <c r="H1152" s="3" t="str">
        <f>HYPERLINK("https://www.cortellis.com/drugdiscovery/entity/biomarkers/34437","3-protein 3-autoantibody lung cancer panel")</f>
        <v>3-protein 3-autoantibody lung cancer panel</v>
      </c>
      <c r="I1152" s="2" t="s">
        <v>23</v>
      </c>
      <c r="J1152" s="2" t="s">
        <v>17</v>
      </c>
      <c r="K1152" s="4" t="str">
        <f>HYPERLINK("https://www.cortellis.com/drugdiscovery/result/proxy/related-content/biomarkers/genestargets/34437","tumor necrosis factor")</f>
        <v>tumor necrosis factor</v>
      </c>
    </row>
    <row r="1153" spans="1:11" ht="60" customHeight="1" x14ac:dyDescent="0.2">
      <c r="A1153" s="2">
        <v>1150</v>
      </c>
      <c r="B1153" s="3" t="str">
        <f t="shared" si="188"/>
        <v>TNF-alpha</v>
      </c>
      <c r="C1153" s="3" t="str">
        <f t="shared" si="189"/>
        <v>TNF</v>
      </c>
      <c r="D1153" s="3" t="str">
        <f t="shared" si="190"/>
        <v>TNFA_HUMAN</v>
      </c>
      <c r="E1153" s="2" t="s">
        <v>21</v>
      </c>
      <c r="F1153" s="3" t="str">
        <f t="shared" si="191"/>
        <v>Tumor necrosis factor</v>
      </c>
      <c r="G1153" s="4" t="str">
        <f t="shared" si="192"/>
        <v>Onercept</v>
      </c>
      <c r="H1153" s="3" t="str">
        <f>HYPERLINK("https://www.cortellis.com/drugdiscovery/entity/biomarkers/35424","60-gene expression ovarian cancer panel")</f>
        <v>60-gene expression ovarian cancer panel</v>
      </c>
      <c r="I1153" s="2" t="s">
        <v>18</v>
      </c>
      <c r="J1153" s="2" t="s">
        <v>19</v>
      </c>
      <c r="K1153" s="4" t="str">
        <f>HYPERLINK("https://www.cortellis.com/drugdiscovery/result/proxy/related-content/biomarkers/genestargets/35424","tumor necrosis factor")</f>
        <v>tumor necrosis factor</v>
      </c>
    </row>
    <row r="1154" spans="1:11" ht="60" customHeight="1" x14ac:dyDescent="0.2">
      <c r="A1154" s="2">
        <v>1151</v>
      </c>
      <c r="B1154" s="3" t="str">
        <f t="shared" si="188"/>
        <v>TNF-alpha</v>
      </c>
      <c r="C1154" s="3" t="str">
        <f t="shared" si="189"/>
        <v>TNF</v>
      </c>
      <c r="D1154" s="3" t="str">
        <f t="shared" si="190"/>
        <v>TNFA_HUMAN</v>
      </c>
      <c r="E1154" s="2" t="s">
        <v>21</v>
      </c>
      <c r="F1154" s="3" t="str">
        <f t="shared" si="191"/>
        <v>Tumor necrosis factor</v>
      </c>
      <c r="G1154" s="4" t="str">
        <f t="shared" si="192"/>
        <v>Onercept</v>
      </c>
      <c r="H1154" s="3" t="str">
        <f>HYPERLINK("https://www.cortellis.com/drugdiscovery/entity/biomarkers/36125","10-protein respiratory panel")</f>
        <v>10-protein respiratory panel</v>
      </c>
      <c r="I1154" s="2" t="s">
        <v>25</v>
      </c>
      <c r="J1154" s="2" t="s">
        <v>17</v>
      </c>
      <c r="K1154" s="4" t="str">
        <f>HYPERLINK("https://www.cortellis.com/drugdiscovery/result/proxy/related-content/biomarkers/genestargets/36125","interferon gamma; tumor necrosis factor")</f>
        <v>interferon gamma; tumor necrosis factor</v>
      </c>
    </row>
    <row r="1155" spans="1:11" ht="60" customHeight="1" x14ac:dyDescent="0.2">
      <c r="A1155" s="2">
        <v>1152</v>
      </c>
      <c r="B1155" s="3" t="str">
        <f t="shared" si="188"/>
        <v>TNF-alpha</v>
      </c>
      <c r="C1155" s="3" t="str">
        <f t="shared" si="189"/>
        <v>TNF</v>
      </c>
      <c r="D1155" s="3" t="str">
        <f t="shared" si="190"/>
        <v>TNFA_HUMAN</v>
      </c>
      <c r="E1155" s="2" t="s">
        <v>21</v>
      </c>
      <c r="F1155" s="3" t="str">
        <f t="shared" si="191"/>
        <v>Tumor necrosis factor</v>
      </c>
      <c r="G1155" s="4" t="str">
        <f t="shared" si="192"/>
        <v>Onercept</v>
      </c>
      <c r="H1155" s="3" t="str">
        <f>HYPERLINK("https://www.cortellis.com/drugdiscovery/entity/biomarkers/36127","3-protein respiratory panel")</f>
        <v>3-protein respiratory panel</v>
      </c>
      <c r="I1155" s="2" t="s">
        <v>25</v>
      </c>
      <c r="J1155" s="2" t="s">
        <v>17</v>
      </c>
      <c r="K1155" s="4" t="str">
        <f>HYPERLINK("https://www.cortellis.com/drugdiscovery/result/proxy/related-content/biomarkers/genestargets/36127","interferon gamma; tumor necrosis factor")</f>
        <v>interferon gamma; tumor necrosis factor</v>
      </c>
    </row>
    <row r="1156" spans="1:11" ht="60" customHeight="1" x14ac:dyDescent="0.2">
      <c r="A1156" s="2">
        <v>1153</v>
      </c>
      <c r="B1156" s="3" t="str">
        <f t="shared" si="188"/>
        <v>TNF-alpha</v>
      </c>
      <c r="C1156" s="3" t="str">
        <f t="shared" si="189"/>
        <v>TNF</v>
      </c>
      <c r="D1156" s="3" t="str">
        <f t="shared" si="190"/>
        <v>TNFA_HUMAN</v>
      </c>
      <c r="E1156" s="2" t="s">
        <v>21</v>
      </c>
      <c r="F1156" s="3" t="str">
        <f t="shared" si="191"/>
        <v>Tumor necrosis factor</v>
      </c>
      <c r="G1156" s="4" t="str">
        <f t="shared" si="192"/>
        <v>Onercept</v>
      </c>
      <c r="H1156" s="3" t="str">
        <f>HYPERLINK("https://www.cortellis.com/drugdiscovery/entity/biomarkers/37520","4-protein bacteremia panel")</f>
        <v>4-protein bacteremia panel</v>
      </c>
      <c r="I1156" s="2" t="s">
        <v>23</v>
      </c>
      <c r="J1156" s="2" t="s">
        <v>17</v>
      </c>
      <c r="K1156" s="4" t="str">
        <f>HYPERLINK("https://www.cortellis.com/drugdiscovery/result/proxy/related-content/biomarkers/genestargets/37520","tumor necrosis factor")</f>
        <v>tumor necrosis factor</v>
      </c>
    </row>
    <row r="1157" spans="1:11" ht="60" customHeight="1" x14ac:dyDescent="0.2">
      <c r="A1157" s="2">
        <v>1154</v>
      </c>
      <c r="B1157" s="3" t="str">
        <f t="shared" si="188"/>
        <v>TNF-alpha</v>
      </c>
      <c r="C1157" s="3" t="str">
        <f t="shared" si="189"/>
        <v>TNF</v>
      </c>
      <c r="D1157" s="3" t="str">
        <f t="shared" si="190"/>
        <v>TNFA_HUMAN</v>
      </c>
      <c r="E1157" s="2" t="s">
        <v>21</v>
      </c>
      <c r="F1157" s="3" t="str">
        <f t="shared" si="191"/>
        <v>Tumor necrosis factor</v>
      </c>
      <c r="G1157" s="4" t="str">
        <f t="shared" si="192"/>
        <v>Onercept</v>
      </c>
      <c r="H1157" s="3" t="str">
        <f>HYPERLINK("https://www.cortellis.com/drugdiscovery/entity/biomarkers/43870","17-genomic 14-protein 3-biochemical irritable bowel syndrome panel")</f>
        <v>17-genomic 14-protein 3-biochemical irritable bowel syndrome panel</v>
      </c>
      <c r="I1157" s="2" t="s">
        <v>52</v>
      </c>
      <c r="J1157" s="2" t="s">
        <v>53</v>
      </c>
      <c r="K1157" s="4" t="str">
        <f>HYPERLINK("https://www.cortellis.com/drugdiscovery/result/proxy/related-content/biomarkers/genestargets/43870","interleukin 12B; tumor necrosis factor")</f>
        <v>interleukin 12B; tumor necrosis factor</v>
      </c>
    </row>
    <row r="1158" spans="1:11" ht="60" customHeight="1" x14ac:dyDescent="0.2">
      <c r="A1158" s="2">
        <v>1155</v>
      </c>
      <c r="B1158" s="3" t="str">
        <f t="shared" si="188"/>
        <v>TNF-alpha</v>
      </c>
      <c r="C1158" s="3" t="str">
        <f t="shared" si="189"/>
        <v>TNF</v>
      </c>
      <c r="D1158" s="3" t="str">
        <f t="shared" si="190"/>
        <v>TNFA_HUMAN</v>
      </c>
      <c r="E1158" s="2" t="s">
        <v>21</v>
      </c>
      <c r="F1158" s="3" t="str">
        <f t="shared" si="191"/>
        <v>Tumor necrosis factor</v>
      </c>
      <c r="G1158" s="4" t="str">
        <f t="shared" si="192"/>
        <v>Onercept</v>
      </c>
      <c r="H1158" s="3" t="str">
        <f>HYPERLINK("https://www.cortellis.com/drugdiscovery/entity/biomarkers/46842","7-protein non small cell lung cancer panel")</f>
        <v>7-protein non small cell lung cancer panel</v>
      </c>
      <c r="I1158" s="2" t="s">
        <v>23</v>
      </c>
      <c r="J1158" s="2" t="s">
        <v>17</v>
      </c>
      <c r="K1158" s="4" t="str">
        <f>HYPERLINK("https://www.cortellis.com/drugdiscovery/result/proxy/related-content/biomarkers/genestargets/46842","tumor necrosis factor")</f>
        <v>tumor necrosis factor</v>
      </c>
    </row>
    <row r="1159" spans="1:11" ht="60" customHeight="1" x14ac:dyDescent="0.2">
      <c r="A1159" s="2">
        <v>1156</v>
      </c>
      <c r="B1159" s="3" t="str">
        <f t="shared" si="188"/>
        <v>TNF-alpha</v>
      </c>
      <c r="C1159" s="3" t="str">
        <f t="shared" si="189"/>
        <v>TNF</v>
      </c>
      <c r="D1159" s="3" t="str">
        <f t="shared" si="190"/>
        <v>TNFA_HUMAN</v>
      </c>
      <c r="E1159" s="2" t="s">
        <v>21</v>
      </c>
      <c r="F1159" s="3" t="str">
        <f t="shared" si="191"/>
        <v>Tumor necrosis factor</v>
      </c>
      <c r="G1159" s="4" t="str">
        <f t="shared" si="192"/>
        <v>Onercept</v>
      </c>
      <c r="H1159" s="3" t="str">
        <f>HYPERLINK("https://www.cortellis.com/drugdiscovery/entity/biomarkers/50816","10-gene lyme disease panel")</f>
        <v>10-gene lyme disease panel</v>
      </c>
      <c r="I1159" s="2" t="s">
        <v>23</v>
      </c>
      <c r="J1159" s="2" t="s">
        <v>15</v>
      </c>
      <c r="K1159" s="4" t="str">
        <f>HYPERLINK("https://www.cortellis.com/drugdiscovery/result/proxy/related-content/biomarkers/genestargets/50816","C-C motif chemokine ligand 2; interferon gamma; tumor necrosis factor")</f>
        <v>C-C motif chemokine ligand 2; interferon gamma; tumor necrosis factor</v>
      </c>
    </row>
    <row r="1160" spans="1:11" ht="60" customHeight="1" x14ac:dyDescent="0.2">
      <c r="A1160" s="2">
        <v>1157</v>
      </c>
      <c r="B1160" s="3" t="str">
        <f t="shared" si="188"/>
        <v>TNF-alpha</v>
      </c>
      <c r="C1160" s="3" t="str">
        <f t="shared" si="189"/>
        <v>TNF</v>
      </c>
      <c r="D1160" s="3" t="str">
        <f t="shared" si="190"/>
        <v>TNFA_HUMAN</v>
      </c>
      <c r="E1160" s="2" t="s">
        <v>21</v>
      </c>
      <c r="F1160" s="3" t="str">
        <f t="shared" si="191"/>
        <v>Tumor necrosis factor</v>
      </c>
      <c r="G1160" s="4" t="str">
        <f t="shared" si="192"/>
        <v>Onercept</v>
      </c>
      <c r="H1160" s="3" t="str">
        <f>HYPERLINK("https://www.cortellis.com/drugdiscovery/entity/biomarkers/50817","11-gene lyme disease panel")</f>
        <v>11-gene lyme disease panel</v>
      </c>
      <c r="I1160" s="2" t="s">
        <v>23</v>
      </c>
      <c r="J1160" s="2" t="s">
        <v>15</v>
      </c>
      <c r="K1160" s="4" t="str">
        <f>HYPERLINK("https://www.cortellis.com/drugdiscovery/result/proxy/related-content/biomarkers/genestargets/50817","C-C motif chemokine ligand 2; interferon gamma; tumor necrosis factor")</f>
        <v>C-C motif chemokine ligand 2; interferon gamma; tumor necrosis factor</v>
      </c>
    </row>
    <row r="1161" spans="1:11" ht="60" customHeight="1" x14ac:dyDescent="0.2">
      <c r="A1161" s="2">
        <v>1158</v>
      </c>
      <c r="B1161" s="3" t="str">
        <f t="shared" si="188"/>
        <v>TNF-alpha</v>
      </c>
      <c r="C1161" s="3" t="str">
        <f t="shared" si="189"/>
        <v>TNF</v>
      </c>
      <c r="D1161" s="3" t="str">
        <f t="shared" si="190"/>
        <v>TNFA_HUMAN</v>
      </c>
      <c r="E1161" s="2" t="s">
        <v>21</v>
      </c>
      <c r="F1161" s="3" t="str">
        <f t="shared" si="191"/>
        <v>Tumor necrosis factor</v>
      </c>
      <c r="G1161" s="4" t="str">
        <f t="shared" si="192"/>
        <v>Onercept</v>
      </c>
      <c r="H1161" s="3" t="str">
        <f>HYPERLINK("https://www.cortellis.com/drugdiscovery/entity/biomarkers/50818","12 protein Lyme disease panel")</f>
        <v>12 protein Lyme disease panel</v>
      </c>
      <c r="I1161" s="2" t="s">
        <v>23</v>
      </c>
      <c r="J1161" s="2" t="s">
        <v>17</v>
      </c>
      <c r="K1161" s="4" t="str">
        <f>HYPERLINK("https://www.cortellis.com/drugdiscovery/result/proxy/related-content/biomarkers/genestargets/50818","C-C motif chemokine ligand 2; interferon gamma; tumor necrosis factor")</f>
        <v>C-C motif chemokine ligand 2; interferon gamma; tumor necrosis factor</v>
      </c>
    </row>
    <row r="1162" spans="1:11" ht="60" customHeight="1" x14ac:dyDescent="0.2">
      <c r="A1162" s="2">
        <v>1159</v>
      </c>
      <c r="B1162" s="3" t="str">
        <f t="shared" si="188"/>
        <v>TNF-alpha</v>
      </c>
      <c r="C1162" s="3" t="str">
        <f t="shared" si="189"/>
        <v>TNF</v>
      </c>
      <c r="D1162" s="3" t="str">
        <f t="shared" si="190"/>
        <v>TNFA_HUMAN</v>
      </c>
      <c r="E1162" s="2" t="s">
        <v>21</v>
      </c>
      <c r="F1162" s="3" t="str">
        <f t="shared" si="191"/>
        <v>Tumor necrosis factor</v>
      </c>
      <c r="G1162" s="4" t="str">
        <f t="shared" si="192"/>
        <v>Onercept</v>
      </c>
      <c r="H1162" s="3" t="str">
        <f>HYPERLINK("https://www.cortellis.com/drugdiscovery/entity/biomarkers/51292","37-gene expression major depression panel")</f>
        <v>37-gene expression major depression panel</v>
      </c>
      <c r="I1162" s="2" t="s">
        <v>23</v>
      </c>
      <c r="J1162" s="2" t="s">
        <v>19</v>
      </c>
      <c r="K1162" s="4" t="str">
        <f>HYPERLINK("https://www.cortellis.com/drugdiscovery/result/proxy/related-content/biomarkers/genestargets/51292","C-C motif chemokine ligand 2; tumor necrosis factor")</f>
        <v>C-C motif chemokine ligand 2; tumor necrosis factor</v>
      </c>
    </row>
    <row r="1163" spans="1:11" ht="60" customHeight="1" x14ac:dyDescent="0.2">
      <c r="A1163" s="2">
        <v>1160</v>
      </c>
      <c r="B1163" s="3" t="str">
        <f t="shared" si="188"/>
        <v>TNF-alpha</v>
      </c>
      <c r="C1163" s="3" t="str">
        <f t="shared" si="189"/>
        <v>TNF</v>
      </c>
      <c r="D1163" s="3" t="str">
        <f t="shared" si="190"/>
        <v>TNFA_HUMAN</v>
      </c>
      <c r="E1163" s="2" t="s">
        <v>21</v>
      </c>
      <c r="F1163" s="3" t="str">
        <f t="shared" si="191"/>
        <v>Tumor necrosis factor</v>
      </c>
      <c r="G1163" s="4" t="str">
        <f t="shared" si="192"/>
        <v>Onercept</v>
      </c>
      <c r="H1163" s="3" t="str">
        <f>HYPERLINK("https://www.cortellis.com/drugdiscovery/entity/biomarkers/57224","21-protein mild cognitive impairment panel")</f>
        <v>21-protein mild cognitive impairment panel</v>
      </c>
      <c r="I1163" s="2" t="s">
        <v>23</v>
      </c>
      <c r="J1163" s="2" t="s">
        <v>19</v>
      </c>
      <c r="K1163" s="4" t="str">
        <f>HYPERLINK("https://www.cortellis.com/drugdiscovery/result/proxy/related-content/biomarkers/genestargets/57224","interleukin 7; tenascin C; tumor necrosis factor")</f>
        <v>interleukin 7; tenascin C; tumor necrosis factor</v>
      </c>
    </row>
    <row r="1164" spans="1:11" ht="60" customHeight="1" x14ac:dyDescent="0.2">
      <c r="A1164" s="2">
        <v>1161</v>
      </c>
      <c r="B1164" s="3" t="str">
        <f t="shared" si="188"/>
        <v>TNF-alpha</v>
      </c>
      <c r="C1164" s="3" t="str">
        <f t="shared" si="189"/>
        <v>TNF</v>
      </c>
      <c r="D1164" s="3" t="str">
        <f t="shared" si="190"/>
        <v>TNFA_HUMAN</v>
      </c>
      <c r="E1164" s="2" t="s">
        <v>21</v>
      </c>
      <c r="F1164" s="3" t="str">
        <f t="shared" si="191"/>
        <v>Tumor necrosis factor</v>
      </c>
      <c r="G1164" s="4" t="str">
        <f t="shared" si="192"/>
        <v>Onercept</v>
      </c>
      <c r="H1164" s="3" t="str">
        <f>HYPERLINK("https://www.cortellis.com/drugdiscovery/entity/biomarkers/57250","9-protein non-muscle invasive bladder cancer panel")</f>
        <v>9-protein non-muscle invasive bladder cancer panel</v>
      </c>
      <c r="I1164" s="2" t="s">
        <v>18</v>
      </c>
      <c r="J1164" s="2" t="s">
        <v>17</v>
      </c>
      <c r="K1164" s="4" t="str">
        <f>HYPERLINK("https://www.cortellis.com/drugdiscovery/result/proxy/related-content/biomarkers/genestargets/57250","interferon gamma; interleukin 12B; tumor necrosis factor")</f>
        <v>interferon gamma; interleukin 12B; tumor necrosis factor</v>
      </c>
    </row>
    <row r="1165" spans="1:11" ht="60" customHeight="1" x14ac:dyDescent="0.2">
      <c r="A1165" s="2">
        <v>1162</v>
      </c>
      <c r="B1165" s="3" t="str">
        <f t="shared" si="188"/>
        <v>TNF-alpha</v>
      </c>
      <c r="C1165" s="3" t="str">
        <f t="shared" si="189"/>
        <v>TNF</v>
      </c>
      <c r="D1165" s="3" t="str">
        <f t="shared" si="190"/>
        <v>TNFA_HUMAN</v>
      </c>
      <c r="E1165" s="2" t="s">
        <v>21</v>
      </c>
      <c r="F1165" s="3" t="str">
        <f t="shared" si="191"/>
        <v>Tumor necrosis factor</v>
      </c>
      <c r="G1165" s="4" t="str">
        <f t="shared" si="192"/>
        <v>Onercept</v>
      </c>
      <c r="H1165" s="3" t="str">
        <f>HYPERLINK("https://www.cortellis.com/drugdiscovery/entity/biomarkers/62155","19-protein rhegmatogenous retinal detachment panel")</f>
        <v>19-protein rhegmatogenous retinal detachment panel</v>
      </c>
      <c r="I1165" s="2" t="s">
        <v>24</v>
      </c>
      <c r="J1165" s="2" t="s">
        <v>17</v>
      </c>
      <c r="K1165" s="4" t="str">
        <f>HYPERLINK("https://www.cortellis.com/drugdiscovery/result/proxy/related-content/biomarkers/genestargets/62155","C-C motif chemokine ligand 2; interleukin 12B; tumor necrosis factor")</f>
        <v>C-C motif chemokine ligand 2; interleukin 12B; tumor necrosis factor</v>
      </c>
    </row>
    <row r="1166" spans="1:11" ht="60" customHeight="1" x14ac:dyDescent="0.2">
      <c r="A1166" s="2">
        <v>1163</v>
      </c>
      <c r="B1166" s="3" t="str">
        <f t="shared" si="188"/>
        <v>TNF-alpha</v>
      </c>
      <c r="C1166" s="3" t="str">
        <f t="shared" si="189"/>
        <v>TNF</v>
      </c>
      <c r="D1166" s="3" t="str">
        <f t="shared" si="190"/>
        <v>TNFA_HUMAN</v>
      </c>
      <c r="E1166" s="2" t="s">
        <v>21</v>
      </c>
      <c r="F1166" s="3" t="str">
        <f t="shared" si="191"/>
        <v>Tumor necrosis factor</v>
      </c>
      <c r="G1166" s="4" t="str">
        <f t="shared" si="192"/>
        <v>Onercept</v>
      </c>
      <c r="H1166" s="3" t="str">
        <f>HYPERLINK("https://www.cortellis.com/drugdiscovery/entity/biomarkers/62663","9-protein immunological disorders panel")</f>
        <v>9-protein immunological disorders panel</v>
      </c>
      <c r="I1166" s="2" t="s">
        <v>24</v>
      </c>
      <c r="J1166" s="2" t="s">
        <v>17</v>
      </c>
      <c r="K1166" s="4" t="str">
        <f>HYPERLINK("https://www.cortellis.com/drugdiscovery/result/proxy/related-content/biomarkers/genestargets/62663","C-C motif chemokine ligand 2; interferon gamma; tumor necrosis factor")</f>
        <v>C-C motif chemokine ligand 2; interferon gamma; tumor necrosis factor</v>
      </c>
    </row>
    <row r="1167" spans="1:11" ht="60" customHeight="1" x14ac:dyDescent="0.2">
      <c r="A1167" s="2">
        <v>1164</v>
      </c>
      <c r="B1167" s="3" t="str">
        <f t="shared" si="188"/>
        <v>TNF-alpha</v>
      </c>
      <c r="C1167" s="3" t="str">
        <f t="shared" si="189"/>
        <v>TNF</v>
      </c>
      <c r="D1167" s="3" t="str">
        <f t="shared" si="190"/>
        <v>TNFA_HUMAN</v>
      </c>
      <c r="E1167" s="2" t="s">
        <v>21</v>
      </c>
      <c r="F1167" s="3" t="str">
        <f t="shared" si="191"/>
        <v>Tumor necrosis factor</v>
      </c>
      <c r="G1167" s="4" t="str">
        <f t="shared" si="192"/>
        <v>Onercept</v>
      </c>
      <c r="H1167" s="3" t="str">
        <f>HYPERLINK("https://www.cortellis.com/drugdiscovery/entity/biomarkers/62730","7-protein Alzheimer's disease panel")</f>
        <v>7-protein Alzheimer's disease panel</v>
      </c>
      <c r="I1167" s="2" t="s">
        <v>23</v>
      </c>
      <c r="J1167" s="2" t="s">
        <v>17</v>
      </c>
      <c r="K1167" s="4" t="str">
        <f>HYPERLINK("https://www.cortellis.com/drugdiscovery/result/proxy/related-content/biomarkers/genestargets/62730","tumor necrosis factor")</f>
        <v>tumor necrosis factor</v>
      </c>
    </row>
    <row r="1168" spans="1:11" ht="60" customHeight="1" x14ac:dyDescent="0.2">
      <c r="A1168" s="2">
        <v>1165</v>
      </c>
      <c r="B1168" s="3" t="str">
        <f t="shared" si="188"/>
        <v>TNF-alpha</v>
      </c>
      <c r="C1168" s="3" t="str">
        <f t="shared" si="189"/>
        <v>TNF</v>
      </c>
      <c r="D1168" s="3" t="str">
        <f t="shared" si="190"/>
        <v>TNFA_HUMAN</v>
      </c>
      <c r="E1168" s="2" t="s">
        <v>21</v>
      </c>
      <c r="F1168" s="3" t="str">
        <f t="shared" si="191"/>
        <v>Tumor necrosis factor</v>
      </c>
      <c r="G1168" s="4" t="str">
        <f t="shared" si="192"/>
        <v>Onercept</v>
      </c>
      <c r="H1168" s="3" t="str">
        <f>HYPERLINK("https://www.cortellis.com/drugdiscovery/entity/biomarkers/62746","5-protein renal disorder panel")</f>
        <v>5-protein renal disorder panel</v>
      </c>
      <c r="I1168" s="2" t="s">
        <v>25</v>
      </c>
      <c r="J1168" s="2" t="s">
        <v>17</v>
      </c>
      <c r="K1168" s="4" t="str">
        <f>HYPERLINK("https://www.cortellis.com/drugdiscovery/result/proxy/related-content/biomarkers/genestargets/62746","tumor necrosis factor")</f>
        <v>tumor necrosis factor</v>
      </c>
    </row>
    <row r="1169" spans="1:11" ht="60" customHeight="1" x14ac:dyDescent="0.2">
      <c r="A1169" s="2">
        <v>1166</v>
      </c>
      <c r="B1169" s="3" t="str">
        <f t="shared" si="188"/>
        <v>TNF-alpha</v>
      </c>
      <c r="C1169" s="3" t="str">
        <f t="shared" si="189"/>
        <v>TNF</v>
      </c>
      <c r="D1169" s="3" t="str">
        <f t="shared" si="190"/>
        <v>TNFA_HUMAN</v>
      </c>
      <c r="E1169" s="2" t="s">
        <v>21</v>
      </c>
      <c r="F1169" s="3" t="str">
        <f t="shared" si="191"/>
        <v>Tumor necrosis factor</v>
      </c>
      <c r="G1169" s="4" t="str">
        <f t="shared" si="192"/>
        <v>Onercept</v>
      </c>
      <c r="H1169" s="3" t="str">
        <f>HYPERLINK("https://www.cortellis.com/drugdiscovery/entity/biomarkers/65259","22-gene expression hepatocellular carcinoma panel")</f>
        <v>22-gene expression hepatocellular carcinoma panel</v>
      </c>
      <c r="I1169" s="2" t="s">
        <v>25</v>
      </c>
      <c r="J1169" s="2" t="s">
        <v>19</v>
      </c>
      <c r="K1169" s="4" t="str">
        <f>HYPERLINK("https://www.cortellis.com/drugdiscovery/result/proxy/related-content/biomarkers/genestargets/65259","tumor necrosis factor")</f>
        <v>tumor necrosis factor</v>
      </c>
    </row>
    <row r="1170" spans="1:11" ht="60" customHeight="1" x14ac:dyDescent="0.2">
      <c r="A1170" s="2">
        <v>1167</v>
      </c>
      <c r="B1170" s="3" t="str">
        <f t="shared" si="188"/>
        <v>TNF-alpha</v>
      </c>
      <c r="C1170" s="3" t="str">
        <f t="shared" si="189"/>
        <v>TNF</v>
      </c>
      <c r="D1170" s="3" t="str">
        <f t="shared" si="190"/>
        <v>TNFA_HUMAN</v>
      </c>
      <c r="E1170" s="2" t="s">
        <v>21</v>
      </c>
      <c r="F1170" s="3" t="str">
        <f t="shared" si="191"/>
        <v>Tumor necrosis factor</v>
      </c>
      <c r="G1170" s="4" t="str">
        <f t="shared" ref="G1170:G1196" si="193">HYPERLINK("https://portal.genego.com/cgi/entity_page.cgi?term=7&amp;id=1226451374","Etanercept")</f>
        <v>Etanercept</v>
      </c>
      <c r="H1170" s="3" t="str">
        <f>HYPERLINK("https://www.cortellis.com/drugdiscovery/entity/biomarkers/274","Tumor necrosis factor")</f>
        <v>Tumor necrosis factor</v>
      </c>
      <c r="I1170" s="2" t="s">
        <v>22</v>
      </c>
      <c r="J1170" s="2" t="s">
        <v>15</v>
      </c>
      <c r="K1170" s="4" t="str">
        <f>HYPERLINK("https://www.cortellis.com/drugdiscovery/result/proxy/related-content/biomarkers/genestargets/274","tumor necrosis factor")</f>
        <v>tumor necrosis factor</v>
      </c>
    </row>
    <row r="1171" spans="1:11" ht="60" customHeight="1" x14ac:dyDescent="0.2">
      <c r="A1171" s="2">
        <v>1168</v>
      </c>
      <c r="B1171" s="3" t="str">
        <f t="shared" si="188"/>
        <v>TNF-alpha</v>
      </c>
      <c r="C1171" s="3" t="str">
        <f t="shared" si="189"/>
        <v>TNF</v>
      </c>
      <c r="D1171" s="3" t="str">
        <f t="shared" si="190"/>
        <v>TNFA_HUMAN</v>
      </c>
      <c r="E1171" s="2" t="s">
        <v>21</v>
      </c>
      <c r="F1171" s="3" t="str">
        <f t="shared" si="191"/>
        <v>Tumor necrosis factor</v>
      </c>
      <c r="G1171" s="4" t="str">
        <f t="shared" si="193"/>
        <v>Etanercept</v>
      </c>
      <c r="H1171" s="3" t="str">
        <f>HYPERLINK("https://www.cortellis.com/drugdiscovery/entity/biomarkers/27598","89-protein neurological alzheimer's panel")</f>
        <v>89-protein neurological alzheimer's panel</v>
      </c>
      <c r="I1171" s="2" t="s">
        <v>23</v>
      </c>
      <c r="J1171" s="2" t="s">
        <v>17</v>
      </c>
      <c r="K1171"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172" spans="1:11" ht="60" customHeight="1" x14ac:dyDescent="0.2">
      <c r="A1172" s="2">
        <v>1169</v>
      </c>
      <c r="B1172" s="3" t="str">
        <f t="shared" si="188"/>
        <v>TNF-alpha</v>
      </c>
      <c r="C1172" s="3" t="str">
        <f t="shared" si="189"/>
        <v>TNF</v>
      </c>
      <c r="D1172" s="3" t="str">
        <f t="shared" si="190"/>
        <v>TNFA_HUMAN</v>
      </c>
      <c r="E1172" s="2" t="s">
        <v>21</v>
      </c>
      <c r="F1172" s="3" t="str">
        <f t="shared" si="191"/>
        <v>Tumor necrosis factor</v>
      </c>
      <c r="G1172" s="4" t="str">
        <f t="shared" si="193"/>
        <v>Etanercept</v>
      </c>
      <c r="H1172" s="3" t="str">
        <f>HYPERLINK("https://www.cortellis.com/drugdiscovery/entity/biomarkers/27640","5-protein alzheimer's panel")</f>
        <v>5-protein alzheimer's panel</v>
      </c>
      <c r="I1172" s="2" t="s">
        <v>23</v>
      </c>
      <c r="J1172" s="2" t="s">
        <v>17</v>
      </c>
      <c r="K1172" s="4" t="str">
        <f>HYPERLINK("https://www.cortellis.com/drugdiscovery/result/proxy/related-content/biomarkers/genestargets/27640","tumor necrosis factor")</f>
        <v>tumor necrosis factor</v>
      </c>
    </row>
    <row r="1173" spans="1:11" ht="60" customHeight="1" x14ac:dyDescent="0.2">
      <c r="A1173" s="2">
        <v>1170</v>
      </c>
      <c r="B1173" s="3" t="str">
        <f t="shared" si="188"/>
        <v>TNF-alpha</v>
      </c>
      <c r="C1173" s="3" t="str">
        <f t="shared" si="189"/>
        <v>TNF</v>
      </c>
      <c r="D1173" s="3" t="str">
        <f t="shared" si="190"/>
        <v>TNFA_HUMAN</v>
      </c>
      <c r="E1173" s="2" t="s">
        <v>21</v>
      </c>
      <c r="F1173" s="3" t="str">
        <f t="shared" si="191"/>
        <v>Tumor necrosis factor</v>
      </c>
      <c r="G1173" s="4" t="str">
        <f t="shared" si="193"/>
        <v>Etanercept</v>
      </c>
      <c r="H1173" s="3" t="str">
        <f>HYPERLINK("https://www.cortellis.com/drugdiscovery/entity/biomarkers/27734","6-protein lung cancer panel")</f>
        <v>6-protein lung cancer panel</v>
      </c>
      <c r="I1173" s="2" t="s">
        <v>23</v>
      </c>
      <c r="J1173" s="2" t="s">
        <v>17</v>
      </c>
      <c r="K1173" s="4" t="str">
        <f>HYPERLINK("https://www.cortellis.com/drugdiscovery/result/proxy/related-content/biomarkers/genestargets/27734","interferon gamma; tumor necrosis factor")</f>
        <v>interferon gamma; tumor necrosis factor</v>
      </c>
    </row>
    <row r="1174" spans="1:11" ht="60" customHeight="1" x14ac:dyDescent="0.2">
      <c r="A1174" s="2">
        <v>1171</v>
      </c>
      <c r="B1174" s="3" t="str">
        <f t="shared" si="188"/>
        <v>TNF-alpha</v>
      </c>
      <c r="C1174" s="3" t="str">
        <f t="shared" si="189"/>
        <v>TNF</v>
      </c>
      <c r="D1174" s="3" t="str">
        <f t="shared" si="190"/>
        <v>TNFA_HUMAN</v>
      </c>
      <c r="E1174" s="2" t="s">
        <v>21</v>
      </c>
      <c r="F1174" s="3" t="str">
        <f t="shared" si="191"/>
        <v>Tumor necrosis factor</v>
      </c>
      <c r="G1174" s="4" t="str">
        <f t="shared" si="193"/>
        <v>Etanercept</v>
      </c>
      <c r="H1174" s="3" t="str">
        <f>HYPERLINK("https://www.cortellis.com/drugdiscovery/entity/biomarkers/28148","11-gene expression lung cancer panel")</f>
        <v>11-gene expression lung cancer panel</v>
      </c>
      <c r="I1174" s="2" t="s">
        <v>25</v>
      </c>
      <c r="J1174" s="2" t="s">
        <v>19</v>
      </c>
      <c r="K1174" s="4" t="str">
        <f>HYPERLINK("https://www.cortellis.com/drugdiscovery/result/proxy/related-content/biomarkers/genestargets/28148","interferon gamma; interleukin 15; tumor necrosis factor")</f>
        <v>interferon gamma; interleukin 15; tumor necrosis factor</v>
      </c>
    </row>
    <row r="1175" spans="1:11" ht="60" customHeight="1" x14ac:dyDescent="0.2">
      <c r="A1175" s="2">
        <v>1172</v>
      </c>
      <c r="B1175" s="3" t="str">
        <f t="shared" si="188"/>
        <v>TNF-alpha</v>
      </c>
      <c r="C1175" s="3" t="str">
        <f t="shared" si="189"/>
        <v>TNF</v>
      </c>
      <c r="D1175" s="3" t="str">
        <f t="shared" si="190"/>
        <v>TNFA_HUMAN</v>
      </c>
      <c r="E1175" s="2" t="s">
        <v>21</v>
      </c>
      <c r="F1175" s="3" t="str">
        <f t="shared" si="191"/>
        <v>Tumor necrosis factor</v>
      </c>
      <c r="G1175" s="4" t="str">
        <f t="shared" si="193"/>
        <v>Etanercept</v>
      </c>
      <c r="H1175" s="3" t="str">
        <f>HYPERLINK("https://www.cortellis.com/drugdiscovery/entity/biomarkers/28647","15-gene expression lung cancer panel")</f>
        <v>15-gene expression lung cancer panel</v>
      </c>
      <c r="I1175" s="2" t="s">
        <v>20</v>
      </c>
      <c r="J1175" s="2" t="s">
        <v>19</v>
      </c>
      <c r="K1175" s="4" t="str">
        <f>HYPERLINK("https://www.cortellis.com/drugdiscovery/result/proxy/related-content/biomarkers/genestargets/28647","interferon gamma; interleukin 15; tumor necrosis factor")</f>
        <v>interferon gamma; interleukin 15; tumor necrosis factor</v>
      </c>
    </row>
    <row r="1176" spans="1:11" ht="60" customHeight="1" x14ac:dyDescent="0.2">
      <c r="A1176" s="2">
        <v>1173</v>
      </c>
      <c r="B1176" s="3" t="str">
        <f t="shared" si="188"/>
        <v>TNF-alpha</v>
      </c>
      <c r="C1176" s="3" t="str">
        <f t="shared" si="189"/>
        <v>TNF</v>
      </c>
      <c r="D1176" s="3" t="str">
        <f t="shared" si="190"/>
        <v>TNFA_HUMAN</v>
      </c>
      <c r="E1176" s="2" t="s">
        <v>21</v>
      </c>
      <c r="F1176" s="3" t="str">
        <f t="shared" si="191"/>
        <v>Tumor necrosis factor</v>
      </c>
      <c r="G1176" s="4" t="str">
        <f t="shared" si="193"/>
        <v>Etanercept</v>
      </c>
      <c r="H1176" s="3" t="str">
        <f>HYPERLINK("https://www.cortellis.com/drugdiscovery/entity/biomarkers/29676","277-gene expression lung cancer panel")</f>
        <v>277-gene expression lung cancer panel</v>
      </c>
      <c r="I1176" s="2" t="s">
        <v>25</v>
      </c>
      <c r="J1176" s="2" t="s">
        <v>19</v>
      </c>
      <c r="K1176" s="4" t="str">
        <f>HYPERLINK("https://www.cortellis.com/drugdiscovery/result/proxy/related-content/biomarkers/genestargets/29676","cyclin D1; tumor necrosis factor")</f>
        <v>cyclin D1; tumor necrosis factor</v>
      </c>
    </row>
    <row r="1177" spans="1:11" ht="60" customHeight="1" x14ac:dyDescent="0.2">
      <c r="A1177" s="2">
        <v>1174</v>
      </c>
      <c r="B1177" s="3" t="str">
        <f t="shared" si="188"/>
        <v>TNF-alpha</v>
      </c>
      <c r="C1177" s="3" t="str">
        <f t="shared" si="189"/>
        <v>TNF</v>
      </c>
      <c r="D1177" s="3" t="str">
        <f t="shared" si="190"/>
        <v>TNFA_HUMAN</v>
      </c>
      <c r="E1177" s="2" t="s">
        <v>21</v>
      </c>
      <c r="F1177" s="3" t="str">
        <f t="shared" si="191"/>
        <v>Tumor necrosis factor</v>
      </c>
      <c r="G1177" s="4" t="str">
        <f t="shared" si="193"/>
        <v>Etanercept</v>
      </c>
      <c r="H1177" s="3" t="str">
        <f>HYPERLINK("https://www.cortellis.com/drugdiscovery/entity/biomarkers/30768","11-protein cardiovascular panel")</f>
        <v>11-protein cardiovascular panel</v>
      </c>
      <c r="I1177" s="2" t="s">
        <v>23</v>
      </c>
      <c r="J1177" s="2" t="s">
        <v>17</v>
      </c>
      <c r="K1177" s="4" t="str">
        <f>HYPERLINK("https://www.cortellis.com/drugdiscovery/result/proxy/related-content/biomarkers/genestargets/30768","interferon gamma; interleukin 12B; tumor necrosis factor")</f>
        <v>interferon gamma; interleukin 12B; tumor necrosis factor</v>
      </c>
    </row>
    <row r="1178" spans="1:11" ht="60" customHeight="1" x14ac:dyDescent="0.2">
      <c r="A1178" s="2">
        <v>1175</v>
      </c>
      <c r="B1178" s="3" t="str">
        <f t="shared" si="188"/>
        <v>TNF-alpha</v>
      </c>
      <c r="C1178" s="3" t="str">
        <f t="shared" si="189"/>
        <v>TNF</v>
      </c>
      <c r="D1178" s="3" t="str">
        <f t="shared" si="190"/>
        <v>TNFA_HUMAN</v>
      </c>
      <c r="E1178" s="2" t="s">
        <v>21</v>
      </c>
      <c r="F1178" s="3" t="str">
        <f t="shared" si="191"/>
        <v>Tumor necrosis factor</v>
      </c>
      <c r="G1178" s="4" t="str">
        <f t="shared" si="193"/>
        <v>Etanercept</v>
      </c>
      <c r="H1178" s="3" t="str">
        <f>HYPERLINK("https://www.cortellis.com/drugdiscovery/entity/biomarkers/34385","30-protein alzheimer's panel")</f>
        <v>30-protein alzheimer's panel</v>
      </c>
      <c r="I1178" s="2" t="s">
        <v>23</v>
      </c>
      <c r="J1178" s="2" t="s">
        <v>17</v>
      </c>
      <c r="K1178" s="4" t="str">
        <f>HYPERLINK("https://www.cortellis.com/drugdiscovery/result/proxy/related-content/biomarkers/genestargets/34385","C-C motif chemokine ligand 2; interleukin 7; tenascin C; tumor necrosis factor")</f>
        <v>C-C motif chemokine ligand 2; interleukin 7; tenascin C; tumor necrosis factor</v>
      </c>
    </row>
    <row r="1179" spans="1:11" ht="60" customHeight="1" x14ac:dyDescent="0.2">
      <c r="A1179" s="2">
        <v>1176</v>
      </c>
      <c r="B1179" s="3" t="str">
        <f t="shared" si="188"/>
        <v>TNF-alpha</v>
      </c>
      <c r="C1179" s="3" t="str">
        <f t="shared" si="189"/>
        <v>TNF</v>
      </c>
      <c r="D1179" s="3" t="str">
        <f t="shared" si="190"/>
        <v>TNFA_HUMAN</v>
      </c>
      <c r="E1179" s="2" t="s">
        <v>21</v>
      </c>
      <c r="F1179" s="3" t="str">
        <f t="shared" si="191"/>
        <v>Tumor necrosis factor</v>
      </c>
      <c r="G1179" s="4" t="str">
        <f t="shared" si="193"/>
        <v>Etanercept</v>
      </c>
      <c r="H1179" s="3" t="str">
        <f>HYPERLINK("https://www.cortellis.com/drugdiscovery/entity/biomarkers/34437","3-protein 3-autoantibody lung cancer panel")</f>
        <v>3-protein 3-autoantibody lung cancer panel</v>
      </c>
      <c r="I1179" s="2" t="s">
        <v>23</v>
      </c>
      <c r="J1179" s="2" t="s">
        <v>17</v>
      </c>
      <c r="K1179" s="4" t="str">
        <f>HYPERLINK("https://www.cortellis.com/drugdiscovery/result/proxy/related-content/biomarkers/genestargets/34437","tumor necrosis factor")</f>
        <v>tumor necrosis factor</v>
      </c>
    </row>
    <row r="1180" spans="1:11" ht="60" customHeight="1" x14ac:dyDescent="0.2">
      <c r="A1180" s="2">
        <v>1177</v>
      </c>
      <c r="B1180" s="3" t="str">
        <f t="shared" si="188"/>
        <v>TNF-alpha</v>
      </c>
      <c r="C1180" s="3" t="str">
        <f t="shared" si="189"/>
        <v>TNF</v>
      </c>
      <c r="D1180" s="3" t="str">
        <f t="shared" si="190"/>
        <v>TNFA_HUMAN</v>
      </c>
      <c r="E1180" s="2" t="s">
        <v>21</v>
      </c>
      <c r="F1180" s="3" t="str">
        <f t="shared" si="191"/>
        <v>Tumor necrosis factor</v>
      </c>
      <c r="G1180" s="4" t="str">
        <f t="shared" si="193"/>
        <v>Etanercept</v>
      </c>
      <c r="H1180" s="3" t="str">
        <f>HYPERLINK("https://www.cortellis.com/drugdiscovery/entity/biomarkers/35424","60-gene expression ovarian cancer panel")</f>
        <v>60-gene expression ovarian cancer panel</v>
      </c>
      <c r="I1180" s="2" t="s">
        <v>18</v>
      </c>
      <c r="J1180" s="2" t="s">
        <v>19</v>
      </c>
      <c r="K1180" s="4" t="str">
        <f>HYPERLINK("https://www.cortellis.com/drugdiscovery/result/proxy/related-content/biomarkers/genestargets/35424","tumor necrosis factor")</f>
        <v>tumor necrosis factor</v>
      </c>
    </row>
    <row r="1181" spans="1:11" ht="60" customHeight="1" x14ac:dyDescent="0.2">
      <c r="A1181" s="2">
        <v>1178</v>
      </c>
      <c r="B1181" s="3" t="str">
        <f t="shared" si="188"/>
        <v>TNF-alpha</v>
      </c>
      <c r="C1181" s="3" t="str">
        <f t="shared" si="189"/>
        <v>TNF</v>
      </c>
      <c r="D1181" s="3" t="str">
        <f t="shared" si="190"/>
        <v>TNFA_HUMAN</v>
      </c>
      <c r="E1181" s="2" t="s">
        <v>21</v>
      </c>
      <c r="F1181" s="3" t="str">
        <f t="shared" si="191"/>
        <v>Tumor necrosis factor</v>
      </c>
      <c r="G1181" s="4" t="str">
        <f t="shared" si="193"/>
        <v>Etanercept</v>
      </c>
      <c r="H1181" s="3" t="str">
        <f>HYPERLINK("https://www.cortellis.com/drugdiscovery/entity/biomarkers/36125","10-protein respiratory panel")</f>
        <v>10-protein respiratory panel</v>
      </c>
      <c r="I1181" s="2" t="s">
        <v>25</v>
      </c>
      <c r="J1181" s="2" t="s">
        <v>17</v>
      </c>
      <c r="K1181" s="4" t="str">
        <f>HYPERLINK("https://www.cortellis.com/drugdiscovery/result/proxy/related-content/biomarkers/genestargets/36125","interferon gamma; tumor necrosis factor")</f>
        <v>interferon gamma; tumor necrosis factor</v>
      </c>
    </row>
    <row r="1182" spans="1:11" ht="60" customHeight="1" x14ac:dyDescent="0.2">
      <c r="A1182" s="2">
        <v>1179</v>
      </c>
      <c r="B1182" s="3" t="str">
        <f t="shared" si="188"/>
        <v>TNF-alpha</v>
      </c>
      <c r="C1182" s="3" t="str">
        <f t="shared" si="189"/>
        <v>TNF</v>
      </c>
      <c r="D1182" s="3" t="str">
        <f t="shared" si="190"/>
        <v>TNFA_HUMAN</v>
      </c>
      <c r="E1182" s="2" t="s">
        <v>21</v>
      </c>
      <c r="F1182" s="3" t="str">
        <f t="shared" si="191"/>
        <v>Tumor necrosis factor</v>
      </c>
      <c r="G1182" s="4" t="str">
        <f t="shared" si="193"/>
        <v>Etanercept</v>
      </c>
      <c r="H1182" s="3" t="str">
        <f>HYPERLINK("https://www.cortellis.com/drugdiscovery/entity/biomarkers/36127","3-protein respiratory panel")</f>
        <v>3-protein respiratory panel</v>
      </c>
      <c r="I1182" s="2" t="s">
        <v>25</v>
      </c>
      <c r="J1182" s="2" t="s">
        <v>17</v>
      </c>
      <c r="K1182" s="4" t="str">
        <f>HYPERLINK("https://www.cortellis.com/drugdiscovery/result/proxy/related-content/biomarkers/genestargets/36127","interferon gamma; tumor necrosis factor")</f>
        <v>interferon gamma; tumor necrosis factor</v>
      </c>
    </row>
    <row r="1183" spans="1:11" ht="60" customHeight="1" x14ac:dyDescent="0.2">
      <c r="A1183" s="2">
        <v>1180</v>
      </c>
      <c r="B1183" s="3" t="str">
        <f t="shared" ref="B1183:B1246" si="194">HYPERLINK("https://portal.genego.com/cgi/entity_page.cgi?term=100&amp;id=4487","TNF-alpha")</f>
        <v>TNF-alpha</v>
      </c>
      <c r="C1183" s="3" t="str">
        <f t="shared" ref="C1183:C1246" si="195">HYPERLINK("https://portal.genego.com/cgi/entity_page.cgi?term=20&amp;id=-1163959157","TNF")</f>
        <v>TNF</v>
      </c>
      <c r="D1183" s="3" t="str">
        <f t="shared" ref="D1183:D1246" si="196">HYPERLINK("https://portal.genego.com/cgi/entity_page.cgi?term=7&amp;id=2020057249","TNFA_HUMAN")</f>
        <v>TNFA_HUMAN</v>
      </c>
      <c r="E1183" s="2" t="s">
        <v>21</v>
      </c>
      <c r="F1183" s="3" t="str">
        <f t="shared" ref="F1183:F1246" si="197">HYPERLINK("https://portal.genego.com/cgi/entity_page.cgi?term=100&amp;id=4487","Tumor necrosis factor")</f>
        <v>Tumor necrosis factor</v>
      </c>
      <c r="G1183" s="4" t="str">
        <f t="shared" si="193"/>
        <v>Etanercept</v>
      </c>
      <c r="H1183" s="3" t="str">
        <f>HYPERLINK("https://www.cortellis.com/drugdiscovery/entity/biomarkers/37520","4-protein bacteremia panel")</f>
        <v>4-protein bacteremia panel</v>
      </c>
      <c r="I1183" s="2" t="s">
        <v>23</v>
      </c>
      <c r="J1183" s="2" t="s">
        <v>17</v>
      </c>
      <c r="K1183" s="4" t="str">
        <f>HYPERLINK("https://www.cortellis.com/drugdiscovery/result/proxy/related-content/biomarkers/genestargets/37520","tumor necrosis factor")</f>
        <v>tumor necrosis factor</v>
      </c>
    </row>
    <row r="1184" spans="1:11" ht="60" customHeight="1" x14ac:dyDescent="0.2">
      <c r="A1184" s="2">
        <v>1181</v>
      </c>
      <c r="B1184" s="3" t="str">
        <f t="shared" si="194"/>
        <v>TNF-alpha</v>
      </c>
      <c r="C1184" s="3" t="str">
        <f t="shared" si="195"/>
        <v>TNF</v>
      </c>
      <c r="D1184" s="3" t="str">
        <f t="shared" si="196"/>
        <v>TNFA_HUMAN</v>
      </c>
      <c r="E1184" s="2" t="s">
        <v>21</v>
      </c>
      <c r="F1184" s="3" t="str">
        <f t="shared" si="197"/>
        <v>Tumor necrosis factor</v>
      </c>
      <c r="G1184" s="4" t="str">
        <f t="shared" si="193"/>
        <v>Etanercept</v>
      </c>
      <c r="H1184" s="3" t="str">
        <f>HYPERLINK("https://www.cortellis.com/drugdiscovery/entity/biomarkers/43870","17-genomic 14-protein 3-biochemical irritable bowel syndrome panel")</f>
        <v>17-genomic 14-protein 3-biochemical irritable bowel syndrome panel</v>
      </c>
      <c r="I1184" s="2" t="s">
        <v>52</v>
      </c>
      <c r="J1184" s="2" t="s">
        <v>53</v>
      </c>
      <c r="K1184" s="4" t="str">
        <f>HYPERLINK("https://www.cortellis.com/drugdiscovery/result/proxy/related-content/biomarkers/genestargets/43870","interleukin 12B; tumor necrosis factor")</f>
        <v>interleukin 12B; tumor necrosis factor</v>
      </c>
    </row>
    <row r="1185" spans="1:11" ht="60" customHeight="1" x14ac:dyDescent="0.2">
      <c r="A1185" s="2">
        <v>1182</v>
      </c>
      <c r="B1185" s="3" t="str">
        <f t="shared" si="194"/>
        <v>TNF-alpha</v>
      </c>
      <c r="C1185" s="3" t="str">
        <f t="shared" si="195"/>
        <v>TNF</v>
      </c>
      <c r="D1185" s="3" t="str">
        <f t="shared" si="196"/>
        <v>TNFA_HUMAN</v>
      </c>
      <c r="E1185" s="2" t="s">
        <v>21</v>
      </c>
      <c r="F1185" s="3" t="str">
        <f t="shared" si="197"/>
        <v>Tumor necrosis factor</v>
      </c>
      <c r="G1185" s="4" t="str">
        <f t="shared" si="193"/>
        <v>Etanercept</v>
      </c>
      <c r="H1185" s="3" t="str">
        <f>HYPERLINK("https://www.cortellis.com/drugdiscovery/entity/biomarkers/46842","7-protein non small cell lung cancer panel")</f>
        <v>7-protein non small cell lung cancer panel</v>
      </c>
      <c r="I1185" s="2" t="s">
        <v>23</v>
      </c>
      <c r="J1185" s="2" t="s">
        <v>17</v>
      </c>
      <c r="K1185" s="4" t="str">
        <f>HYPERLINK("https://www.cortellis.com/drugdiscovery/result/proxy/related-content/biomarkers/genestargets/46842","tumor necrosis factor")</f>
        <v>tumor necrosis factor</v>
      </c>
    </row>
    <row r="1186" spans="1:11" ht="60" customHeight="1" x14ac:dyDescent="0.2">
      <c r="A1186" s="2">
        <v>1183</v>
      </c>
      <c r="B1186" s="3" t="str">
        <f t="shared" si="194"/>
        <v>TNF-alpha</v>
      </c>
      <c r="C1186" s="3" t="str">
        <f t="shared" si="195"/>
        <v>TNF</v>
      </c>
      <c r="D1186" s="3" t="str">
        <f t="shared" si="196"/>
        <v>TNFA_HUMAN</v>
      </c>
      <c r="E1186" s="2" t="s">
        <v>21</v>
      </c>
      <c r="F1186" s="3" t="str">
        <f t="shared" si="197"/>
        <v>Tumor necrosis factor</v>
      </c>
      <c r="G1186" s="4" t="str">
        <f t="shared" si="193"/>
        <v>Etanercept</v>
      </c>
      <c r="H1186" s="3" t="str">
        <f>HYPERLINK("https://www.cortellis.com/drugdiscovery/entity/biomarkers/50816","10-gene lyme disease panel")</f>
        <v>10-gene lyme disease panel</v>
      </c>
      <c r="I1186" s="2" t="s">
        <v>23</v>
      </c>
      <c r="J1186" s="2" t="s">
        <v>15</v>
      </c>
      <c r="K1186" s="4" t="str">
        <f>HYPERLINK("https://www.cortellis.com/drugdiscovery/result/proxy/related-content/biomarkers/genestargets/50816","C-C motif chemokine ligand 2; interferon gamma; tumor necrosis factor")</f>
        <v>C-C motif chemokine ligand 2; interferon gamma; tumor necrosis factor</v>
      </c>
    </row>
    <row r="1187" spans="1:11" ht="60" customHeight="1" x14ac:dyDescent="0.2">
      <c r="A1187" s="2">
        <v>1184</v>
      </c>
      <c r="B1187" s="3" t="str">
        <f t="shared" si="194"/>
        <v>TNF-alpha</v>
      </c>
      <c r="C1187" s="3" t="str">
        <f t="shared" si="195"/>
        <v>TNF</v>
      </c>
      <c r="D1187" s="3" t="str">
        <f t="shared" si="196"/>
        <v>TNFA_HUMAN</v>
      </c>
      <c r="E1187" s="2" t="s">
        <v>21</v>
      </c>
      <c r="F1187" s="3" t="str">
        <f t="shared" si="197"/>
        <v>Tumor necrosis factor</v>
      </c>
      <c r="G1187" s="4" t="str">
        <f t="shared" si="193"/>
        <v>Etanercept</v>
      </c>
      <c r="H1187" s="3" t="str">
        <f>HYPERLINK("https://www.cortellis.com/drugdiscovery/entity/biomarkers/50817","11-gene lyme disease panel")</f>
        <v>11-gene lyme disease panel</v>
      </c>
      <c r="I1187" s="2" t="s">
        <v>23</v>
      </c>
      <c r="J1187" s="2" t="s">
        <v>15</v>
      </c>
      <c r="K1187" s="4" t="str">
        <f>HYPERLINK("https://www.cortellis.com/drugdiscovery/result/proxy/related-content/biomarkers/genestargets/50817","C-C motif chemokine ligand 2; interferon gamma; tumor necrosis factor")</f>
        <v>C-C motif chemokine ligand 2; interferon gamma; tumor necrosis factor</v>
      </c>
    </row>
    <row r="1188" spans="1:11" ht="60" customHeight="1" x14ac:dyDescent="0.2">
      <c r="A1188" s="2">
        <v>1185</v>
      </c>
      <c r="B1188" s="3" t="str">
        <f t="shared" si="194"/>
        <v>TNF-alpha</v>
      </c>
      <c r="C1188" s="3" t="str">
        <f t="shared" si="195"/>
        <v>TNF</v>
      </c>
      <c r="D1188" s="3" t="str">
        <f t="shared" si="196"/>
        <v>TNFA_HUMAN</v>
      </c>
      <c r="E1188" s="2" t="s">
        <v>21</v>
      </c>
      <c r="F1188" s="3" t="str">
        <f t="shared" si="197"/>
        <v>Tumor necrosis factor</v>
      </c>
      <c r="G1188" s="4" t="str">
        <f t="shared" si="193"/>
        <v>Etanercept</v>
      </c>
      <c r="H1188" s="3" t="str">
        <f>HYPERLINK("https://www.cortellis.com/drugdiscovery/entity/biomarkers/50818","12 protein Lyme disease panel")</f>
        <v>12 protein Lyme disease panel</v>
      </c>
      <c r="I1188" s="2" t="s">
        <v>23</v>
      </c>
      <c r="J1188" s="2" t="s">
        <v>17</v>
      </c>
      <c r="K1188" s="4" t="str">
        <f>HYPERLINK("https://www.cortellis.com/drugdiscovery/result/proxy/related-content/biomarkers/genestargets/50818","C-C motif chemokine ligand 2; interferon gamma; tumor necrosis factor")</f>
        <v>C-C motif chemokine ligand 2; interferon gamma; tumor necrosis factor</v>
      </c>
    </row>
    <row r="1189" spans="1:11" ht="60" customHeight="1" x14ac:dyDescent="0.2">
      <c r="A1189" s="2">
        <v>1186</v>
      </c>
      <c r="B1189" s="3" t="str">
        <f t="shared" si="194"/>
        <v>TNF-alpha</v>
      </c>
      <c r="C1189" s="3" t="str">
        <f t="shared" si="195"/>
        <v>TNF</v>
      </c>
      <c r="D1189" s="3" t="str">
        <f t="shared" si="196"/>
        <v>TNFA_HUMAN</v>
      </c>
      <c r="E1189" s="2" t="s">
        <v>21</v>
      </c>
      <c r="F1189" s="3" t="str">
        <f t="shared" si="197"/>
        <v>Tumor necrosis factor</v>
      </c>
      <c r="G1189" s="4" t="str">
        <f t="shared" si="193"/>
        <v>Etanercept</v>
      </c>
      <c r="H1189" s="3" t="str">
        <f>HYPERLINK("https://www.cortellis.com/drugdiscovery/entity/biomarkers/51292","37-gene expression major depression panel")</f>
        <v>37-gene expression major depression panel</v>
      </c>
      <c r="I1189" s="2" t="s">
        <v>23</v>
      </c>
      <c r="J1189" s="2" t="s">
        <v>19</v>
      </c>
      <c r="K1189" s="4" t="str">
        <f>HYPERLINK("https://www.cortellis.com/drugdiscovery/result/proxy/related-content/biomarkers/genestargets/51292","C-C motif chemokine ligand 2; tumor necrosis factor")</f>
        <v>C-C motif chemokine ligand 2; tumor necrosis factor</v>
      </c>
    </row>
    <row r="1190" spans="1:11" ht="60" customHeight="1" x14ac:dyDescent="0.2">
      <c r="A1190" s="2">
        <v>1187</v>
      </c>
      <c r="B1190" s="3" t="str">
        <f t="shared" si="194"/>
        <v>TNF-alpha</v>
      </c>
      <c r="C1190" s="3" t="str">
        <f t="shared" si="195"/>
        <v>TNF</v>
      </c>
      <c r="D1190" s="3" t="str">
        <f t="shared" si="196"/>
        <v>TNFA_HUMAN</v>
      </c>
      <c r="E1190" s="2" t="s">
        <v>21</v>
      </c>
      <c r="F1190" s="3" t="str">
        <f t="shared" si="197"/>
        <v>Tumor necrosis factor</v>
      </c>
      <c r="G1190" s="4" t="str">
        <f t="shared" si="193"/>
        <v>Etanercept</v>
      </c>
      <c r="H1190" s="3" t="str">
        <f>HYPERLINK("https://www.cortellis.com/drugdiscovery/entity/biomarkers/57224","21-protein mild cognitive impairment panel")</f>
        <v>21-protein mild cognitive impairment panel</v>
      </c>
      <c r="I1190" s="2" t="s">
        <v>23</v>
      </c>
      <c r="J1190" s="2" t="s">
        <v>19</v>
      </c>
      <c r="K1190" s="4" t="str">
        <f>HYPERLINK("https://www.cortellis.com/drugdiscovery/result/proxy/related-content/biomarkers/genestargets/57224","interleukin 7; tenascin C; tumor necrosis factor")</f>
        <v>interleukin 7; tenascin C; tumor necrosis factor</v>
      </c>
    </row>
    <row r="1191" spans="1:11" ht="60" customHeight="1" x14ac:dyDescent="0.2">
      <c r="A1191" s="2">
        <v>1188</v>
      </c>
      <c r="B1191" s="3" t="str">
        <f t="shared" si="194"/>
        <v>TNF-alpha</v>
      </c>
      <c r="C1191" s="3" t="str">
        <f t="shared" si="195"/>
        <v>TNF</v>
      </c>
      <c r="D1191" s="3" t="str">
        <f t="shared" si="196"/>
        <v>TNFA_HUMAN</v>
      </c>
      <c r="E1191" s="2" t="s">
        <v>21</v>
      </c>
      <c r="F1191" s="3" t="str">
        <f t="shared" si="197"/>
        <v>Tumor necrosis factor</v>
      </c>
      <c r="G1191" s="4" t="str">
        <f t="shared" si="193"/>
        <v>Etanercept</v>
      </c>
      <c r="H1191" s="3" t="str">
        <f>HYPERLINK("https://www.cortellis.com/drugdiscovery/entity/biomarkers/57250","9-protein non-muscle invasive bladder cancer panel")</f>
        <v>9-protein non-muscle invasive bladder cancer panel</v>
      </c>
      <c r="I1191" s="2" t="s">
        <v>18</v>
      </c>
      <c r="J1191" s="2" t="s">
        <v>17</v>
      </c>
      <c r="K1191" s="4" t="str">
        <f>HYPERLINK("https://www.cortellis.com/drugdiscovery/result/proxy/related-content/biomarkers/genestargets/57250","interferon gamma; interleukin 12B; tumor necrosis factor")</f>
        <v>interferon gamma; interleukin 12B; tumor necrosis factor</v>
      </c>
    </row>
    <row r="1192" spans="1:11" ht="60" customHeight="1" x14ac:dyDescent="0.2">
      <c r="A1192" s="2">
        <v>1189</v>
      </c>
      <c r="B1192" s="3" t="str">
        <f t="shared" si="194"/>
        <v>TNF-alpha</v>
      </c>
      <c r="C1192" s="3" t="str">
        <f t="shared" si="195"/>
        <v>TNF</v>
      </c>
      <c r="D1192" s="3" t="str">
        <f t="shared" si="196"/>
        <v>TNFA_HUMAN</v>
      </c>
      <c r="E1192" s="2" t="s">
        <v>21</v>
      </c>
      <c r="F1192" s="3" t="str">
        <f t="shared" si="197"/>
        <v>Tumor necrosis factor</v>
      </c>
      <c r="G1192" s="4" t="str">
        <f t="shared" si="193"/>
        <v>Etanercept</v>
      </c>
      <c r="H1192" s="3" t="str">
        <f>HYPERLINK("https://www.cortellis.com/drugdiscovery/entity/biomarkers/62155","19-protein rhegmatogenous retinal detachment panel")</f>
        <v>19-protein rhegmatogenous retinal detachment panel</v>
      </c>
      <c r="I1192" s="2" t="s">
        <v>24</v>
      </c>
      <c r="J1192" s="2" t="s">
        <v>17</v>
      </c>
      <c r="K1192" s="4" t="str">
        <f>HYPERLINK("https://www.cortellis.com/drugdiscovery/result/proxy/related-content/biomarkers/genestargets/62155","C-C motif chemokine ligand 2; interleukin 12B; tumor necrosis factor")</f>
        <v>C-C motif chemokine ligand 2; interleukin 12B; tumor necrosis factor</v>
      </c>
    </row>
    <row r="1193" spans="1:11" ht="60" customHeight="1" x14ac:dyDescent="0.2">
      <c r="A1193" s="2">
        <v>1190</v>
      </c>
      <c r="B1193" s="3" t="str">
        <f t="shared" si="194"/>
        <v>TNF-alpha</v>
      </c>
      <c r="C1193" s="3" t="str">
        <f t="shared" si="195"/>
        <v>TNF</v>
      </c>
      <c r="D1193" s="3" t="str">
        <f t="shared" si="196"/>
        <v>TNFA_HUMAN</v>
      </c>
      <c r="E1193" s="2" t="s">
        <v>21</v>
      </c>
      <c r="F1193" s="3" t="str">
        <f t="shared" si="197"/>
        <v>Tumor necrosis factor</v>
      </c>
      <c r="G1193" s="4" t="str">
        <f t="shared" si="193"/>
        <v>Etanercept</v>
      </c>
      <c r="H1193" s="3" t="str">
        <f>HYPERLINK("https://www.cortellis.com/drugdiscovery/entity/biomarkers/62663","9-protein immunological disorders panel")</f>
        <v>9-protein immunological disorders panel</v>
      </c>
      <c r="I1193" s="2" t="s">
        <v>24</v>
      </c>
      <c r="J1193" s="2" t="s">
        <v>17</v>
      </c>
      <c r="K1193" s="4" t="str">
        <f>HYPERLINK("https://www.cortellis.com/drugdiscovery/result/proxy/related-content/biomarkers/genestargets/62663","C-C motif chemokine ligand 2; interferon gamma; tumor necrosis factor")</f>
        <v>C-C motif chemokine ligand 2; interferon gamma; tumor necrosis factor</v>
      </c>
    </row>
    <row r="1194" spans="1:11" ht="60" customHeight="1" x14ac:dyDescent="0.2">
      <c r="A1194" s="2">
        <v>1191</v>
      </c>
      <c r="B1194" s="3" t="str">
        <f t="shared" si="194"/>
        <v>TNF-alpha</v>
      </c>
      <c r="C1194" s="3" t="str">
        <f t="shared" si="195"/>
        <v>TNF</v>
      </c>
      <c r="D1194" s="3" t="str">
        <f t="shared" si="196"/>
        <v>TNFA_HUMAN</v>
      </c>
      <c r="E1194" s="2" t="s">
        <v>21</v>
      </c>
      <c r="F1194" s="3" t="str">
        <f t="shared" si="197"/>
        <v>Tumor necrosis factor</v>
      </c>
      <c r="G1194" s="4" t="str">
        <f t="shared" si="193"/>
        <v>Etanercept</v>
      </c>
      <c r="H1194" s="3" t="str">
        <f>HYPERLINK("https://www.cortellis.com/drugdiscovery/entity/biomarkers/62730","7-protein Alzheimer's disease panel")</f>
        <v>7-protein Alzheimer's disease panel</v>
      </c>
      <c r="I1194" s="2" t="s">
        <v>23</v>
      </c>
      <c r="J1194" s="2" t="s">
        <v>17</v>
      </c>
      <c r="K1194" s="4" t="str">
        <f>HYPERLINK("https://www.cortellis.com/drugdiscovery/result/proxy/related-content/biomarkers/genestargets/62730","tumor necrosis factor")</f>
        <v>tumor necrosis factor</v>
      </c>
    </row>
    <row r="1195" spans="1:11" ht="60" customHeight="1" x14ac:dyDescent="0.2">
      <c r="A1195" s="2">
        <v>1192</v>
      </c>
      <c r="B1195" s="3" t="str">
        <f t="shared" si="194"/>
        <v>TNF-alpha</v>
      </c>
      <c r="C1195" s="3" t="str">
        <f t="shared" si="195"/>
        <v>TNF</v>
      </c>
      <c r="D1195" s="3" t="str">
        <f t="shared" si="196"/>
        <v>TNFA_HUMAN</v>
      </c>
      <c r="E1195" s="2" t="s">
        <v>21</v>
      </c>
      <c r="F1195" s="3" t="str">
        <f t="shared" si="197"/>
        <v>Tumor necrosis factor</v>
      </c>
      <c r="G1195" s="4" t="str">
        <f t="shared" si="193"/>
        <v>Etanercept</v>
      </c>
      <c r="H1195" s="3" t="str">
        <f>HYPERLINK("https://www.cortellis.com/drugdiscovery/entity/biomarkers/62746","5-protein renal disorder panel")</f>
        <v>5-protein renal disorder panel</v>
      </c>
      <c r="I1195" s="2" t="s">
        <v>25</v>
      </c>
      <c r="J1195" s="2" t="s">
        <v>17</v>
      </c>
      <c r="K1195" s="4" t="str">
        <f>HYPERLINK("https://www.cortellis.com/drugdiscovery/result/proxy/related-content/biomarkers/genestargets/62746","tumor necrosis factor")</f>
        <v>tumor necrosis factor</v>
      </c>
    </row>
    <row r="1196" spans="1:11" ht="60" customHeight="1" x14ac:dyDescent="0.2">
      <c r="A1196" s="2">
        <v>1193</v>
      </c>
      <c r="B1196" s="3" t="str">
        <f t="shared" si="194"/>
        <v>TNF-alpha</v>
      </c>
      <c r="C1196" s="3" t="str">
        <f t="shared" si="195"/>
        <v>TNF</v>
      </c>
      <c r="D1196" s="3" t="str">
        <f t="shared" si="196"/>
        <v>TNFA_HUMAN</v>
      </c>
      <c r="E1196" s="2" t="s">
        <v>21</v>
      </c>
      <c r="F1196" s="3" t="str">
        <f t="shared" si="197"/>
        <v>Tumor necrosis factor</v>
      </c>
      <c r="G1196" s="4" t="str">
        <f t="shared" si="193"/>
        <v>Etanercept</v>
      </c>
      <c r="H1196" s="3" t="str">
        <f>HYPERLINK("https://www.cortellis.com/drugdiscovery/entity/biomarkers/65259","22-gene expression hepatocellular carcinoma panel")</f>
        <v>22-gene expression hepatocellular carcinoma panel</v>
      </c>
      <c r="I1196" s="2" t="s">
        <v>25</v>
      </c>
      <c r="J1196" s="2" t="s">
        <v>19</v>
      </c>
      <c r="K1196" s="4" t="str">
        <f>HYPERLINK("https://www.cortellis.com/drugdiscovery/result/proxy/related-content/biomarkers/genestargets/65259","tumor necrosis factor")</f>
        <v>tumor necrosis factor</v>
      </c>
    </row>
    <row r="1197" spans="1:11" ht="60" customHeight="1" x14ac:dyDescent="0.2">
      <c r="A1197" s="2">
        <v>1194</v>
      </c>
      <c r="B1197" s="3" t="str">
        <f t="shared" si="194"/>
        <v>TNF-alpha</v>
      </c>
      <c r="C1197" s="3" t="str">
        <f t="shared" si="195"/>
        <v>TNF</v>
      </c>
      <c r="D1197" s="3" t="str">
        <f t="shared" si="196"/>
        <v>TNFA_HUMAN</v>
      </c>
      <c r="E1197" s="2" t="s">
        <v>21</v>
      </c>
      <c r="F1197" s="3" t="str">
        <f t="shared" si="197"/>
        <v>Tumor necrosis factor</v>
      </c>
      <c r="G1197" s="4" t="str">
        <f t="shared" ref="G1197:G1223" si="198">HYPERLINK("https://portal.genego.com/cgi/entity_page.cgi?term=7&amp;id=1244500845","CDP571")</f>
        <v>CDP571</v>
      </c>
      <c r="H1197" s="3" t="str">
        <f>HYPERLINK("https://www.cortellis.com/drugdiscovery/entity/biomarkers/274","Tumor necrosis factor")</f>
        <v>Tumor necrosis factor</v>
      </c>
      <c r="I1197" s="2" t="s">
        <v>22</v>
      </c>
      <c r="J1197" s="2" t="s">
        <v>15</v>
      </c>
      <c r="K1197" s="4" t="str">
        <f>HYPERLINK("https://www.cortellis.com/drugdiscovery/result/proxy/related-content/biomarkers/genestargets/274","tumor necrosis factor")</f>
        <v>tumor necrosis factor</v>
      </c>
    </row>
    <row r="1198" spans="1:11" ht="60" customHeight="1" x14ac:dyDescent="0.2">
      <c r="A1198" s="2">
        <v>1195</v>
      </c>
      <c r="B1198" s="3" t="str">
        <f t="shared" si="194"/>
        <v>TNF-alpha</v>
      </c>
      <c r="C1198" s="3" t="str">
        <f t="shared" si="195"/>
        <v>TNF</v>
      </c>
      <c r="D1198" s="3" t="str">
        <f t="shared" si="196"/>
        <v>TNFA_HUMAN</v>
      </c>
      <c r="E1198" s="2" t="s">
        <v>21</v>
      </c>
      <c r="F1198" s="3" t="str">
        <f t="shared" si="197"/>
        <v>Tumor necrosis factor</v>
      </c>
      <c r="G1198" s="4" t="str">
        <f t="shared" si="198"/>
        <v>CDP571</v>
      </c>
      <c r="H1198" s="3" t="str">
        <f>HYPERLINK("https://www.cortellis.com/drugdiscovery/entity/biomarkers/27598","89-protein neurological alzheimer's panel")</f>
        <v>89-protein neurological alzheimer's panel</v>
      </c>
      <c r="I1198" s="2" t="s">
        <v>23</v>
      </c>
      <c r="J1198" s="2" t="s">
        <v>17</v>
      </c>
      <c r="K1198"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199" spans="1:11" ht="60" customHeight="1" x14ac:dyDescent="0.2">
      <c r="A1199" s="2">
        <v>1196</v>
      </c>
      <c r="B1199" s="3" t="str">
        <f t="shared" si="194"/>
        <v>TNF-alpha</v>
      </c>
      <c r="C1199" s="3" t="str">
        <f t="shared" si="195"/>
        <v>TNF</v>
      </c>
      <c r="D1199" s="3" t="str">
        <f t="shared" si="196"/>
        <v>TNFA_HUMAN</v>
      </c>
      <c r="E1199" s="2" t="s">
        <v>21</v>
      </c>
      <c r="F1199" s="3" t="str">
        <f t="shared" si="197"/>
        <v>Tumor necrosis factor</v>
      </c>
      <c r="G1199" s="4" t="str">
        <f t="shared" si="198"/>
        <v>CDP571</v>
      </c>
      <c r="H1199" s="3" t="str">
        <f>HYPERLINK("https://www.cortellis.com/drugdiscovery/entity/biomarkers/27640","5-protein alzheimer's panel")</f>
        <v>5-protein alzheimer's panel</v>
      </c>
      <c r="I1199" s="2" t="s">
        <v>23</v>
      </c>
      <c r="J1199" s="2" t="s">
        <v>17</v>
      </c>
      <c r="K1199" s="4" t="str">
        <f>HYPERLINK("https://www.cortellis.com/drugdiscovery/result/proxy/related-content/biomarkers/genestargets/27640","tumor necrosis factor")</f>
        <v>tumor necrosis factor</v>
      </c>
    </row>
    <row r="1200" spans="1:11" ht="60" customHeight="1" x14ac:dyDescent="0.2">
      <c r="A1200" s="2">
        <v>1197</v>
      </c>
      <c r="B1200" s="3" t="str">
        <f t="shared" si="194"/>
        <v>TNF-alpha</v>
      </c>
      <c r="C1200" s="3" t="str">
        <f t="shared" si="195"/>
        <v>TNF</v>
      </c>
      <c r="D1200" s="3" t="str">
        <f t="shared" si="196"/>
        <v>TNFA_HUMAN</v>
      </c>
      <c r="E1200" s="2" t="s">
        <v>21</v>
      </c>
      <c r="F1200" s="3" t="str">
        <f t="shared" si="197"/>
        <v>Tumor necrosis factor</v>
      </c>
      <c r="G1200" s="4" t="str">
        <f t="shared" si="198"/>
        <v>CDP571</v>
      </c>
      <c r="H1200" s="3" t="str">
        <f>HYPERLINK("https://www.cortellis.com/drugdiscovery/entity/biomarkers/27734","6-protein lung cancer panel")</f>
        <v>6-protein lung cancer panel</v>
      </c>
      <c r="I1200" s="2" t="s">
        <v>23</v>
      </c>
      <c r="J1200" s="2" t="s">
        <v>17</v>
      </c>
      <c r="K1200" s="4" t="str">
        <f>HYPERLINK("https://www.cortellis.com/drugdiscovery/result/proxy/related-content/biomarkers/genestargets/27734","interferon gamma; tumor necrosis factor")</f>
        <v>interferon gamma; tumor necrosis factor</v>
      </c>
    </row>
    <row r="1201" spans="1:11" ht="60" customHeight="1" x14ac:dyDescent="0.2">
      <c r="A1201" s="2">
        <v>1198</v>
      </c>
      <c r="B1201" s="3" t="str">
        <f t="shared" si="194"/>
        <v>TNF-alpha</v>
      </c>
      <c r="C1201" s="3" t="str">
        <f t="shared" si="195"/>
        <v>TNF</v>
      </c>
      <c r="D1201" s="3" t="str">
        <f t="shared" si="196"/>
        <v>TNFA_HUMAN</v>
      </c>
      <c r="E1201" s="2" t="s">
        <v>21</v>
      </c>
      <c r="F1201" s="3" t="str">
        <f t="shared" si="197"/>
        <v>Tumor necrosis factor</v>
      </c>
      <c r="G1201" s="4" t="str">
        <f t="shared" si="198"/>
        <v>CDP571</v>
      </c>
      <c r="H1201" s="3" t="str">
        <f>HYPERLINK("https://www.cortellis.com/drugdiscovery/entity/biomarkers/28148","11-gene expression lung cancer panel")</f>
        <v>11-gene expression lung cancer panel</v>
      </c>
      <c r="I1201" s="2" t="s">
        <v>25</v>
      </c>
      <c r="J1201" s="2" t="s">
        <v>19</v>
      </c>
      <c r="K1201" s="4" t="str">
        <f>HYPERLINK("https://www.cortellis.com/drugdiscovery/result/proxy/related-content/biomarkers/genestargets/28148","interferon gamma; interleukin 15; tumor necrosis factor")</f>
        <v>interferon gamma; interleukin 15; tumor necrosis factor</v>
      </c>
    </row>
    <row r="1202" spans="1:11" ht="60" customHeight="1" x14ac:dyDescent="0.2">
      <c r="A1202" s="2">
        <v>1199</v>
      </c>
      <c r="B1202" s="3" t="str">
        <f t="shared" si="194"/>
        <v>TNF-alpha</v>
      </c>
      <c r="C1202" s="3" t="str">
        <f t="shared" si="195"/>
        <v>TNF</v>
      </c>
      <c r="D1202" s="3" t="str">
        <f t="shared" si="196"/>
        <v>TNFA_HUMAN</v>
      </c>
      <c r="E1202" s="2" t="s">
        <v>21</v>
      </c>
      <c r="F1202" s="3" t="str">
        <f t="shared" si="197"/>
        <v>Tumor necrosis factor</v>
      </c>
      <c r="G1202" s="4" t="str">
        <f t="shared" si="198"/>
        <v>CDP571</v>
      </c>
      <c r="H1202" s="3" t="str">
        <f>HYPERLINK("https://www.cortellis.com/drugdiscovery/entity/biomarkers/28647","15-gene expression lung cancer panel")</f>
        <v>15-gene expression lung cancer panel</v>
      </c>
      <c r="I1202" s="2" t="s">
        <v>20</v>
      </c>
      <c r="J1202" s="2" t="s">
        <v>19</v>
      </c>
      <c r="K1202" s="4" t="str">
        <f>HYPERLINK("https://www.cortellis.com/drugdiscovery/result/proxy/related-content/biomarkers/genestargets/28647","interferon gamma; interleukin 15; tumor necrosis factor")</f>
        <v>interferon gamma; interleukin 15; tumor necrosis factor</v>
      </c>
    </row>
    <row r="1203" spans="1:11" ht="60" customHeight="1" x14ac:dyDescent="0.2">
      <c r="A1203" s="2">
        <v>1200</v>
      </c>
      <c r="B1203" s="3" t="str">
        <f t="shared" si="194"/>
        <v>TNF-alpha</v>
      </c>
      <c r="C1203" s="3" t="str">
        <f t="shared" si="195"/>
        <v>TNF</v>
      </c>
      <c r="D1203" s="3" t="str">
        <f t="shared" si="196"/>
        <v>TNFA_HUMAN</v>
      </c>
      <c r="E1203" s="2" t="s">
        <v>21</v>
      </c>
      <c r="F1203" s="3" t="str">
        <f t="shared" si="197"/>
        <v>Tumor necrosis factor</v>
      </c>
      <c r="G1203" s="4" t="str">
        <f t="shared" si="198"/>
        <v>CDP571</v>
      </c>
      <c r="H1203" s="3" t="str">
        <f>HYPERLINK("https://www.cortellis.com/drugdiscovery/entity/biomarkers/29676","277-gene expression lung cancer panel")</f>
        <v>277-gene expression lung cancer panel</v>
      </c>
      <c r="I1203" s="2" t="s">
        <v>25</v>
      </c>
      <c r="J1203" s="2" t="s">
        <v>19</v>
      </c>
      <c r="K1203" s="4" t="str">
        <f>HYPERLINK("https://www.cortellis.com/drugdiscovery/result/proxy/related-content/biomarkers/genestargets/29676","cyclin D1; tumor necrosis factor")</f>
        <v>cyclin D1; tumor necrosis factor</v>
      </c>
    </row>
    <row r="1204" spans="1:11" ht="60" customHeight="1" x14ac:dyDescent="0.2">
      <c r="A1204" s="2">
        <v>1201</v>
      </c>
      <c r="B1204" s="3" t="str">
        <f t="shared" si="194"/>
        <v>TNF-alpha</v>
      </c>
      <c r="C1204" s="3" t="str">
        <f t="shared" si="195"/>
        <v>TNF</v>
      </c>
      <c r="D1204" s="3" t="str">
        <f t="shared" si="196"/>
        <v>TNFA_HUMAN</v>
      </c>
      <c r="E1204" s="2" t="s">
        <v>21</v>
      </c>
      <c r="F1204" s="3" t="str">
        <f t="shared" si="197"/>
        <v>Tumor necrosis factor</v>
      </c>
      <c r="G1204" s="4" t="str">
        <f t="shared" si="198"/>
        <v>CDP571</v>
      </c>
      <c r="H1204" s="3" t="str">
        <f>HYPERLINK("https://www.cortellis.com/drugdiscovery/entity/biomarkers/30768","11-protein cardiovascular panel")</f>
        <v>11-protein cardiovascular panel</v>
      </c>
      <c r="I1204" s="2" t="s">
        <v>23</v>
      </c>
      <c r="J1204" s="2" t="s">
        <v>17</v>
      </c>
      <c r="K1204" s="4" t="str">
        <f>HYPERLINK("https://www.cortellis.com/drugdiscovery/result/proxy/related-content/biomarkers/genestargets/30768","interferon gamma; interleukin 12B; tumor necrosis factor")</f>
        <v>interferon gamma; interleukin 12B; tumor necrosis factor</v>
      </c>
    </row>
    <row r="1205" spans="1:11" ht="60" customHeight="1" x14ac:dyDescent="0.2">
      <c r="A1205" s="2">
        <v>1202</v>
      </c>
      <c r="B1205" s="3" t="str">
        <f t="shared" si="194"/>
        <v>TNF-alpha</v>
      </c>
      <c r="C1205" s="3" t="str">
        <f t="shared" si="195"/>
        <v>TNF</v>
      </c>
      <c r="D1205" s="3" t="str">
        <f t="shared" si="196"/>
        <v>TNFA_HUMAN</v>
      </c>
      <c r="E1205" s="2" t="s">
        <v>21</v>
      </c>
      <c r="F1205" s="3" t="str">
        <f t="shared" si="197"/>
        <v>Tumor necrosis factor</v>
      </c>
      <c r="G1205" s="4" t="str">
        <f t="shared" si="198"/>
        <v>CDP571</v>
      </c>
      <c r="H1205" s="3" t="str">
        <f>HYPERLINK("https://www.cortellis.com/drugdiscovery/entity/biomarkers/34385","30-protein alzheimer's panel")</f>
        <v>30-protein alzheimer's panel</v>
      </c>
      <c r="I1205" s="2" t="s">
        <v>23</v>
      </c>
      <c r="J1205" s="2" t="s">
        <v>17</v>
      </c>
      <c r="K1205" s="4" t="str">
        <f>HYPERLINK("https://www.cortellis.com/drugdiscovery/result/proxy/related-content/biomarkers/genestargets/34385","C-C motif chemokine ligand 2; interleukin 7; tenascin C; tumor necrosis factor")</f>
        <v>C-C motif chemokine ligand 2; interleukin 7; tenascin C; tumor necrosis factor</v>
      </c>
    </row>
    <row r="1206" spans="1:11" ht="60" customHeight="1" x14ac:dyDescent="0.2">
      <c r="A1206" s="2">
        <v>1203</v>
      </c>
      <c r="B1206" s="3" t="str">
        <f t="shared" si="194"/>
        <v>TNF-alpha</v>
      </c>
      <c r="C1206" s="3" t="str">
        <f t="shared" si="195"/>
        <v>TNF</v>
      </c>
      <c r="D1206" s="3" t="str">
        <f t="shared" si="196"/>
        <v>TNFA_HUMAN</v>
      </c>
      <c r="E1206" s="2" t="s">
        <v>21</v>
      </c>
      <c r="F1206" s="3" t="str">
        <f t="shared" si="197"/>
        <v>Tumor necrosis factor</v>
      </c>
      <c r="G1206" s="4" t="str">
        <f t="shared" si="198"/>
        <v>CDP571</v>
      </c>
      <c r="H1206" s="3" t="str">
        <f>HYPERLINK("https://www.cortellis.com/drugdiscovery/entity/biomarkers/34437","3-protein 3-autoantibody lung cancer panel")</f>
        <v>3-protein 3-autoantibody lung cancer panel</v>
      </c>
      <c r="I1206" s="2" t="s">
        <v>23</v>
      </c>
      <c r="J1206" s="2" t="s">
        <v>17</v>
      </c>
      <c r="K1206" s="4" t="str">
        <f>HYPERLINK("https://www.cortellis.com/drugdiscovery/result/proxy/related-content/biomarkers/genestargets/34437","tumor necrosis factor")</f>
        <v>tumor necrosis factor</v>
      </c>
    </row>
    <row r="1207" spans="1:11" ht="60" customHeight="1" x14ac:dyDescent="0.2">
      <c r="A1207" s="2">
        <v>1204</v>
      </c>
      <c r="B1207" s="3" t="str">
        <f t="shared" si="194"/>
        <v>TNF-alpha</v>
      </c>
      <c r="C1207" s="3" t="str">
        <f t="shared" si="195"/>
        <v>TNF</v>
      </c>
      <c r="D1207" s="3" t="str">
        <f t="shared" si="196"/>
        <v>TNFA_HUMAN</v>
      </c>
      <c r="E1207" s="2" t="s">
        <v>21</v>
      </c>
      <c r="F1207" s="3" t="str">
        <f t="shared" si="197"/>
        <v>Tumor necrosis factor</v>
      </c>
      <c r="G1207" s="4" t="str">
        <f t="shared" si="198"/>
        <v>CDP571</v>
      </c>
      <c r="H1207" s="3" t="str">
        <f>HYPERLINK("https://www.cortellis.com/drugdiscovery/entity/biomarkers/35424","60-gene expression ovarian cancer panel")</f>
        <v>60-gene expression ovarian cancer panel</v>
      </c>
      <c r="I1207" s="2" t="s">
        <v>18</v>
      </c>
      <c r="J1207" s="2" t="s">
        <v>19</v>
      </c>
      <c r="K1207" s="4" t="str">
        <f>HYPERLINK("https://www.cortellis.com/drugdiscovery/result/proxy/related-content/biomarkers/genestargets/35424","tumor necrosis factor")</f>
        <v>tumor necrosis factor</v>
      </c>
    </row>
    <row r="1208" spans="1:11" ht="60" customHeight="1" x14ac:dyDescent="0.2">
      <c r="A1208" s="2">
        <v>1205</v>
      </c>
      <c r="B1208" s="3" t="str">
        <f t="shared" si="194"/>
        <v>TNF-alpha</v>
      </c>
      <c r="C1208" s="3" t="str">
        <f t="shared" si="195"/>
        <v>TNF</v>
      </c>
      <c r="D1208" s="3" t="str">
        <f t="shared" si="196"/>
        <v>TNFA_HUMAN</v>
      </c>
      <c r="E1208" s="2" t="s">
        <v>21</v>
      </c>
      <c r="F1208" s="3" t="str">
        <f t="shared" si="197"/>
        <v>Tumor necrosis factor</v>
      </c>
      <c r="G1208" s="4" t="str">
        <f t="shared" si="198"/>
        <v>CDP571</v>
      </c>
      <c r="H1208" s="3" t="str">
        <f>HYPERLINK("https://www.cortellis.com/drugdiscovery/entity/biomarkers/36125","10-protein respiratory panel")</f>
        <v>10-protein respiratory panel</v>
      </c>
      <c r="I1208" s="2" t="s">
        <v>25</v>
      </c>
      <c r="J1208" s="2" t="s">
        <v>17</v>
      </c>
      <c r="K1208" s="4" t="str">
        <f>HYPERLINK("https://www.cortellis.com/drugdiscovery/result/proxy/related-content/biomarkers/genestargets/36125","interferon gamma; tumor necrosis factor")</f>
        <v>interferon gamma; tumor necrosis factor</v>
      </c>
    </row>
    <row r="1209" spans="1:11" ht="60" customHeight="1" x14ac:dyDescent="0.2">
      <c r="A1209" s="2">
        <v>1206</v>
      </c>
      <c r="B1209" s="3" t="str">
        <f t="shared" si="194"/>
        <v>TNF-alpha</v>
      </c>
      <c r="C1209" s="3" t="str">
        <f t="shared" si="195"/>
        <v>TNF</v>
      </c>
      <c r="D1209" s="3" t="str">
        <f t="shared" si="196"/>
        <v>TNFA_HUMAN</v>
      </c>
      <c r="E1209" s="2" t="s">
        <v>21</v>
      </c>
      <c r="F1209" s="3" t="str">
        <f t="shared" si="197"/>
        <v>Tumor necrosis factor</v>
      </c>
      <c r="G1209" s="4" t="str">
        <f t="shared" si="198"/>
        <v>CDP571</v>
      </c>
      <c r="H1209" s="3" t="str">
        <f>HYPERLINK("https://www.cortellis.com/drugdiscovery/entity/biomarkers/36127","3-protein respiratory panel")</f>
        <v>3-protein respiratory panel</v>
      </c>
      <c r="I1209" s="2" t="s">
        <v>25</v>
      </c>
      <c r="J1209" s="2" t="s">
        <v>17</v>
      </c>
      <c r="K1209" s="4" t="str">
        <f>HYPERLINK("https://www.cortellis.com/drugdiscovery/result/proxy/related-content/biomarkers/genestargets/36127","interferon gamma; tumor necrosis factor")</f>
        <v>interferon gamma; tumor necrosis factor</v>
      </c>
    </row>
    <row r="1210" spans="1:11" ht="60" customHeight="1" x14ac:dyDescent="0.2">
      <c r="A1210" s="2">
        <v>1207</v>
      </c>
      <c r="B1210" s="3" t="str">
        <f t="shared" si="194"/>
        <v>TNF-alpha</v>
      </c>
      <c r="C1210" s="3" t="str">
        <f t="shared" si="195"/>
        <v>TNF</v>
      </c>
      <c r="D1210" s="3" t="str">
        <f t="shared" si="196"/>
        <v>TNFA_HUMAN</v>
      </c>
      <c r="E1210" s="2" t="s">
        <v>21</v>
      </c>
      <c r="F1210" s="3" t="str">
        <f t="shared" si="197"/>
        <v>Tumor necrosis factor</v>
      </c>
      <c r="G1210" s="4" t="str">
        <f t="shared" si="198"/>
        <v>CDP571</v>
      </c>
      <c r="H1210" s="3" t="str">
        <f>HYPERLINK("https://www.cortellis.com/drugdiscovery/entity/biomarkers/37520","4-protein bacteremia panel")</f>
        <v>4-protein bacteremia panel</v>
      </c>
      <c r="I1210" s="2" t="s">
        <v>23</v>
      </c>
      <c r="J1210" s="2" t="s">
        <v>17</v>
      </c>
      <c r="K1210" s="4" t="str">
        <f>HYPERLINK("https://www.cortellis.com/drugdiscovery/result/proxy/related-content/biomarkers/genestargets/37520","tumor necrosis factor")</f>
        <v>tumor necrosis factor</v>
      </c>
    </row>
    <row r="1211" spans="1:11" ht="60" customHeight="1" x14ac:dyDescent="0.2">
      <c r="A1211" s="2">
        <v>1208</v>
      </c>
      <c r="B1211" s="3" t="str">
        <f t="shared" si="194"/>
        <v>TNF-alpha</v>
      </c>
      <c r="C1211" s="3" t="str">
        <f t="shared" si="195"/>
        <v>TNF</v>
      </c>
      <c r="D1211" s="3" t="str">
        <f t="shared" si="196"/>
        <v>TNFA_HUMAN</v>
      </c>
      <c r="E1211" s="2" t="s">
        <v>21</v>
      </c>
      <c r="F1211" s="3" t="str">
        <f t="shared" si="197"/>
        <v>Tumor necrosis factor</v>
      </c>
      <c r="G1211" s="4" t="str">
        <f t="shared" si="198"/>
        <v>CDP571</v>
      </c>
      <c r="H1211" s="3" t="str">
        <f>HYPERLINK("https://www.cortellis.com/drugdiscovery/entity/biomarkers/43870","17-genomic 14-protein 3-biochemical irritable bowel syndrome panel")</f>
        <v>17-genomic 14-protein 3-biochemical irritable bowel syndrome panel</v>
      </c>
      <c r="I1211" s="2" t="s">
        <v>52</v>
      </c>
      <c r="J1211" s="2" t="s">
        <v>53</v>
      </c>
      <c r="K1211" s="4" t="str">
        <f>HYPERLINK("https://www.cortellis.com/drugdiscovery/result/proxy/related-content/biomarkers/genestargets/43870","interleukin 12B; tumor necrosis factor")</f>
        <v>interleukin 12B; tumor necrosis factor</v>
      </c>
    </row>
    <row r="1212" spans="1:11" ht="60" customHeight="1" x14ac:dyDescent="0.2">
      <c r="A1212" s="2">
        <v>1209</v>
      </c>
      <c r="B1212" s="3" t="str">
        <f t="shared" si="194"/>
        <v>TNF-alpha</v>
      </c>
      <c r="C1212" s="3" t="str">
        <f t="shared" si="195"/>
        <v>TNF</v>
      </c>
      <c r="D1212" s="3" t="str">
        <f t="shared" si="196"/>
        <v>TNFA_HUMAN</v>
      </c>
      <c r="E1212" s="2" t="s">
        <v>21</v>
      </c>
      <c r="F1212" s="3" t="str">
        <f t="shared" si="197"/>
        <v>Tumor necrosis factor</v>
      </c>
      <c r="G1212" s="4" t="str">
        <f t="shared" si="198"/>
        <v>CDP571</v>
      </c>
      <c r="H1212" s="3" t="str">
        <f>HYPERLINK("https://www.cortellis.com/drugdiscovery/entity/biomarkers/46842","7-protein non small cell lung cancer panel")</f>
        <v>7-protein non small cell lung cancer panel</v>
      </c>
      <c r="I1212" s="2" t="s">
        <v>23</v>
      </c>
      <c r="J1212" s="2" t="s">
        <v>17</v>
      </c>
      <c r="K1212" s="4" t="str">
        <f>HYPERLINK("https://www.cortellis.com/drugdiscovery/result/proxy/related-content/biomarkers/genestargets/46842","tumor necrosis factor")</f>
        <v>tumor necrosis factor</v>
      </c>
    </row>
    <row r="1213" spans="1:11" ht="60" customHeight="1" x14ac:dyDescent="0.2">
      <c r="A1213" s="2">
        <v>1210</v>
      </c>
      <c r="B1213" s="3" t="str">
        <f t="shared" si="194"/>
        <v>TNF-alpha</v>
      </c>
      <c r="C1213" s="3" t="str">
        <f t="shared" si="195"/>
        <v>TNF</v>
      </c>
      <c r="D1213" s="3" t="str">
        <f t="shared" si="196"/>
        <v>TNFA_HUMAN</v>
      </c>
      <c r="E1213" s="2" t="s">
        <v>21</v>
      </c>
      <c r="F1213" s="3" t="str">
        <f t="shared" si="197"/>
        <v>Tumor necrosis factor</v>
      </c>
      <c r="G1213" s="4" t="str">
        <f t="shared" si="198"/>
        <v>CDP571</v>
      </c>
      <c r="H1213" s="3" t="str">
        <f>HYPERLINK("https://www.cortellis.com/drugdiscovery/entity/biomarkers/50816","10-gene lyme disease panel")</f>
        <v>10-gene lyme disease panel</v>
      </c>
      <c r="I1213" s="2" t="s">
        <v>23</v>
      </c>
      <c r="J1213" s="2" t="s">
        <v>15</v>
      </c>
      <c r="K1213" s="4" t="str">
        <f>HYPERLINK("https://www.cortellis.com/drugdiscovery/result/proxy/related-content/biomarkers/genestargets/50816","C-C motif chemokine ligand 2; interferon gamma; tumor necrosis factor")</f>
        <v>C-C motif chemokine ligand 2; interferon gamma; tumor necrosis factor</v>
      </c>
    </row>
    <row r="1214" spans="1:11" ht="60" customHeight="1" x14ac:dyDescent="0.2">
      <c r="A1214" s="2">
        <v>1211</v>
      </c>
      <c r="B1214" s="3" t="str">
        <f t="shared" si="194"/>
        <v>TNF-alpha</v>
      </c>
      <c r="C1214" s="3" t="str">
        <f t="shared" si="195"/>
        <v>TNF</v>
      </c>
      <c r="D1214" s="3" t="str">
        <f t="shared" si="196"/>
        <v>TNFA_HUMAN</v>
      </c>
      <c r="E1214" s="2" t="s">
        <v>21</v>
      </c>
      <c r="F1214" s="3" t="str">
        <f t="shared" si="197"/>
        <v>Tumor necrosis factor</v>
      </c>
      <c r="G1214" s="4" t="str">
        <f t="shared" si="198"/>
        <v>CDP571</v>
      </c>
      <c r="H1214" s="3" t="str">
        <f>HYPERLINK("https://www.cortellis.com/drugdiscovery/entity/biomarkers/50817","11-gene lyme disease panel")</f>
        <v>11-gene lyme disease panel</v>
      </c>
      <c r="I1214" s="2" t="s">
        <v>23</v>
      </c>
      <c r="J1214" s="2" t="s">
        <v>15</v>
      </c>
      <c r="K1214" s="4" t="str">
        <f>HYPERLINK("https://www.cortellis.com/drugdiscovery/result/proxy/related-content/biomarkers/genestargets/50817","C-C motif chemokine ligand 2; interferon gamma; tumor necrosis factor")</f>
        <v>C-C motif chemokine ligand 2; interferon gamma; tumor necrosis factor</v>
      </c>
    </row>
    <row r="1215" spans="1:11" ht="60" customHeight="1" x14ac:dyDescent="0.2">
      <c r="A1215" s="2">
        <v>1212</v>
      </c>
      <c r="B1215" s="3" t="str">
        <f t="shared" si="194"/>
        <v>TNF-alpha</v>
      </c>
      <c r="C1215" s="3" t="str">
        <f t="shared" si="195"/>
        <v>TNF</v>
      </c>
      <c r="D1215" s="3" t="str">
        <f t="shared" si="196"/>
        <v>TNFA_HUMAN</v>
      </c>
      <c r="E1215" s="2" t="s">
        <v>21</v>
      </c>
      <c r="F1215" s="3" t="str">
        <f t="shared" si="197"/>
        <v>Tumor necrosis factor</v>
      </c>
      <c r="G1215" s="4" t="str">
        <f t="shared" si="198"/>
        <v>CDP571</v>
      </c>
      <c r="H1215" s="3" t="str">
        <f>HYPERLINK("https://www.cortellis.com/drugdiscovery/entity/biomarkers/50818","12 protein Lyme disease panel")</f>
        <v>12 protein Lyme disease panel</v>
      </c>
      <c r="I1215" s="2" t="s">
        <v>23</v>
      </c>
      <c r="J1215" s="2" t="s">
        <v>17</v>
      </c>
      <c r="K1215" s="4" t="str">
        <f>HYPERLINK("https://www.cortellis.com/drugdiscovery/result/proxy/related-content/biomarkers/genestargets/50818","C-C motif chemokine ligand 2; interferon gamma; tumor necrosis factor")</f>
        <v>C-C motif chemokine ligand 2; interferon gamma; tumor necrosis factor</v>
      </c>
    </row>
    <row r="1216" spans="1:11" ht="60" customHeight="1" x14ac:dyDescent="0.2">
      <c r="A1216" s="2">
        <v>1213</v>
      </c>
      <c r="B1216" s="3" t="str">
        <f t="shared" si="194"/>
        <v>TNF-alpha</v>
      </c>
      <c r="C1216" s="3" t="str">
        <f t="shared" si="195"/>
        <v>TNF</v>
      </c>
      <c r="D1216" s="3" t="str">
        <f t="shared" si="196"/>
        <v>TNFA_HUMAN</v>
      </c>
      <c r="E1216" s="2" t="s">
        <v>21</v>
      </c>
      <c r="F1216" s="3" t="str">
        <f t="shared" si="197"/>
        <v>Tumor necrosis factor</v>
      </c>
      <c r="G1216" s="4" t="str">
        <f t="shared" si="198"/>
        <v>CDP571</v>
      </c>
      <c r="H1216" s="3" t="str">
        <f>HYPERLINK("https://www.cortellis.com/drugdiscovery/entity/biomarkers/51292","37-gene expression major depression panel")</f>
        <v>37-gene expression major depression panel</v>
      </c>
      <c r="I1216" s="2" t="s">
        <v>23</v>
      </c>
      <c r="J1216" s="2" t="s">
        <v>19</v>
      </c>
      <c r="K1216" s="4" t="str">
        <f>HYPERLINK("https://www.cortellis.com/drugdiscovery/result/proxy/related-content/biomarkers/genestargets/51292","C-C motif chemokine ligand 2; tumor necrosis factor")</f>
        <v>C-C motif chemokine ligand 2; tumor necrosis factor</v>
      </c>
    </row>
    <row r="1217" spans="1:11" ht="60" customHeight="1" x14ac:dyDescent="0.2">
      <c r="A1217" s="2">
        <v>1214</v>
      </c>
      <c r="B1217" s="3" t="str">
        <f t="shared" si="194"/>
        <v>TNF-alpha</v>
      </c>
      <c r="C1217" s="3" t="str">
        <f t="shared" si="195"/>
        <v>TNF</v>
      </c>
      <c r="D1217" s="3" t="str">
        <f t="shared" si="196"/>
        <v>TNFA_HUMAN</v>
      </c>
      <c r="E1217" s="2" t="s">
        <v>21</v>
      </c>
      <c r="F1217" s="3" t="str">
        <f t="shared" si="197"/>
        <v>Tumor necrosis factor</v>
      </c>
      <c r="G1217" s="4" t="str">
        <f t="shared" si="198"/>
        <v>CDP571</v>
      </c>
      <c r="H1217" s="3" t="str">
        <f>HYPERLINK("https://www.cortellis.com/drugdiscovery/entity/biomarkers/57224","21-protein mild cognitive impairment panel")</f>
        <v>21-protein mild cognitive impairment panel</v>
      </c>
      <c r="I1217" s="2" t="s">
        <v>23</v>
      </c>
      <c r="J1217" s="2" t="s">
        <v>19</v>
      </c>
      <c r="K1217" s="4" t="str">
        <f>HYPERLINK("https://www.cortellis.com/drugdiscovery/result/proxy/related-content/biomarkers/genestargets/57224","interleukin 7; tenascin C; tumor necrosis factor")</f>
        <v>interleukin 7; tenascin C; tumor necrosis factor</v>
      </c>
    </row>
    <row r="1218" spans="1:11" ht="60" customHeight="1" x14ac:dyDescent="0.2">
      <c r="A1218" s="2">
        <v>1215</v>
      </c>
      <c r="B1218" s="3" t="str">
        <f t="shared" si="194"/>
        <v>TNF-alpha</v>
      </c>
      <c r="C1218" s="3" t="str">
        <f t="shared" si="195"/>
        <v>TNF</v>
      </c>
      <c r="D1218" s="3" t="str">
        <f t="shared" si="196"/>
        <v>TNFA_HUMAN</v>
      </c>
      <c r="E1218" s="2" t="s">
        <v>21</v>
      </c>
      <c r="F1218" s="3" t="str">
        <f t="shared" si="197"/>
        <v>Tumor necrosis factor</v>
      </c>
      <c r="G1218" s="4" t="str">
        <f t="shared" si="198"/>
        <v>CDP571</v>
      </c>
      <c r="H1218" s="3" t="str">
        <f>HYPERLINK("https://www.cortellis.com/drugdiscovery/entity/biomarkers/57250","9-protein non-muscle invasive bladder cancer panel")</f>
        <v>9-protein non-muscle invasive bladder cancer panel</v>
      </c>
      <c r="I1218" s="2" t="s">
        <v>18</v>
      </c>
      <c r="J1218" s="2" t="s">
        <v>17</v>
      </c>
      <c r="K1218" s="4" t="str">
        <f>HYPERLINK("https://www.cortellis.com/drugdiscovery/result/proxy/related-content/biomarkers/genestargets/57250","interferon gamma; interleukin 12B; tumor necrosis factor")</f>
        <v>interferon gamma; interleukin 12B; tumor necrosis factor</v>
      </c>
    </row>
    <row r="1219" spans="1:11" ht="60" customHeight="1" x14ac:dyDescent="0.2">
      <c r="A1219" s="2">
        <v>1216</v>
      </c>
      <c r="B1219" s="3" t="str">
        <f t="shared" si="194"/>
        <v>TNF-alpha</v>
      </c>
      <c r="C1219" s="3" t="str">
        <f t="shared" si="195"/>
        <v>TNF</v>
      </c>
      <c r="D1219" s="3" t="str">
        <f t="shared" si="196"/>
        <v>TNFA_HUMAN</v>
      </c>
      <c r="E1219" s="2" t="s">
        <v>21</v>
      </c>
      <c r="F1219" s="3" t="str">
        <f t="shared" si="197"/>
        <v>Tumor necrosis factor</v>
      </c>
      <c r="G1219" s="4" t="str">
        <f t="shared" si="198"/>
        <v>CDP571</v>
      </c>
      <c r="H1219" s="3" t="str">
        <f>HYPERLINK("https://www.cortellis.com/drugdiscovery/entity/biomarkers/62155","19-protein rhegmatogenous retinal detachment panel")</f>
        <v>19-protein rhegmatogenous retinal detachment panel</v>
      </c>
      <c r="I1219" s="2" t="s">
        <v>24</v>
      </c>
      <c r="J1219" s="2" t="s">
        <v>17</v>
      </c>
      <c r="K1219" s="4" t="str">
        <f>HYPERLINK("https://www.cortellis.com/drugdiscovery/result/proxy/related-content/biomarkers/genestargets/62155","C-C motif chemokine ligand 2; interleukin 12B; tumor necrosis factor")</f>
        <v>C-C motif chemokine ligand 2; interleukin 12B; tumor necrosis factor</v>
      </c>
    </row>
    <row r="1220" spans="1:11" ht="60" customHeight="1" x14ac:dyDescent="0.2">
      <c r="A1220" s="2">
        <v>1217</v>
      </c>
      <c r="B1220" s="3" t="str">
        <f t="shared" si="194"/>
        <v>TNF-alpha</v>
      </c>
      <c r="C1220" s="3" t="str">
        <f t="shared" si="195"/>
        <v>TNF</v>
      </c>
      <c r="D1220" s="3" t="str">
        <f t="shared" si="196"/>
        <v>TNFA_HUMAN</v>
      </c>
      <c r="E1220" s="2" t="s">
        <v>21</v>
      </c>
      <c r="F1220" s="3" t="str">
        <f t="shared" si="197"/>
        <v>Tumor necrosis factor</v>
      </c>
      <c r="G1220" s="4" t="str">
        <f t="shared" si="198"/>
        <v>CDP571</v>
      </c>
      <c r="H1220" s="3" t="str">
        <f>HYPERLINK("https://www.cortellis.com/drugdiscovery/entity/biomarkers/62663","9-protein immunological disorders panel")</f>
        <v>9-protein immunological disorders panel</v>
      </c>
      <c r="I1220" s="2" t="s">
        <v>24</v>
      </c>
      <c r="J1220" s="2" t="s">
        <v>17</v>
      </c>
      <c r="K1220" s="4" t="str">
        <f>HYPERLINK("https://www.cortellis.com/drugdiscovery/result/proxy/related-content/biomarkers/genestargets/62663","C-C motif chemokine ligand 2; interferon gamma; tumor necrosis factor")</f>
        <v>C-C motif chemokine ligand 2; interferon gamma; tumor necrosis factor</v>
      </c>
    </row>
    <row r="1221" spans="1:11" ht="60" customHeight="1" x14ac:dyDescent="0.2">
      <c r="A1221" s="2">
        <v>1218</v>
      </c>
      <c r="B1221" s="3" t="str">
        <f t="shared" si="194"/>
        <v>TNF-alpha</v>
      </c>
      <c r="C1221" s="3" t="str">
        <f t="shared" si="195"/>
        <v>TNF</v>
      </c>
      <c r="D1221" s="3" t="str">
        <f t="shared" si="196"/>
        <v>TNFA_HUMAN</v>
      </c>
      <c r="E1221" s="2" t="s">
        <v>21</v>
      </c>
      <c r="F1221" s="3" t="str">
        <f t="shared" si="197"/>
        <v>Tumor necrosis factor</v>
      </c>
      <c r="G1221" s="4" t="str">
        <f t="shared" si="198"/>
        <v>CDP571</v>
      </c>
      <c r="H1221" s="3" t="str">
        <f>HYPERLINK("https://www.cortellis.com/drugdiscovery/entity/biomarkers/62730","7-protein Alzheimer's disease panel")</f>
        <v>7-protein Alzheimer's disease panel</v>
      </c>
      <c r="I1221" s="2" t="s">
        <v>23</v>
      </c>
      <c r="J1221" s="2" t="s">
        <v>17</v>
      </c>
      <c r="K1221" s="4" t="str">
        <f>HYPERLINK("https://www.cortellis.com/drugdiscovery/result/proxy/related-content/biomarkers/genestargets/62730","tumor necrosis factor")</f>
        <v>tumor necrosis factor</v>
      </c>
    </row>
    <row r="1222" spans="1:11" ht="60" customHeight="1" x14ac:dyDescent="0.2">
      <c r="A1222" s="2">
        <v>1219</v>
      </c>
      <c r="B1222" s="3" t="str">
        <f t="shared" si="194"/>
        <v>TNF-alpha</v>
      </c>
      <c r="C1222" s="3" t="str">
        <f t="shared" si="195"/>
        <v>TNF</v>
      </c>
      <c r="D1222" s="3" t="str">
        <f t="shared" si="196"/>
        <v>TNFA_HUMAN</v>
      </c>
      <c r="E1222" s="2" t="s">
        <v>21</v>
      </c>
      <c r="F1222" s="3" t="str">
        <f t="shared" si="197"/>
        <v>Tumor necrosis factor</v>
      </c>
      <c r="G1222" s="4" t="str">
        <f t="shared" si="198"/>
        <v>CDP571</v>
      </c>
      <c r="H1222" s="3" t="str">
        <f>HYPERLINK("https://www.cortellis.com/drugdiscovery/entity/biomarkers/62746","5-protein renal disorder panel")</f>
        <v>5-protein renal disorder panel</v>
      </c>
      <c r="I1222" s="2" t="s">
        <v>25</v>
      </c>
      <c r="J1222" s="2" t="s">
        <v>17</v>
      </c>
      <c r="K1222" s="4" t="str">
        <f>HYPERLINK("https://www.cortellis.com/drugdiscovery/result/proxy/related-content/biomarkers/genestargets/62746","tumor necrosis factor")</f>
        <v>tumor necrosis factor</v>
      </c>
    </row>
    <row r="1223" spans="1:11" ht="60" customHeight="1" x14ac:dyDescent="0.2">
      <c r="A1223" s="2">
        <v>1220</v>
      </c>
      <c r="B1223" s="3" t="str">
        <f t="shared" si="194"/>
        <v>TNF-alpha</v>
      </c>
      <c r="C1223" s="3" t="str">
        <f t="shared" si="195"/>
        <v>TNF</v>
      </c>
      <c r="D1223" s="3" t="str">
        <f t="shared" si="196"/>
        <v>TNFA_HUMAN</v>
      </c>
      <c r="E1223" s="2" t="s">
        <v>21</v>
      </c>
      <c r="F1223" s="3" t="str">
        <f t="shared" si="197"/>
        <v>Tumor necrosis factor</v>
      </c>
      <c r="G1223" s="4" t="str">
        <f t="shared" si="198"/>
        <v>CDP571</v>
      </c>
      <c r="H1223" s="3" t="str">
        <f>HYPERLINK("https://www.cortellis.com/drugdiscovery/entity/biomarkers/65259","22-gene expression hepatocellular carcinoma panel")</f>
        <v>22-gene expression hepatocellular carcinoma panel</v>
      </c>
      <c r="I1223" s="2" t="s">
        <v>25</v>
      </c>
      <c r="J1223" s="2" t="s">
        <v>19</v>
      </c>
      <c r="K1223" s="4" t="str">
        <f>HYPERLINK("https://www.cortellis.com/drugdiscovery/result/proxy/related-content/biomarkers/genestargets/65259","tumor necrosis factor")</f>
        <v>tumor necrosis factor</v>
      </c>
    </row>
    <row r="1224" spans="1:11" ht="60" customHeight="1" x14ac:dyDescent="0.2">
      <c r="A1224" s="2">
        <v>1221</v>
      </c>
      <c r="B1224" s="3" t="str">
        <f t="shared" si="194"/>
        <v>TNF-alpha</v>
      </c>
      <c r="C1224" s="3" t="str">
        <f t="shared" si="195"/>
        <v>TNF</v>
      </c>
      <c r="D1224" s="3" t="str">
        <f t="shared" si="196"/>
        <v>TNFA_HUMAN</v>
      </c>
      <c r="E1224" s="2" t="s">
        <v>21</v>
      </c>
      <c r="F1224" s="3" t="str">
        <f t="shared" si="197"/>
        <v>Tumor necrosis factor</v>
      </c>
      <c r="G1224" s="4" t="str">
        <f t="shared" ref="G1224:G1250" si="199">HYPERLINK("https://portal.genego.com/cgi/entity_page.cgi?term=7&amp;id=1835104958","Lenalidomide")</f>
        <v>Lenalidomide</v>
      </c>
      <c r="H1224" s="3" t="str">
        <f>HYPERLINK("https://www.cortellis.com/drugdiscovery/entity/biomarkers/274","Tumor necrosis factor")</f>
        <v>Tumor necrosis factor</v>
      </c>
      <c r="I1224" s="2" t="s">
        <v>22</v>
      </c>
      <c r="J1224" s="2" t="s">
        <v>15</v>
      </c>
      <c r="K1224" s="4" t="str">
        <f>HYPERLINK("https://www.cortellis.com/drugdiscovery/result/proxy/related-content/biomarkers/genestargets/274","tumor necrosis factor")</f>
        <v>tumor necrosis factor</v>
      </c>
    </row>
    <row r="1225" spans="1:11" ht="60" customHeight="1" x14ac:dyDescent="0.2">
      <c r="A1225" s="2">
        <v>1222</v>
      </c>
      <c r="B1225" s="3" t="str">
        <f t="shared" si="194"/>
        <v>TNF-alpha</v>
      </c>
      <c r="C1225" s="3" t="str">
        <f t="shared" si="195"/>
        <v>TNF</v>
      </c>
      <c r="D1225" s="3" t="str">
        <f t="shared" si="196"/>
        <v>TNFA_HUMAN</v>
      </c>
      <c r="E1225" s="2" t="s">
        <v>21</v>
      </c>
      <c r="F1225" s="3" t="str">
        <f t="shared" si="197"/>
        <v>Tumor necrosis factor</v>
      </c>
      <c r="G1225" s="4" t="str">
        <f t="shared" si="199"/>
        <v>Lenalidomide</v>
      </c>
      <c r="H1225" s="3" t="str">
        <f>HYPERLINK("https://www.cortellis.com/drugdiscovery/entity/biomarkers/27598","89-protein neurological alzheimer's panel")</f>
        <v>89-protein neurological alzheimer's panel</v>
      </c>
      <c r="I1225" s="2" t="s">
        <v>23</v>
      </c>
      <c r="J1225" s="2" t="s">
        <v>17</v>
      </c>
      <c r="K1225"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226" spans="1:11" ht="60" customHeight="1" x14ac:dyDescent="0.2">
      <c r="A1226" s="2">
        <v>1223</v>
      </c>
      <c r="B1226" s="3" t="str">
        <f t="shared" si="194"/>
        <v>TNF-alpha</v>
      </c>
      <c r="C1226" s="3" t="str">
        <f t="shared" si="195"/>
        <v>TNF</v>
      </c>
      <c r="D1226" s="3" t="str">
        <f t="shared" si="196"/>
        <v>TNFA_HUMAN</v>
      </c>
      <c r="E1226" s="2" t="s">
        <v>21</v>
      </c>
      <c r="F1226" s="3" t="str">
        <f t="shared" si="197"/>
        <v>Tumor necrosis factor</v>
      </c>
      <c r="G1226" s="4" t="str">
        <f t="shared" si="199"/>
        <v>Lenalidomide</v>
      </c>
      <c r="H1226" s="3" t="str">
        <f>HYPERLINK("https://www.cortellis.com/drugdiscovery/entity/biomarkers/27640","5-protein alzheimer's panel")</f>
        <v>5-protein alzheimer's panel</v>
      </c>
      <c r="I1226" s="2" t="s">
        <v>23</v>
      </c>
      <c r="J1226" s="2" t="s">
        <v>17</v>
      </c>
      <c r="K1226" s="4" t="str">
        <f>HYPERLINK("https://www.cortellis.com/drugdiscovery/result/proxy/related-content/biomarkers/genestargets/27640","tumor necrosis factor")</f>
        <v>tumor necrosis factor</v>
      </c>
    </row>
    <row r="1227" spans="1:11" ht="60" customHeight="1" x14ac:dyDescent="0.2">
      <c r="A1227" s="2">
        <v>1224</v>
      </c>
      <c r="B1227" s="3" t="str">
        <f t="shared" si="194"/>
        <v>TNF-alpha</v>
      </c>
      <c r="C1227" s="3" t="str">
        <f t="shared" si="195"/>
        <v>TNF</v>
      </c>
      <c r="D1227" s="3" t="str">
        <f t="shared" si="196"/>
        <v>TNFA_HUMAN</v>
      </c>
      <c r="E1227" s="2" t="s">
        <v>21</v>
      </c>
      <c r="F1227" s="3" t="str">
        <f t="shared" si="197"/>
        <v>Tumor necrosis factor</v>
      </c>
      <c r="G1227" s="4" t="str">
        <f t="shared" si="199"/>
        <v>Lenalidomide</v>
      </c>
      <c r="H1227" s="3" t="str">
        <f>HYPERLINK("https://www.cortellis.com/drugdiscovery/entity/biomarkers/27734","6-protein lung cancer panel")</f>
        <v>6-protein lung cancer panel</v>
      </c>
      <c r="I1227" s="2" t="s">
        <v>23</v>
      </c>
      <c r="J1227" s="2" t="s">
        <v>17</v>
      </c>
      <c r="K1227" s="4" t="str">
        <f>HYPERLINK("https://www.cortellis.com/drugdiscovery/result/proxy/related-content/biomarkers/genestargets/27734","interferon gamma; tumor necrosis factor")</f>
        <v>interferon gamma; tumor necrosis factor</v>
      </c>
    </row>
    <row r="1228" spans="1:11" ht="60" customHeight="1" x14ac:dyDescent="0.2">
      <c r="A1228" s="2">
        <v>1225</v>
      </c>
      <c r="B1228" s="3" t="str">
        <f t="shared" si="194"/>
        <v>TNF-alpha</v>
      </c>
      <c r="C1228" s="3" t="str">
        <f t="shared" si="195"/>
        <v>TNF</v>
      </c>
      <c r="D1228" s="3" t="str">
        <f t="shared" si="196"/>
        <v>TNFA_HUMAN</v>
      </c>
      <c r="E1228" s="2" t="s">
        <v>21</v>
      </c>
      <c r="F1228" s="3" t="str">
        <f t="shared" si="197"/>
        <v>Tumor necrosis factor</v>
      </c>
      <c r="G1228" s="4" t="str">
        <f t="shared" si="199"/>
        <v>Lenalidomide</v>
      </c>
      <c r="H1228" s="3" t="str">
        <f>HYPERLINK("https://www.cortellis.com/drugdiscovery/entity/biomarkers/28148","11-gene expression lung cancer panel")</f>
        <v>11-gene expression lung cancer panel</v>
      </c>
      <c r="I1228" s="2" t="s">
        <v>25</v>
      </c>
      <c r="J1228" s="2" t="s">
        <v>19</v>
      </c>
      <c r="K1228" s="4" t="str">
        <f>HYPERLINK("https://www.cortellis.com/drugdiscovery/result/proxy/related-content/biomarkers/genestargets/28148","interferon gamma; interleukin 15; tumor necrosis factor")</f>
        <v>interferon gamma; interleukin 15; tumor necrosis factor</v>
      </c>
    </row>
    <row r="1229" spans="1:11" ht="60" customHeight="1" x14ac:dyDescent="0.2">
      <c r="A1229" s="2">
        <v>1226</v>
      </c>
      <c r="B1229" s="3" t="str">
        <f t="shared" si="194"/>
        <v>TNF-alpha</v>
      </c>
      <c r="C1229" s="3" t="str">
        <f t="shared" si="195"/>
        <v>TNF</v>
      </c>
      <c r="D1229" s="3" t="str">
        <f t="shared" si="196"/>
        <v>TNFA_HUMAN</v>
      </c>
      <c r="E1229" s="2" t="s">
        <v>21</v>
      </c>
      <c r="F1229" s="3" t="str">
        <f t="shared" si="197"/>
        <v>Tumor necrosis factor</v>
      </c>
      <c r="G1229" s="4" t="str">
        <f t="shared" si="199"/>
        <v>Lenalidomide</v>
      </c>
      <c r="H1229" s="3" t="str">
        <f>HYPERLINK("https://www.cortellis.com/drugdiscovery/entity/biomarkers/28647","15-gene expression lung cancer panel")</f>
        <v>15-gene expression lung cancer panel</v>
      </c>
      <c r="I1229" s="2" t="s">
        <v>20</v>
      </c>
      <c r="J1229" s="2" t="s">
        <v>19</v>
      </c>
      <c r="K1229" s="4" t="str">
        <f>HYPERLINK("https://www.cortellis.com/drugdiscovery/result/proxy/related-content/biomarkers/genestargets/28647","interferon gamma; interleukin 15; tumor necrosis factor")</f>
        <v>interferon gamma; interleukin 15; tumor necrosis factor</v>
      </c>
    </row>
    <row r="1230" spans="1:11" ht="60" customHeight="1" x14ac:dyDescent="0.2">
      <c r="A1230" s="2">
        <v>1227</v>
      </c>
      <c r="B1230" s="3" t="str">
        <f t="shared" si="194"/>
        <v>TNF-alpha</v>
      </c>
      <c r="C1230" s="3" t="str">
        <f t="shared" si="195"/>
        <v>TNF</v>
      </c>
      <c r="D1230" s="3" t="str">
        <f t="shared" si="196"/>
        <v>TNFA_HUMAN</v>
      </c>
      <c r="E1230" s="2" t="s">
        <v>21</v>
      </c>
      <c r="F1230" s="3" t="str">
        <f t="shared" si="197"/>
        <v>Tumor necrosis factor</v>
      </c>
      <c r="G1230" s="4" t="str">
        <f t="shared" si="199"/>
        <v>Lenalidomide</v>
      </c>
      <c r="H1230" s="3" t="str">
        <f>HYPERLINK("https://www.cortellis.com/drugdiscovery/entity/biomarkers/29676","277-gene expression lung cancer panel")</f>
        <v>277-gene expression lung cancer panel</v>
      </c>
      <c r="I1230" s="2" t="s">
        <v>25</v>
      </c>
      <c r="J1230" s="2" t="s">
        <v>19</v>
      </c>
      <c r="K1230" s="4" t="str">
        <f>HYPERLINK("https://www.cortellis.com/drugdiscovery/result/proxy/related-content/biomarkers/genestargets/29676","cyclin D1; tumor necrosis factor")</f>
        <v>cyclin D1; tumor necrosis factor</v>
      </c>
    </row>
    <row r="1231" spans="1:11" ht="60" customHeight="1" x14ac:dyDescent="0.2">
      <c r="A1231" s="2">
        <v>1228</v>
      </c>
      <c r="B1231" s="3" t="str">
        <f t="shared" si="194"/>
        <v>TNF-alpha</v>
      </c>
      <c r="C1231" s="3" t="str">
        <f t="shared" si="195"/>
        <v>TNF</v>
      </c>
      <c r="D1231" s="3" t="str">
        <f t="shared" si="196"/>
        <v>TNFA_HUMAN</v>
      </c>
      <c r="E1231" s="2" t="s">
        <v>21</v>
      </c>
      <c r="F1231" s="3" t="str">
        <f t="shared" si="197"/>
        <v>Tumor necrosis factor</v>
      </c>
      <c r="G1231" s="4" t="str">
        <f t="shared" si="199"/>
        <v>Lenalidomide</v>
      </c>
      <c r="H1231" s="3" t="str">
        <f>HYPERLINK("https://www.cortellis.com/drugdiscovery/entity/biomarkers/30768","11-protein cardiovascular panel")</f>
        <v>11-protein cardiovascular panel</v>
      </c>
      <c r="I1231" s="2" t="s">
        <v>23</v>
      </c>
      <c r="J1231" s="2" t="s">
        <v>17</v>
      </c>
      <c r="K1231" s="4" t="str">
        <f>HYPERLINK("https://www.cortellis.com/drugdiscovery/result/proxy/related-content/biomarkers/genestargets/30768","interferon gamma; interleukin 12B; tumor necrosis factor")</f>
        <v>interferon gamma; interleukin 12B; tumor necrosis factor</v>
      </c>
    </row>
    <row r="1232" spans="1:11" ht="60" customHeight="1" x14ac:dyDescent="0.2">
      <c r="A1232" s="2">
        <v>1229</v>
      </c>
      <c r="B1232" s="3" t="str">
        <f t="shared" si="194"/>
        <v>TNF-alpha</v>
      </c>
      <c r="C1232" s="3" t="str">
        <f t="shared" si="195"/>
        <v>TNF</v>
      </c>
      <c r="D1232" s="3" t="str">
        <f t="shared" si="196"/>
        <v>TNFA_HUMAN</v>
      </c>
      <c r="E1232" s="2" t="s">
        <v>21</v>
      </c>
      <c r="F1232" s="3" t="str">
        <f t="shared" si="197"/>
        <v>Tumor necrosis factor</v>
      </c>
      <c r="G1232" s="4" t="str">
        <f t="shared" si="199"/>
        <v>Lenalidomide</v>
      </c>
      <c r="H1232" s="3" t="str">
        <f>HYPERLINK("https://www.cortellis.com/drugdiscovery/entity/biomarkers/34385","30-protein alzheimer's panel")</f>
        <v>30-protein alzheimer's panel</v>
      </c>
      <c r="I1232" s="2" t="s">
        <v>23</v>
      </c>
      <c r="J1232" s="2" t="s">
        <v>17</v>
      </c>
      <c r="K1232" s="4" t="str">
        <f>HYPERLINK("https://www.cortellis.com/drugdiscovery/result/proxy/related-content/biomarkers/genestargets/34385","C-C motif chemokine ligand 2; interleukin 7; tenascin C; tumor necrosis factor")</f>
        <v>C-C motif chemokine ligand 2; interleukin 7; tenascin C; tumor necrosis factor</v>
      </c>
    </row>
    <row r="1233" spans="1:11" ht="60" customHeight="1" x14ac:dyDescent="0.2">
      <c r="A1233" s="2">
        <v>1230</v>
      </c>
      <c r="B1233" s="3" t="str">
        <f t="shared" si="194"/>
        <v>TNF-alpha</v>
      </c>
      <c r="C1233" s="3" t="str">
        <f t="shared" si="195"/>
        <v>TNF</v>
      </c>
      <c r="D1233" s="3" t="str">
        <f t="shared" si="196"/>
        <v>TNFA_HUMAN</v>
      </c>
      <c r="E1233" s="2" t="s">
        <v>21</v>
      </c>
      <c r="F1233" s="3" t="str">
        <f t="shared" si="197"/>
        <v>Tumor necrosis factor</v>
      </c>
      <c r="G1233" s="4" t="str">
        <f t="shared" si="199"/>
        <v>Lenalidomide</v>
      </c>
      <c r="H1233" s="3" t="str">
        <f>HYPERLINK("https://www.cortellis.com/drugdiscovery/entity/biomarkers/34437","3-protein 3-autoantibody lung cancer panel")</f>
        <v>3-protein 3-autoantibody lung cancer panel</v>
      </c>
      <c r="I1233" s="2" t="s">
        <v>23</v>
      </c>
      <c r="J1233" s="2" t="s">
        <v>17</v>
      </c>
      <c r="K1233" s="4" t="str">
        <f>HYPERLINK("https://www.cortellis.com/drugdiscovery/result/proxy/related-content/biomarkers/genestargets/34437","tumor necrosis factor")</f>
        <v>tumor necrosis factor</v>
      </c>
    </row>
    <row r="1234" spans="1:11" ht="60" customHeight="1" x14ac:dyDescent="0.2">
      <c r="A1234" s="2">
        <v>1231</v>
      </c>
      <c r="B1234" s="3" t="str">
        <f t="shared" si="194"/>
        <v>TNF-alpha</v>
      </c>
      <c r="C1234" s="3" t="str">
        <f t="shared" si="195"/>
        <v>TNF</v>
      </c>
      <c r="D1234" s="3" t="str">
        <f t="shared" si="196"/>
        <v>TNFA_HUMAN</v>
      </c>
      <c r="E1234" s="2" t="s">
        <v>21</v>
      </c>
      <c r="F1234" s="3" t="str">
        <f t="shared" si="197"/>
        <v>Tumor necrosis factor</v>
      </c>
      <c r="G1234" s="4" t="str">
        <f t="shared" si="199"/>
        <v>Lenalidomide</v>
      </c>
      <c r="H1234" s="3" t="str">
        <f>HYPERLINK("https://www.cortellis.com/drugdiscovery/entity/biomarkers/35424","60-gene expression ovarian cancer panel")</f>
        <v>60-gene expression ovarian cancer panel</v>
      </c>
      <c r="I1234" s="2" t="s">
        <v>18</v>
      </c>
      <c r="J1234" s="2" t="s">
        <v>19</v>
      </c>
      <c r="K1234" s="4" t="str">
        <f>HYPERLINK("https://www.cortellis.com/drugdiscovery/result/proxy/related-content/biomarkers/genestargets/35424","tumor necrosis factor")</f>
        <v>tumor necrosis factor</v>
      </c>
    </row>
    <row r="1235" spans="1:11" ht="60" customHeight="1" x14ac:dyDescent="0.2">
      <c r="A1235" s="2">
        <v>1232</v>
      </c>
      <c r="B1235" s="3" t="str">
        <f t="shared" si="194"/>
        <v>TNF-alpha</v>
      </c>
      <c r="C1235" s="3" t="str">
        <f t="shared" si="195"/>
        <v>TNF</v>
      </c>
      <c r="D1235" s="3" t="str">
        <f t="shared" si="196"/>
        <v>TNFA_HUMAN</v>
      </c>
      <c r="E1235" s="2" t="s">
        <v>21</v>
      </c>
      <c r="F1235" s="3" t="str">
        <f t="shared" si="197"/>
        <v>Tumor necrosis factor</v>
      </c>
      <c r="G1235" s="4" t="str">
        <f t="shared" si="199"/>
        <v>Lenalidomide</v>
      </c>
      <c r="H1235" s="3" t="str">
        <f>HYPERLINK("https://www.cortellis.com/drugdiscovery/entity/biomarkers/36125","10-protein respiratory panel")</f>
        <v>10-protein respiratory panel</v>
      </c>
      <c r="I1235" s="2" t="s">
        <v>25</v>
      </c>
      <c r="J1235" s="2" t="s">
        <v>17</v>
      </c>
      <c r="K1235" s="4" t="str">
        <f>HYPERLINK("https://www.cortellis.com/drugdiscovery/result/proxy/related-content/biomarkers/genestargets/36125","interferon gamma; tumor necrosis factor")</f>
        <v>interferon gamma; tumor necrosis factor</v>
      </c>
    </row>
    <row r="1236" spans="1:11" ht="60" customHeight="1" x14ac:dyDescent="0.2">
      <c r="A1236" s="2">
        <v>1233</v>
      </c>
      <c r="B1236" s="3" t="str">
        <f t="shared" si="194"/>
        <v>TNF-alpha</v>
      </c>
      <c r="C1236" s="3" t="str">
        <f t="shared" si="195"/>
        <v>TNF</v>
      </c>
      <c r="D1236" s="3" t="str">
        <f t="shared" si="196"/>
        <v>TNFA_HUMAN</v>
      </c>
      <c r="E1236" s="2" t="s">
        <v>21</v>
      </c>
      <c r="F1236" s="3" t="str">
        <f t="shared" si="197"/>
        <v>Tumor necrosis factor</v>
      </c>
      <c r="G1236" s="4" t="str">
        <f t="shared" si="199"/>
        <v>Lenalidomide</v>
      </c>
      <c r="H1236" s="3" t="str">
        <f>HYPERLINK("https://www.cortellis.com/drugdiscovery/entity/biomarkers/36127","3-protein respiratory panel")</f>
        <v>3-protein respiratory panel</v>
      </c>
      <c r="I1236" s="2" t="s">
        <v>25</v>
      </c>
      <c r="J1236" s="2" t="s">
        <v>17</v>
      </c>
      <c r="K1236" s="4" t="str">
        <f>HYPERLINK("https://www.cortellis.com/drugdiscovery/result/proxy/related-content/biomarkers/genestargets/36127","interferon gamma; tumor necrosis factor")</f>
        <v>interferon gamma; tumor necrosis factor</v>
      </c>
    </row>
    <row r="1237" spans="1:11" ht="60" customHeight="1" x14ac:dyDescent="0.2">
      <c r="A1237" s="2">
        <v>1234</v>
      </c>
      <c r="B1237" s="3" t="str">
        <f t="shared" si="194"/>
        <v>TNF-alpha</v>
      </c>
      <c r="C1237" s="3" t="str">
        <f t="shared" si="195"/>
        <v>TNF</v>
      </c>
      <c r="D1237" s="3" t="str">
        <f t="shared" si="196"/>
        <v>TNFA_HUMAN</v>
      </c>
      <c r="E1237" s="2" t="s">
        <v>21</v>
      </c>
      <c r="F1237" s="3" t="str">
        <f t="shared" si="197"/>
        <v>Tumor necrosis factor</v>
      </c>
      <c r="G1237" s="4" t="str">
        <f t="shared" si="199"/>
        <v>Lenalidomide</v>
      </c>
      <c r="H1237" s="3" t="str">
        <f>HYPERLINK("https://www.cortellis.com/drugdiscovery/entity/biomarkers/37520","4-protein bacteremia panel")</f>
        <v>4-protein bacteremia panel</v>
      </c>
      <c r="I1237" s="2" t="s">
        <v>23</v>
      </c>
      <c r="J1237" s="2" t="s">
        <v>17</v>
      </c>
      <c r="K1237" s="4" t="str">
        <f>HYPERLINK("https://www.cortellis.com/drugdiscovery/result/proxy/related-content/biomarkers/genestargets/37520","tumor necrosis factor")</f>
        <v>tumor necrosis factor</v>
      </c>
    </row>
    <row r="1238" spans="1:11" ht="60" customHeight="1" x14ac:dyDescent="0.2">
      <c r="A1238" s="2">
        <v>1235</v>
      </c>
      <c r="B1238" s="3" t="str">
        <f t="shared" si="194"/>
        <v>TNF-alpha</v>
      </c>
      <c r="C1238" s="3" t="str">
        <f t="shared" si="195"/>
        <v>TNF</v>
      </c>
      <c r="D1238" s="3" t="str">
        <f t="shared" si="196"/>
        <v>TNFA_HUMAN</v>
      </c>
      <c r="E1238" s="2" t="s">
        <v>21</v>
      </c>
      <c r="F1238" s="3" t="str">
        <f t="shared" si="197"/>
        <v>Tumor necrosis factor</v>
      </c>
      <c r="G1238" s="4" t="str">
        <f t="shared" si="199"/>
        <v>Lenalidomide</v>
      </c>
      <c r="H1238" s="3" t="str">
        <f>HYPERLINK("https://www.cortellis.com/drugdiscovery/entity/biomarkers/43870","17-genomic 14-protein 3-biochemical irritable bowel syndrome panel")</f>
        <v>17-genomic 14-protein 3-biochemical irritable bowel syndrome panel</v>
      </c>
      <c r="I1238" s="2" t="s">
        <v>52</v>
      </c>
      <c r="J1238" s="2" t="s">
        <v>53</v>
      </c>
      <c r="K1238" s="4" t="str">
        <f>HYPERLINK("https://www.cortellis.com/drugdiscovery/result/proxy/related-content/biomarkers/genestargets/43870","interleukin 12B; tumor necrosis factor")</f>
        <v>interleukin 12B; tumor necrosis factor</v>
      </c>
    </row>
    <row r="1239" spans="1:11" ht="60" customHeight="1" x14ac:dyDescent="0.2">
      <c r="A1239" s="2">
        <v>1236</v>
      </c>
      <c r="B1239" s="3" t="str">
        <f t="shared" si="194"/>
        <v>TNF-alpha</v>
      </c>
      <c r="C1239" s="3" t="str">
        <f t="shared" si="195"/>
        <v>TNF</v>
      </c>
      <c r="D1239" s="3" t="str">
        <f t="shared" si="196"/>
        <v>TNFA_HUMAN</v>
      </c>
      <c r="E1239" s="2" t="s">
        <v>21</v>
      </c>
      <c r="F1239" s="3" t="str">
        <f t="shared" si="197"/>
        <v>Tumor necrosis factor</v>
      </c>
      <c r="G1239" s="4" t="str">
        <f t="shared" si="199"/>
        <v>Lenalidomide</v>
      </c>
      <c r="H1239" s="3" t="str">
        <f>HYPERLINK("https://www.cortellis.com/drugdiscovery/entity/biomarkers/46842","7-protein non small cell lung cancer panel")</f>
        <v>7-protein non small cell lung cancer panel</v>
      </c>
      <c r="I1239" s="2" t="s">
        <v>23</v>
      </c>
      <c r="J1239" s="2" t="s">
        <v>17</v>
      </c>
      <c r="K1239" s="4" t="str">
        <f>HYPERLINK("https://www.cortellis.com/drugdiscovery/result/proxy/related-content/biomarkers/genestargets/46842","tumor necrosis factor")</f>
        <v>tumor necrosis factor</v>
      </c>
    </row>
    <row r="1240" spans="1:11" ht="60" customHeight="1" x14ac:dyDescent="0.2">
      <c r="A1240" s="2">
        <v>1237</v>
      </c>
      <c r="B1240" s="3" t="str">
        <f t="shared" si="194"/>
        <v>TNF-alpha</v>
      </c>
      <c r="C1240" s="3" t="str">
        <f t="shared" si="195"/>
        <v>TNF</v>
      </c>
      <c r="D1240" s="3" t="str">
        <f t="shared" si="196"/>
        <v>TNFA_HUMAN</v>
      </c>
      <c r="E1240" s="2" t="s">
        <v>21</v>
      </c>
      <c r="F1240" s="3" t="str">
        <f t="shared" si="197"/>
        <v>Tumor necrosis factor</v>
      </c>
      <c r="G1240" s="4" t="str">
        <f t="shared" si="199"/>
        <v>Lenalidomide</v>
      </c>
      <c r="H1240" s="3" t="str">
        <f>HYPERLINK("https://www.cortellis.com/drugdiscovery/entity/biomarkers/50816","10-gene lyme disease panel")</f>
        <v>10-gene lyme disease panel</v>
      </c>
      <c r="I1240" s="2" t="s">
        <v>23</v>
      </c>
      <c r="J1240" s="2" t="s">
        <v>15</v>
      </c>
      <c r="K1240" s="4" t="str">
        <f>HYPERLINK("https://www.cortellis.com/drugdiscovery/result/proxy/related-content/biomarkers/genestargets/50816","C-C motif chemokine ligand 2; interferon gamma; tumor necrosis factor")</f>
        <v>C-C motif chemokine ligand 2; interferon gamma; tumor necrosis factor</v>
      </c>
    </row>
    <row r="1241" spans="1:11" ht="60" customHeight="1" x14ac:dyDescent="0.2">
      <c r="A1241" s="2">
        <v>1238</v>
      </c>
      <c r="B1241" s="3" t="str">
        <f t="shared" si="194"/>
        <v>TNF-alpha</v>
      </c>
      <c r="C1241" s="3" t="str">
        <f t="shared" si="195"/>
        <v>TNF</v>
      </c>
      <c r="D1241" s="3" t="str">
        <f t="shared" si="196"/>
        <v>TNFA_HUMAN</v>
      </c>
      <c r="E1241" s="2" t="s">
        <v>21</v>
      </c>
      <c r="F1241" s="3" t="str">
        <f t="shared" si="197"/>
        <v>Tumor necrosis factor</v>
      </c>
      <c r="G1241" s="4" t="str">
        <f t="shared" si="199"/>
        <v>Lenalidomide</v>
      </c>
      <c r="H1241" s="3" t="str">
        <f>HYPERLINK("https://www.cortellis.com/drugdiscovery/entity/biomarkers/50817","11-gene lyme disease panel")</f>
        <v>11-gene lyme disease panel</v>
      </c>
      <c r="I1241" s="2" t="s">
        <v>23</v>
      </c>
      <c r="J1241" s="2" t="s">
        <v>15</v>
      </c>
      <c r="K1241" s="4" t="str">
        <f>HYPERLINK("https://www.cortellis.com/drugdiscovery/result/proxy/related-content/biomarkers/genestargets/50817","C-C motif chemokine ligand 2; interferon gamma; tumor necrosis factor")</f>
        <v>C-C motif chemokine ligand 2; interferon gamma; tumor necrosis factor</v>
      </c>
    </row>
    <row r="1242" spans="1:11" ht="60" customHeight="1" x14ac:dyDescent="0.2">
      <c r="A1242" s="2">
        <v>1239</v>
      </c>
      <c r="B1242" s="3" t="str">
        <f t="shared" si="194"/>
        <v>TNF-alpha</v>
      </c>
      <c r="C1242" s="3" t="str">
        <f t="shared" si="195"/>
        <v>TNF</v>
      </c>
      <c r="D1242" s="3" t="str">
        <f t="shared" si="196"/>
        <v>TNFA_HUMAN</v>
      </c>
      <c r="E1242" s="2" t="s">
        <v>21</v>
      </c>
      <c r="F1242" s="3" t="str">
        <f t="shared" si="197"/>
        <v>Tumor necrosis factor</v>
      </c>
      <c r="G1242" s="4" t="str">
        <f t="shared" si="199"/>
        <v>Lenalidomide</v>
      </c>
      <c r="H1242" s="3" t="str">
        <f>HYPERLINK("https://www.cortellis.com/drugdiscovery/entity/biomarkers/50818","12 protein Lyme disease panel")</f>
        <v>12 protein Lyme disease panel</v>
      </c>
      <c r="I1242" s="2" t="s">
        <v>23</v>
      </c>
      <c r="J1242" s="2" t="s">
        <v>17</v>
      </c>
      <c r="K1242" s="4" t="str">
        <f>HYPERLINK("https://www.cortellis.com/drugdiscovery/result/proxy/related-content/biomarkers/genestargets/50818","C-C motif chemokine ligand 2; interferon gamma; tumor necrosis factor")</f>
        <v>C-C motif chemokine ligand 2; interferon gamma; tumor necrosis factor</v>
      </c>
    </row>
    <row r="1243" spans="1:11" ht="60" customHeight="1" x14ac:dyDescent="0.2">
      <c r="A1243" s="2">
        <v>1240</v>
      </c>
      <c r="B1243" s="3" t="str">
        <f t="shared" si="194"/>
        <v>TNF-alpha</v>
      </c>
      <c r="C1243" s="3" t="str">
        <f t="shared" si="195"/>
        <v>TNF</v>
      </c>
      <c r="D1243" s="3" t="str">
        <f t="shared" si="196"/>
        <v>TNFA_HUMAN</v>
      </c>
      <c r="E1243" s="2" t="s">
        <v>21</v>
      </c>
      <c r="F1243" s="3" t="str">
        <f t="shared" si="197"/>
        <v>Tumor necrosis factor</v>
      </c>
      <c r="G1243" s="4" t="str">
        <f t="shared" si="199"/>
        <v>Lenalidomide</v>
      </c>
      <c r="H1243" s="3" t="str">
        <f>HYPERLINK("https://www.cortellis.com/drugdiscovery/entity/biomarkers/51292","37-gene expression major depression panel")</f>
        <v>37-gene expression major depression panel</v>
      </c>
      <c r="I1243" s="2" t="s">
        <v>23</v>
      </c>
      <c r="J1243" s="2" t="s">
        <v>19</v>
      </c>
      <c r="K1243" s="4" t="str">
        <f>HYPERLINK("https://www.cortellis.com/drugdiscovery/result/proxy/related-content/biomarkers/genestargets/51292","C-C motif chemokine ligand 2; tumor necrosis factor")</f>
        <v>C-C motif chemokine ligand 2; tumor necrosis factor</v>
      </c>
    </row>
    <row r="1244" spans="1:11" ht="60" customHeight="1" x14ac:dyDescent="0.2">
      <c r="A1244" s="2">
        <v>1241</v>
      </c>
      <c r="B1244" s="3" t="str">
        <f t="shared" si="194"/>
        <v>TNF-alpha</v>
      </c>
      <c r="C1244" s="3" t="str">
        <f t="shared" si="195"/>
        <v>TNF</v>
      </c>
      <c r="D1244" s="3" t="str">
        <f t="shared" si="196"/>
        <v>TNFA_HUMAN</v>
      </c>
      <c r="E1244" s="2" t="s">
        <v>21</v>
      </c>
      <c r="F1244" s="3" t="str">
        <f t="shared" si="197"/>
        <v>Tumor necrosis factor</v>
      </c>
      <c r="G1244" s="4" t="str">
        <f t="shared" si="199"/>
        <v>Lenalidomide</v>
      </c>
      <c r="H1244" s="3" t="str">
        <f>HYPERLINK("https://www.cortellis.com/drugdiscovery/entity/biomarkers/57224","21-protein mild cognitive impairment panel")</f>
        <v>21-protein mild cognitive impairment panel</v>
      </c>
      <c r="I1244" s="2" t="s">
        <v>23</v>
      </c>
      <c r="J1244" s="2" t="s">
        <v>19</v>
      </c>
      <c r="K1244" s="4" t="str">
        <f>HYPERLINK("https://www.cortellis.com/drugdiscovery/result/proxy/related-content/biomarkers/genestargets/57224","interleukin 7; tenascin C; tumor necrosis factor")</f>
        <v>interleukin 7; tenascin C; tumor necrosis factor</v>
      </c>
    </row>
    <row r="1245" spans="1:11" ht="60" customHeight="1" x14ac:dyDescent="0.2">
      <c r="A1245" s="2">
        <v>1242</v>
      </c>
      <c r="B1245" s="3" t="str">
        <f t="shared" si="194"/>
        <v>TNF-alpha</v>
      </c>
      <c r="C1245" s="3" t="str">
        <f t="shared" si="195"/>
        <v>TNF</v>
      </c>
      <c r="D1245" s="3" t="str">
        <f t="shared" si="196"/>
        <v>TNFA_HUMAN</v>
      </c>
      <c r="E1245" s="2" t="s">
        <v>21</v>
      </c>
      <c r="F1245" s="3" t="str">
        <f t="shared" si="197"/>
        <v>Tumor necrosis factor</v>
      </c>
      <c r="G1245" s="4" t="str">
        <f t="shared" si="199"/>
        <v>Lenalidomide</v>
      </c>
      <c r="H1245" s="3" t="str">
        <f>HYPERLINK("https://www.cortellis.com/drugdiscovery/entity/biomarkers/57250","9-protein non-muscle invasive bladder cancer panel")</f>
        <v>9-protein non-muscle invasive bladder cancer panel</v>
      </c>
      <c r="I1245" s="2" t="s">
        <v>18</v>
      </c>
      <c r="J1245" s="2" t="s">
        <v>17</v>
      </c>
      <c r="K1245" s="4" t="str">
        <f>HYPERLINK("https://www.cortellis.com/drugdiscovery/result/proxy/related-content/biomarkers/genestargets/57250","interferon gamma; interleukin 12B; tumor necrosis factor")</f>
        <v>interferon gamma; interleukin 12B; tumor necrosis factor</v>
      </c>
    </row>
    <row r="1246" spans="1:11" ht="60" customHeight="1" x14ac:dyDescent="0.2">
      <c r="A1246" s="2">
        <v>1243</v>
      </c>
      <c r="B1246" s="3" t="str">
        <f t="shared" si="194"/>
        <v>TNF-alpha</v>
      </c>
      <c r="C1246" s="3" t="str">
        <f t="shared" si="195"/>
        <v>TNF</v>
      </c>
      <c r="D1246" s="3" t="str">
        <f t="shared" si="196"/>
        <v>TNFA_HUMAN</v>
      </c>
      <c r="E1246" s="2" t="s">
        <v>21</v>
      </c>
      <c r="F1246" s="3" t="str">
        <f t="shared" si="197"/>
        <v>Tumor necrosis factor</v>
      </c>
      <c r="G1246" s="4" t="str">
        <f t="shared" si="199"/>
        <v>Lenalidomide</v>
      </c>
      <c r="H1246" s="3" t="str">
        <f>HYPERLINK("https://www.cortellis.com/drugdiscovery/entity/biomarkers/62155","19-protein rhegmatogenous retinal detachment panel")</f>
        <v>19-protein rhegmatogenous retinal detachment panel</v>
      </c>
      <c r="I1246" s="2" t="s">
        <v>24</v>
      </c>
      <c r="J1246" s="2" t="s">
        <v>17</v>
      </c>
      <c r="K1246" s="4" t="str">
        <f>HYPERLINK("https://www.cortellis.com/drugdiscovery/result/proxy/related-content/biomarkers/genestargets/62155","C-C motif chemokine ligand 2; interleukin 12B; tumor necrosis factor")</f>
        <v>C-C motif chemokine ligand 2; interleukin 12B; tumor necrosis factor</v>
      </c>
    </row>
    <row r="1247" spans="1:11" ht="60" customHeight="1" x14ac:dyDescent="0.2">
      <c r="A1247" s="2">
        <v>1244</v>
      </c>
      <c r="B1247" s="3" t="str">
        <f t="shared" ref="B1247:B1310" si="200">HYPERLINK("https://portal.genego.com/cgi/entity_page.cgi?term=100&amp;id=4487","TNF-alpha")</f>
        <v>TNF-alpha</v>
      </c>
      <c r="C1247" s="3" t="str">
        <f t="shared" ref="C1247:C1310" si="201">HYPERLINK("https://portal.genego.com/cgi/entity_page.cgi?term=20&amp;id=-1163959157","TNF")</f>
        <v>TNF</v>
      </c>
      <c r="D1247" s="3" t="str">
        <f t="shared" ref="D1247:D1310" si="202">HYPERLINK("https://portal.genego.com/cgi/entity_page.cgi?term=7&amp;id=2020057249","TNFA_HUMAN")</f>
        <v>TNFA_HUMAN</v>
      </c>
      <c r="E1247" s="2" t="s">
        <v>21</v>
      </c>
      <c r="F1247" s="3" t="str">
        <f t="shared" ref="F1247:F1310" si="203">HYPERLINK("https://portal.genego.com/cgi/entity_page.cgi?term=100&amp;id=4487","Tumor necrosis factor")</f>
        <v>Tumor necrosis factor</v>
      </c>
      <c r="G1247" s="4" t="str">
        <f t="shared" si="199"/>
        <v>Lenalidomide</v>
      </c>
      <c r="H1247" s="3" t="str">
        <f>HYPERLINK("https://www.cortellis.com/drugdiscovery/entity/biomarkers/62663","9-protein immunological disorders panel")</f>
        <v>9-protein immunological disorders panel</v>
      </c>
      <c r="I1247" s="2" t="s">
        <v>24</v>
      </c>
      <c r="J1247" s="2" t="s">
        <v>17</v>
      </c>
      <c r="K1247" s="4" t="str">
        <f>HYPERLINK("https://www.cortellis.com/drugdiscovery/result/proxy/related-content/biomarkers/genestargets/62663","C-C motif chemokine ligand 2; interferon gamma; tumor necrosis factor")</f>
        <v>C-C motif chemokine ligand 2; interferon gamma; tumor necrosis factor</v>
      </c>
    </row>
    <row r="1248" spans="1:11" ht="60" customHeight="1" x14ac:dyDescent="0.2">
      <c r="A1248" s="2">
        <v>1245</v>
      </c>
      <c r="B1248" s="3" t="str">
        <f t="shared" si="200"/>
        <v>TNF-alpha</v>
      </c>
      <c r="C1248" s="3" t="str">
        <f t="shared" si="201"/>
        <v>TNF</v>
      </c>
      <c r="D1248" s="3" t="str">
        <f t="shared" si="202"/>
        <v>TNFA_HUMAN</v>
      </c>
      <c r="E1248" s="2" t="s">
        <v>21</v>
      </c>
      <c r="F1248" s="3" t="str">
        <f t="shared" si="203"/>
        <v>Tumor necrosis factor</v>
      </c>
      <c r="G1248" s="4" t="str">
        <f t="shared" si="199"/>
        <v>Lenalidomide</v>
      </c>
      <c r="H1248" s="3" t="str">
        <f>HYPERLINK("https://www.cortellis.com/drugdiscovery/entity/biomarkers/62730","7-protein Alzheimer's disease panel")</f>
        <v>7-protein Alzheimer's disease panel</v>
      </c>
      <c r="I1248" s="2" t="s">
        <v>23</v>
      </c>
      <c r="J1248" s="2" t="s">
        <v>17</v>
      </c>
      <c r="K1248" s="4" t="str">
        <f>HYPERLINK("https://www.cortellis.com/drugdiscovery/result/proxy/related-content/biomarkers/genestargets/62730","tumor necrosis factor")</f>
        <v>tumor necrosis factor</v>
      </c>
    </row>
    <row r="1249" spans="1:11" ht="60" customHeight="1" x14ac:dyDescent="0.2">
      <c r="A1249" s="2">
        <v>1246</v>
      </c>
      <c r="B1249" s="3" t="str">
        <f t="shared" si="200"/>
        <v>TNF-alpha</v>
      </c>
      <c r="C1249" s="3" t="str">
        <f t="shared" si="201"/>
        <v>TNF</v>
      </c>
      <c r="D1249" s="3" t="str">
        <f t="shared" si="202"/>
        <v>TNFA_HUMAN</v>
      </c>
      <c r="E1249" s="2" t="s">
        <v>21</v>
      </c>
      <c r="F1249" s="3" t="str">
        <f t="shared" si="203"/>
        <v>Tumor necrosis factor</v>
      </c>
      <c r="G1249" s="4" t="str">
        <f t="shared" si="199"/>
        <v>Lenalidomide</v>
      </c>
      <c r="H1249" s="3" t="str">
        <f>HYPERLINK("https://www.cortellis.com/drugdiscovery/entity/biomarkers/62746","5-protein renal disorder panel")</f>
        <v>5-protein renal disorder panel</v>
      </c>
      <c r="I1249" s="2" t="s">
        <v>25</v>
      </c>
      <c r="J1249" s="2" t="s">
        <v>17</v>
      </c>
      <c r="K1249" s="4" t="str">
        <f>HYPERLINK("https://www.cortellis.com/drugdiscovery/result/proxy/related-content/biomarkers/genestargets/62746","tumor necrosis factor")</f>
        <v>tumor necrosis factor</v>
      </c>
    </row>
    <row r="1250" spans="1:11" ht="60" customHeight="1" x14ac:dyDescent="0.2">
      <c r="A1250" s="2">
        <v>1247</v>
      </c>
      <c r="B1250" s="3" t="str">
        <f t="shared" si="200"/>
        <v>TNF-alpha</v>
      </c>
      <c r="C1250" s="3" t="str">
        <f t="shared" si="201"/>
        <v>TNF</v>
      </c>
      <c r="D1250" s="3" t="str">
        <f t="shared" si="202"/>
        <v>TNFA_HUMAN</v>
      </c>
      <c r="E1250" s="2" t="s">
        <v>21</v>
      </c>
      <c r="F1250" s="3" t="str">
        <f t="shared" si="203"/>
        <v>Tumor necrosis factor</v>
      </c>
      <c r="G1250" s="4" t="str">
        <f t="shared" si="199"/>
        <v>Lenalidomide</v>
      </c>
      <c r="H1250" s="3" t="str">
        <f>HYPERLINK("https://www.cortellis.com/drugdiscovery/entity/biomarkers/65259","22-gene expression hepatocellular carcinoma panel")</f>
        <v>22-gene expression hepatocellular carcinoma panel</v>
      </c>
      <c r="I1250" s="2" t="s">
        <v>25</v>
      </c>
      <c r="J1250" s="2" t="s">
        <v>19</v>
      </c>
      <c r="K1250" s="4" t="str">
        <f>HYPERLINK("https://www.cortellis.com/drugdiscovery/result/proxy/related-content/biomarkers/genestargets/65259","tumor necrosis factor")</f>
        <v>tumor necrosis factor</v>
      </c>
    </row>
    <row r="1251" spans="1:11" ht="60" customHeight="1" x14ac:dyDescent="0.2">
      <c r="A1251" s="2">
        <v>1248</v>
      </c>
      <c r="B1251" s="3" t="str">
        <f t="shared" si="200"/>
        <v>TNF-alpha</v>
      </c>
      <c r="C1251" s="3" t="str">
        <f t="shared" si="201"/>
        <v>TNF</v>
      </c>
      <c r="D1251" s="3" t="str">
        <f t="shared" si="202"/>
        <v>TNFA_HUMAN</v>
      </c>
      <c r="E1251" s="2" t="s">
        <v>21</v>
      </c>
      <c r="F1251" s="3" t="str">
        <f t="shared" si="203"/>
        <v>Tumor necrosis factor</v>
      </c>
      <c r="G1251" s="4" t="str">
        <f t="shared" ref="G1251:G1277" si="204">HYPERLINK("https://portal.genego.com/cgi/entity_page.cgi?term=7&amp;id=1889395458","Pegsunercept")</f>
        <v>Pegsunercept</v>
      </c>
      <c r="H1251" s="3" t="str">
        <f>HYPERLINK("https://www.cortellis.com/drugdiscovery/entity/biomarkers/274","Tumor necrosis factor")</f>
        <v>Tumor necrosis factor</v>
      </c>
      <c r="I1251" s="2" t="s">
        <v>22</v>
      </c>
      <c r="J1251" s="2" t="s">
        <v>15</v>
      </c>
      <c r="K1251" s="4" t="str">
        <f>HYPERLINK("https://www.cortellis.com/drugdiscovery/result/proxy/related-content/biomarkers/genestargets/274","tumor necrosis factor")</f>
        <v>tumor necrosis factor</v>
      </c>
    </row>
    <row r="1252" spans="1:11" ht="60" customHeight="1" x14ac:dyDescent="0.2">
      <c r="A1252" s="2">
        <v>1249</v>
      </c>
      <c r="B1252" s="3" t="str">
        <f t="shared" si="200"/>
        <v>TNF-alpha</v>
      </c>
      <c r="C1252" s="3" t="str">
        <f t="shared" si="201"/>
        <v>TNF</v>
      </c>
      <c r="D1252" s="3" t="str">
        <f t="shared" si="202"/>
        <v>TNFA_HUMAN</v>
      </c>
      <c r="E1252" s="2" t="s">
        <v>21</v>
      </c>
      <c r="F1252" s="3" t="str">
        <f t="shared" si="203"/>
        <v>Tumor necrosis factor</v>
      </c>
      <c r="G1252" s="4" t="str">
        <f t="shared" si="204"/>
        <v>Pegsunercept</v>
      </c>
      <c r="H1252" s="3" t="str">
        <f>HYPERLINK("https://www.cortellis.com/drugdiscovery/entity/biomarkers/27598","89-protein neurological alzheimer's panel")</f>
        <v>89-protein neurological alzheimer's panel</v>
      </c>
      <c r="I1252" s="2" t="s">
        <v>23</v>
      </c>
      <c r="J1252" s="2" t="s">
        <v>17</v>
      </c>
      <c r="K1252"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253" spans="1:11" ht="60" customHeight="1" x14ac:dyDescent="0.2">
      <c r="A1253" s="2">
        <v>1250</v>
      </c>
      <c r="B1253" s="3" t="str">
        <f t="shared" si="200"/>
        <v>TNF-alpha</v>
      </c>
      <c r="C1253" s="3" t="str">
        <f t="shared" si="201"/>
        <v>TNF</v>
      </c>
      <c r="D1253" s="3" t="str">
        <f t="shared" si="202"/>
        <v>TNFA_HUMAN</v>
      </c>
      <c r="E1253" s="2" t="s">
        <v>21</v>
      </c>
      <c r="F1253" s="3" t="str">
        <f t="shared" si="203"/>
        <v>Tumor necrosis factor</v>
      </c>
      <c r="G1253" s="4" t="str">
        <f t="shared" si="204"/>
        <v>Pegsunercept</v>
      </c>
      <c r="H1253" s="3" t="str">
        <f>HYPERLINK("https://www.cortellis.com/drugdiscovery/entity/biomarkers/27640","5-protein alzheimer's panel")</f>
        <v>5-protein alzheimer's panel</v>
      </c>
      <c r="I1253" s="2" t="s">
        <v>23</v>
      </c>
      <c r="J1253" s="2" t="s">
        <v>17</v>
      </c>
      <c r="K1253" s="4" t="str">
        <f>HYPERLINK("https://www.cortellis.com/drugdiscovery/result/proxy/related-content/biomarkers/genestargets/27640","tumor necrosis factor")</f>
        <v>tumor necrosis factor</v>
      </c>
    </row>
    <row r="1254" spans="1:11" ht="60" customHeight="1" x14ac:dyDescent="0.2">
      <c r="A1254" s="2">
        <v>1251</v>
      </c>
      <c r="B1254" s="3" t="str">
        <f t="shared" si="200"/>
        <v>TNF-alpha</v>
      </c>
      <c r="C1254" s="3" t="str">
        <f t="shared" si="201"/>
        <v>TNF</v>
      </c>
      <c r="D1254" s="3" t="str">
        <f t="shared" si="202"/>
        <v>TNFA_HUMAN</v>
      </c>
      <c r="E1254" s="2" t="s">
        <v>21</v>
      </c>
      <c r="F1254" s="3" t="str">
        <f t="shared" si="203"/>
        <v>Tumor necrosis factor</v>
      </c>
      <c r="G1254" s="4" t="str">
        <f t="shared" si="204"/>
        <v>Pegsunercept</v>
      </c>
      <c r="H1254" s="3" t="str">
        <f>HYPERLINK("https://www.cortellis.com/drugdiscovery/entity/biomarkers/27734","6-protein lung cancer panel")</f>
        <v>6-protein lung cancer panel</v>
      </c>
      <c r="I1254" s="2" t="s">
        <v>23</v>
      </c>
      <c r="J1254" s="2" t="s">
        <v>17</v>
      </c>
      <c r="K1254" s="4" t="str">
        <f>HYPERLINK("https://www.cortellis.com/drugdiscovery/result/proxy/related-content/biomarkers/genestargets/27734","interferon gamma; tumor necrosis factor")</f>
        <v>interferon gamma; tumor necrosis factor</v>
      </c>
    </row>
    <row r="1255" spans="1:11" ht="60" customHeight="1" x14ac:dyDescent="0.2">
      <c r="A1255" s="2">
        <v>1252</v>
      </c>
      <c r="B1255" s="3" t="str">
        <f t="shared" si="200"/>
        <v>TNF-alpha</v>
      </c>
      <c r="C1255" s="3" t="str">
        <f t="shared" si="201"/>
        <v>TNF</v>
      </c>
      <c r="D1255" s="3" t="str">
        <f t="shared" si="202"/>
        <v>TNFA_HUMAN</v>
      </c>
      <c r="E1255" s="2" t="s">
        <v>21</v>
      </c>
      <c r="F1255" s="3" t="str">
        <f t="shared" si="203"/>
        <v>Tumor necrosis factor</v>
      </c>
      <c r="G1255" s="4" t="str">
        <f t="shared" si="204"/>
        <v>Pegsunercept</v>
      </c>
      <c r="H1255" s="3" t="str">
        <f>HYPERLINK("https://www.cortellis.com/drugdiscovery/entity/biomarkers/28148","11-gene expression lung cancer panel")</f>
        <v>11-gene expression lung cancer panel</v>
      </c>
      <c r="I1255" s="2" t="s">
        <v>25</v>
      </c>
      <c r="J1255" s="2" t="s">
        <v>19</v>
      </c>
      <c r="K1255" s="4" t="str">
        <f>HYPERLINK("https://www.cortellis.com/drugdiscovery/result/proxy/related-content/biomarkers/genestargets/28148","interferon gamma; interleukin 15; tumor necrosis factor")</f>
        <v>interferon gamma; interleukin 15; tumor necrosis factor</v>
      </c>
    </row>
    <row r="1256" spans="1:11" ht="60" customHeight="1" x14ac:dyDescent="0.2">
      <c r="A1256" s="2">
        <v>1253</v>
      </c>
      <c r="B1256" s="3" t="str">
        <f t="shared" si="200"/>
        <v>TNF-alpha</v>
      </c>
      <c r="C1256" s="3" t="str">
        <f t="shared" si="201"/>
        <v>TNF</v>
      </c>
      <c r="D1256" s="3" t="str">
        <f t="shared" si="202"/>
        <v>TNFA_HUMAN</v>
      </c>
      <c r="E1256" s="2" t="s">
        <v>21</v>
      </c>
      <c r="F1256" s="3" t="str">
        <f t="shared" si="203"/>
        <v>Tumor necrosis factor</v>
      </c>
      <c r="G1256" s="4" t="str">
        <f t="shared" si="204"/>
        <v>Pegsunercept</v>
      </c>
      <c r="H1256" s="3" t="str">
        <f>HYPERLINK("https://www.cortellis.com/drugdiscovery/entity/biomarkers/28647","15-gene expression lung cancer panel")</f>
        <v>15-gene expression lung cancer panel</v>
      </c>
      <c r="I1256" s="2" t="s">
        <v>20</v>
      </c>
      <c r="J1256" s="2" t="s">
        <v>19</v>
      </c>
      <c r="K1256" s="4" t="str">
        <f>HYPERLINK("https://www.cortellis.com/drugdiscovery/result/proxy/related-content/biomarkers/genestargets/28647","interferon gamma; interleukin 15; tumor necrosis factor")</f>
        <v>interferon gamma; interleukin 15; tumor necrosis factor</v>
      </c>
    </row>
    <row r="1257" spans="1:11" ht="60" customHeight="1" x14ac:dyDescent="0.2">
      <c r="A1257" s="2">
        <v>1254</v>
      </c>
      <c r="B1257" s="3" t="str">
        <f t="shared" si="200"/>
        <v>TNF-alpha</v>
      </c>
      <c r="C1257" s="3" t="str">
        <f t="shared" si="201"/>
        <v>TNF</v>
      </c>
      <c r="D1257" s="3" t="str">
        <f t="shared" si="202"/>
        <v>TNFA_HUMAN</v>
      </c>
      <c r="E1257" s="2" t="s">
        <v>21</v>
      </c>
      <c r="F1257" s="3" t="str">
        <f t="shared" si="203"/>
        <v>Tumor necrosis factor</v>
      </c>
      <c r="G1257" s="4" t="str">
        <f t="shared" si="204"/>
        <v>Pegsunercept</v>
      </c>
      <c r="H1257" s="3" t="str">
        <f>HYPERLINK("https://www.cortellis.com/drugdiscovery/entity/biomarkers/29676","277-gene expression lung cancer panel")</f>
        <v>277-gene expression lung cancer panel</v>
      </c>
      <c r="I1257" s="2" t="s">
        <v>25</v>
      </c>
      <c r="J1257" s="2" t="s">
        <v>19</v>
      </c>
      <c r="K1257" s="4" t="str">
        <f>HYPERLINK("https://www.cortellis.com/drugdiscovery/result/proxy/related-content/biomarkers/genestargets/29676","cyclin D1; tumor necrosis factor")</f>
        <v>cyclin D1; tumor necrosis factor</v>
      </c>
    </row>
    <row r="1258" spans="1:11" ht="60" customHeight="1" x14ac:dyDescent="0.2">
      <c r="A1258" s="2">
        <v>1255</v>
      </c>
      <c r="B1258" s="3" t="str">
        <f t="shared" si="200"/>
        <v>TNF-alpha</v>
      </c>
      <c r="C1258" s="3" t="str">
        <f t="shared" si="201"/>
        <v>TNF</v>
      </c>
      <c r="D1258" s="3" t="str">
        <f t="shared" si="202"/>
        <v>TNFA_HUMAN</v>
      </c>
      <c r="E1258" s="2" t="s">
        <v>21</v>
      </c>
      <c r="F1258" s="3" t="str">
        <f t="shared" si="203"/>
        <v>Tumor necrosis factor</v>
      </c>
      <c r="G1258" s="4" t="str">
        <f t="shared" si="204"/>
        <v>Pegsunercept</v>
      </c>
      <c r="H1258" s="3" t="str">
        <f>HYPERLINK("https://www.cortellis.com/drugdiscovery/entity/biomarkers/30768","11-protein cardiovascular panel")</f>
        <v>11-protein cardiovascular panel</v>
      </c>
      <c r="I1258" s="2" t="s">
        <v>23</v>
      </c>
      <c r="J1258" s="2" t="s">
        <v>17</v>
      </c>
      <c r="K1258" s="4" t="str">
        <f>HYPERLINK("https://www.cortellis.com/drugdiscovery/result/proxy/related-content/biomarkers/genestargets/30768","interferon gamma; interleukin 12B; tumor necrosis factor")</f>
        <v>interferon gamma; interleukin 12B; tumor necrosis factor</v>
      </c>
    </row>
    <row r="1259" spans="1:11" ht="60" customHeight="1" x14ac:dyDescent="0.2">
      <c r="A1259" s="2">
        <v>1256</v>
      </c>
      <c r="B1259" s="3" t="str">
        <f t="shared" si="200"/>
        <v>TNF-alpha</v>
      </c>
      <c r="C1259" s="3" t="str">
        <f t="shared" si="201"/>
        <v>TNF</v>
      </c>
      <c r="D1259" s="3" t="str">
        <f t="shared" si="202"/>
        <v>TNFA_HUMAN</v>
      </c>
      <c r="E1259" s="2" t="s">
        <v>21</v>
      </c>
      <c r="F1259" s="3" t="str">
        <f t="shared" si="203"/>
        <v>Tumor necrosis factor</v>
      </c>
      <c r="G1259" s="4" t="str">
        <f t="shared" si="204"/>
        <v>Pegsunercept</v>
      </c>
      <c r="H1259" s="3" t="str">
        <f>HYPERLINK("https://www.cortellis.com/drugdiscovery/entity/biomarkers/34385","30-protein alzheimer's panel")</f>
        <v>30-protein alzheimer's panel</v>
      </c>
      <c r="I1259" s="2" t="s">
        <v>23</v>
      </c>
      <c r="J1259" s="2" t="s">
        <v>17</v>
      </c>
      <c r="K1259" s="4" t="str">
        <f>HYPERLINK("https://www.cortellis.com/drugdiscovery/result/proxy/related-content/biomarkers/genestargets/34385","C-C motif chemokine ligand 2; interleukin 7; tenascin C; tumor necrosis factor")</f>
        <v>C-C motif chemokine ligand 2; interleukin 7; tenascin C; tumor necrosis factor</v>
      </c>
    </row>
    <row r="1260" spans="1:11" ht="60" customHeight="1" x14ac:dyDescent="0.2">
      <c r="A1260" s="2">
        <v>1257</v>
      </c>
      <c r="B1260" s="3" t="str">
        <f t="shared" si="200"/>
        <v>TNF-alpha</v>
      </c>
      <c r="C1260" s="3" t="str">
        <f t="shared" si="201"/>
        <v>TNF</v>
      </c>
      <c r="D1260" s="3" t="str">
        <f t="shared" si="202"/>
        <v>TNFA_HUMAN</v>
      </c>
      <c r="E1260" s="2" t="s">
        <v>21</v>
      </c>
      <c r="F1260" s="3" t="str">
        <f t="shared" si="203"/>
        <v>Tumor necrosis factor</v>
      </c>
      <c r="G1260" s="4" t="str">
        <f t="shared" si="204"/>
        <v>Pegsunercept</v>
      </c>
      <c r="H1260" s="3" t="str">
        <f>HYPERLINK("https://www.cortellis.com/drugdiscovery/entity/biomarkers/34437","3-protein 3-autoantibody lung cancer panel")</f>
        <v>3-protein 3-autoantibody lung cancer panel</v>
      </c>
      <c r="I1260" s="2" t="s">
        <v>23</v>
      </c>
      <c r="J1260" s="2" t="s">
        <v>17</v>
      </c>
      <c r="K1260" s="4" t="str">
        <f>HYPERLINK("https://www.cortellis.com/drugdiscovery/result/proxy/related-content/biomarkers/genestargets/34437","tumor necrosis factor")</f>
        <v>tumor necrosis factor</v>
      </c>
    </row>
    <row r="1261" spans="1:11" ht="60" customHeight="1" x14ac:dyDescent="0.2">
      <c r="A1261" s="2">
        <v>1258</v>
      </c>
      <c r="B1261" s="3" t="str">
        <f t="shared" si="200"/>
        <v>TNF-alpha</v>
      </c>
      <c r="C1261" s="3" t="str">
        <f t="shared" si="201"/>
        <v>TNF</v>
      </c>
      <c r="D1261" s="3" t="str">
        <f t="shared" si="202"/>
        <v>TNFA_HUMAN</v>
      </c>
      <c r="E1261" s="2" t="s">
        <v>21</v>
      </c>
      <c r="F1261" s="3" t="str">
        <f t="shared" si="203"/>
        <v>Tumor necrosis factor</v>
      </c>
      <c r="G1261" s="4" t="str">
        <f t="shared" si="204"/>
        <v>Pegsunercept</v>
      </c>
      <c r="H1261" s="3" t="str">
        <f>HYPERLINK("https://www.cortellis.com/drugdiscovery/entity/biomarkers/35424","60-gene expression ovarian cancer panel")</f>
        <v>60-gene expression ovarian cancer panel</v>
      </c>
      <c r="I1261" s="2" t="s">
        <v>18</v>
      </c>
      <c r="J1261" s="2" t="s">
        <v>19</v>
      </c>
      <c r="K1261" s="4" t="str">
        <f>HYPERLINK("https://www.cortellis.com/drugdiscovery/result/proxy/related-content/biomarkers/genestargets/35424","tumor necrosis factor")</f>
        <v>tumor necrosis factor</v>
      </c>
    </row>
    <row r="1262" spans="1:11" ht="60" customHeight="1" x14ac:dyDescent="0.2">
      <c r="A1262" s="2">
        <v>1259</v>
      </c>
      <c r="B1262" s="3" t="str">
        <f t="shared" si="200"/>
        <v>TNF-alpha</v>
      </c>
      <c r="C1262" s="3" t="str">
        <f t="shared" si="201"/>
        <v>TNF</v>
      </c>
      <c r="D1262" s="3" t="str">
        <f t="shared" si="202"/>
        <v>TNFA_HUMAN</v>
      </c>
      <c r="E1262" s="2" t="s">
        <v>21</v>
      </c>
      <c r="F1262" s="3" t="str">
        <f t="shared" si="203"/>
        <v>Tumor necrosis factor</v>
      </c>
      <c r="G1262" s="4" t="str">
        <f t="shared" si="204"/>
        <v>Pegsunercept</v>
      </c>
      <c r="H1262" s="3" t="str">
        <f>HYPERLINK("https://www.cortellis.com/drugdiscovery/entity/biomarkers/36125","10-protein respiratory panel")</f>
        <v>10-protein respiratory panel</v>
      </c>
      <c r="I1262" s="2" t="s">
        <v>25</v>
      </c>
      <c r="J1262" s="2" t="s">
        <v>17</v>
      </c>
      <c r="K1262" s="4" t="str">
        <f>HYPERLINK("https://www.cortellis.com/drugdiscovery/result/proxy/related-content/biomarkers/genestargets/36125","interferon gamma; tumor necrosis factor")</f>
        <v>interferon gamma; tumor necrosis factor</v>
      </c>
    </row>
    <row r="1263" spans="1:11" ht="60" customHeight="1" x14ac:dyDescent="0.2">
      <c r="A1263" s="2">
        <v>1260</v>
      </c>
      <c r="B1263" s="3" t="str">
        <f t="shared" si="200"/>
        <v>TNF-alpha</v>
      </c>
      <c r="C1263" s="3" t="str">
        <f t="shared" si="201"/>
        <v>TNF</v>
      </c>
      <c r="D1263" s="3" t="str">
        <f t="shared" si="202"/>
        <v>TNFA_HUMAN</v>
      </c>
      <c r="E1263" s="2" t="s">
        <v>21</v>
      </c>
      <c r="F1263" s="3" t="str">
        <f t="shared" si="203"/>
        <v>Tumor necrosis factor</v>
      </c>
      <c r="G1263" s="4" t="str">
        <f t="shared" si="204"/>
        <v>Pegsunercept</v>
      </c>
      <c r="H1263" s="3" t="str">
        <f>HYPERLINK("https://www.cortellis.com/drugdiscovery/entity/biomarkers/36127","3-protein respiratory panel")</f>
        <v>3-protein respiratory panel</v>
      </c>
      <c r="I1263" s="2" t="s">
        <v>25</v>
      </c>
      <c r="J1263" s="2" t="s">
        <v>17</v>
      </c>
      <c r="K1263" s="4" t="str">
        <f>HYPERLINK("https://www.cortellis.com/drugdiscovery/result/proxy/related-content/biomarkers/genestargets/36127","interferon gamma; tumor necrosis factor")</f>
        <v>interferon gamma; tumor necrosis factor</v>
      </c>
    </row>
    <row r="1264" spans="1:11" ht="60" customHeight="1" x14ac:dyDescent="0.2">
      <c r="A1264" s="2">
        <v>1261</v>
      </c>
      <c r="B1264" s="3" t="str">
        <f t="shared" si="200"/>
        <v>TNF-alpha</v>
      </c>
      <c r="C1264" s="3" t="str">
        <f t="shared" si="201"/>
        <v>TNF</v>
      </c>
      <c r="D1264" s="3" t="str">
        <f t="shared" si="202"/>
        <v>TNFA_HUMAN</v>
      </c>
      <c r="E1264" s="2" t="s">
        <v>21</v>
      </c>
      <c r="F1264" s="3" t="str">
        <f t="shared" si="203"/>
        <v>Tumor necrosis factor</v>
      </c>
      <c r="G1264" s="4" t="str">
        <f t="shared" si="204"/>
        <v>Pegsunercept</v>
      </c>
      <c r="H1264" s="3" t="str">
        <f>HYPERLINK("https://www.cortellis.com/drugdiscovery/entity/biomarkers/37520","4-protein bacteremia panel")</f>
        <v>4-protein bacteremia panel</v>
      </c>
      <c r="I1264" s="2" t="s">
        <v>23</v>
      </c>
      <c r="J1264" s="2" t="s">
        <v>17</v>
      </c>
      <c r="K1264" s="4" t="str">
        <f>HYPERLINK("https://www.cortellis.com/drugdiscovery/result/proxy/related-content/biomarkers/genestargets/37520","tumor necrosis factor")</f>
        <v>tumor necrosis factor</v>
      </c>
    </row>
    <row r="1265" spans="1:11" ht="60" customHeight="1" x14ac:dyDescent="0.2">
      <c r="A1265" s="2">
        <v>1262</v>
      </c>
      <c r="B1265" s="3" t="str">
        <f t="shared" si="200"/>
        <v>TNF-alpha</v>
      </c>
      <c r="C1265" s="3" t="str">
        <f t="shared" si="201"/>
        <v>TNF</v>
      </c>
      <c r="D1265" s="3" t="str">
        <f t="shared" si="202"/>
        <v>TNFA_HUMAN</v>
      </c>
      <c r="E1265" s="2" t="s">
        <v>21</v>
      </c>
      <c r="F1265" s="3" t="str">
        <f t="shared" si="203"/>
        <v>Tumor necrosis factor</v>
      </c>
      <c r="G1265" s="4" t="str">
        <f t="shared" si="204"/>
        <v>Pegsunercept</v>
      </c>
      <c r="H1265" s="3" t="str">
        <f>HYPERLINK("https://www.cortellis.com/drugdiscovery/entity/biomarkers/43870","17-genomic 14-protein 3-biochemical irritable bowel syndrome panel")</f>
        <v>17-genomic 14-protein 3-biochemical irritable bowel syndrome panel</v>
      </c>
      <c r="I1265" s="2" t="s">
        <v>52</v>
      </c>
      <c r="J1265" s="2" t="s">
        <v>53</v>
      </c>
      <c r="K1265" s="4" t="str">
        <f>HYPERLINK("https://www.cortellis.com/drugdiscovery/result/proxy/related-content/biomarkers/genestargets/43870","interleukin 12B; tumor necrosis factor")</f>
        <v>interleukin 12B; tumor necrosis factor</v>
      </c>
    </row>
    <row r="1266" spans="1:11" ht="60" customHeight="1" x14ac:dyDescent="0.2">
      <c r="A1266" s="2">
        <v>1263</v>
      </c>
      <c r="B1266" s="3" t="str">
        <f t="shared" si="200"/>
        <v>TNF-alpha</v>
      </c>
      <c r="C1266" s="3" t="str">
        <f t="shared" si="201"/>
        <v>TNF</v>
      </c>
      <c r="D1266" s="3" t="str">
        <f t="shared" si="202"/>
        <v>TNFA_HUMAN</v>
      </c>
      <c r="E1266" s="2" t="s">
        <v>21</v>
      </c>
      <c r="F1266" s="3" t="str">
        <f t="shared" si="203"/>
        <v>Tumor necrosis factor</v>
      </c>
      <c r="G1266" s="4" t="str">
        <f t="shared" si="204"/>
        <v>Pegsunercept</v>
      </c>
      <c r="H1266" s="3" t="str">
        <f>HYPERLINK("https://www.cortellis.com/drugdiscovery/entity/biomarkers/46842","7-protein non small cell lung cancer panel")</f>
        <v>7-protein non small cell lung cancer panel</v>
      </c>
      <c r="I1266" s="2" t="s">
        <v>23</v>
      </c>
      <c r="J1266" s="2" t="s">
        <v>17</v>
      </c>
      <c r="K1266" s="4" t="str">
        <f>HYPERLINK("https://www.cortellis.com/drugdiscovery/result/proxy/related-content/biomarkers/genestargets/46842","tumor necrosis factor")</f>
        <v>tumor necrosis factor</v>
      </c>
    </row>
    <row r="1267" spans="1:11" ht="60" customHeight="1" x14ac:dyDescent="0.2">
      <c r="A1267" s="2">
        <v>1264</v>
      </c>
      <c r="B1267" s="3" t="str">
        <f t="shared" si="200"/>
        <v>TNF-alpha</v>
      </c>
      <c r="C1267" s="3" t="str">
        <f t="shared" si="201"/>
        <v>TNF</v>
      </c>
      <c r="D1267" s="3" t="str">
        <f t="shared" si="202"/>
        <v>TNFA_HUMAN</v>
      </c>
      <c r="E1267" s="2" t="s">
        <v>21</v>
      </c>
      <c r="F1267" s="3" t="str">
        <f t="shared" si="203"/>
        <v>Tumor necrosis factor</v>
      </c>
      <c r="G1267" s="4" t="str">
        <f t="shared" si="204"/>
        <v>Pegsunercept</v>
      </c>
      <c r="H1267" s="3" t="str">
        <f>HYPERLINK("https://www.cortellis.com/drugdiscovery/entity/biomarkers/50816","10-gene lyme disease panel")</f>
        <v>10-gene lyme disease panel</v>
      </c>
      <c r="I1267" s="2" t="s">
        <v>23</v>
      </c>
      <c r="J1267" s="2" t="s">
        <v>15</v>
      </c>
      <c r="K1267" s="4" t="str">
        <f>HYPERLINK("https://www.cortellis.com/drugdiscovery/result/proxy/related-content/biomarkers/genestargets/50816","C-C motif chemokine ligand 2; interferon gamma; tumor necrosis factor")</f>
        <v>C-C motif chemokine ligand 2; interferon gamma; tumor necrosis factor</v>
      </c>
    </row>
    <row r="1268" spans="1:11" ht="60" customHeight="1" x14ac:dyDescent="0.2">
      <c r="A1268" s="2">
        <v>1265</v>
      </c>
      <c r="B1268" s="3" t="str">
        <f t="shared" si="200"/>
        <v>TNF-alpha</v>
      </c>
      <c r="C1268" s="3" t="str">
        <f t="shared" si="201"/>
        <v>TNF</v>
      </c>
      <c r="D1268" s="3" t="str">
        <f t="shared" si="202"/>
        <v>TNFA_HUMAN</v>
      </c>
      <c r="E1268" s="2" t="s">
        <v>21</v>
      </c>
      <c r="F1268" s="3" t="str">
        <f t="shared" si="203"/>
        <v>Tumor necrosis factor</v>
      </c>
      <c r="G1268" s="4" t="str">
        <f t="shared" si="204"/>
        <v>Pegsunercept</v>
      </c>
      <c r="H1268" s="3" t="str">
        <f>HYPERLINK("https://www.cortellis.com/drugdiscovery/entity/biomarkers/50817","11-gene lyme disease panel")</f>
        <v>11-gene lyme disease panel</v>
      </c>
      <c r="I1268" s="2" t="s">
        <v>23</v>
      </c>
      <c r="J1268" s="2" t="s">
        <v>15</v>
      </c>
      <c r="K1268" s="4" t="str">
        <f>HYPERLINK("https://www.cortellis.com/drugdiscovery/result/proxy/related-content/biomarkers/genestargets/50817","C-C motif chemokine ligand 2; interferon gamma; tumor necrosis factor")</f>
        <v>C-C motif chemokine ligand 2; interferon gamma; tumor necrosis factor</v>
      </c>
    </row>
    <row r="1269" spans="1:11" ht="60" customHeight="1" x14ac:dyDescent="0.2">
      <c r="A1269" s="2">
        <v>1266</v>
      </c>
      <c r="B1269" s="3" t="str">
        <f t="shared" si="200"/>
        <v>TNF-alpha</v>
      </c>
      <c r="C1269" s="3" t="str">
        <f t="shared" si="201"/>
        <v>TNF</v>
      </c>
      <c r="D1269" s="3" t="str">
        <f t="shared" si="202"/>
        <v>TNFA_HUMAN</v>
      </c>
      <c r="E1269" s="2" t="s">
        <v>21</v>
      </c>
      <c r="F1269" s="3" t="str">
        <f t="shared" si="203"/>
        <v>Tumor necrosis factor</v>
      </c>
      <c r="G1269" s="4" t="str">
        <f t="shared" si="204"/>
        <v>Pegsunercept</v>
      </c>
      <c r="H1269" s="3" t="str">
        <f>HYPERLINK("https://www.cortellis.com/drugdiscovery/entity/biomarkers/50818","12 protein Lyme disease panel")</f>
        <v>12 protein Lyme disease panel</v>
      </c>
      <c r="I1269" s="2" t="s">
        <v>23</v>
      </c>
      <c r="J1269" s="2" t="s">
        <v>17</v>
      </c>
      <c r="K1269" s="4" t="str">
        <f>HYPERLINK("https://www.cortellis.com/drugdiscovery/result/proxy/related-content/biomarkers/genestargets/50818","C-C motif chemokine ligand 2; interferon gamma; tumor necrosis factor")</f>
        <v>C-C motif chemokine ligand 2; interferon gamma; tumor necrosis factor</v>
      </c>
    </row>
    <row r="1270" spans="1:11" ht="60" customHeight="1" x14ac:dyDescent="0.2">
      <c r="A1270" s="2">
        <v>1267</v>
      </c>
      <c r="B1270" s="3" t="str">
        <f t="shared" si="200"/>
        <v>TNF-alpha</v>
      </c>
      <c r="C1270" s="3" t="str">
        <f t="shared" si="201"/>
        <v>TNF</v>
      </c>
      <c r="D1270" s="3" t="str">
        <f t="shared" si="202"/>
        <v>TNFA_HUMAN</v>
      </c>
      <c r="E1270" s="2" t="s">
        <v>21</v>
      </c>
      <c r="F1270" s="3" t="str">
        <f t="shared" si="203"/>
        <v>Tumor necrosis factor</v>
      </c>
      <c r="G1270" s="4" t="str">
        <f t="shared" si="204"/>
        <v>Pegsunercept</v>
      </c>
      <c r="H1270" s="3" t="str">
        <f>HYPERLINK("https://www.cortellis.com/drugdiscovery/entity/biomarkers/51292","37-gene expression major depression panel")</f>
        <v>37-gene expression major depression panel</v>
      </c>
      <c r="I1270" s="2" t="s">
        <v>23</v>
      </c>
      <c r="J1270" s="2" t="s">
        <v>19</v>
      </c>
      <c r="K1270" s="4" t="str">
        <f>HYPERLINK("https://www.cortellis.com/drugdiscovery/result/proxy/related-content/biomarkers/genestargets/51292","C-C motif chemokine ligand 2; tumor necrosis factor")</f>
        <v>C-C motif chemokine ligand 2; tumor necrosis factor</v>
      </c>
    </row>
    <row r="1271" spans="1:11" ht="60" customHeight="1" x14ac:dyDescent="0.2">
      <c r="A1271" s="2">
        <v>1268</v>
      </c>
      <c r="B1271" s="3" t="str">
        <f t="shared" si="200"/>
        <v>TNF-alpha</v>
      </c>
      <c r="C1271" s="3" t="str">
        <f t="shared" si="201"/>
        <v>TNF</v>
      </c>
      <c r="D1271" s="3" t="str">
        <f t="shared" si="202"/>
        <v>TNFA_HUMAN</v>
      </c>
      <c r="E1271" s="2" t="s">
        <v>21</v>
      </c>
      <c r="F1271" s="3" t="str">
        <f t="shared" si="203"/>
        <v>Tumor necrosis factor</v>
      </c>
      <c r="G1271" s="4" t="str">
        <f t="shared" si="204"/>
        <v>Pegsunercept</v>
      </c>
      <c r="H1271" s="3" t="str">
        <f>HYPERLINK("https://www.cortellis.com/drugdiscovery/entity/biomarkers/57224","21-protein mild cognitive impairment panel")</f>
        <v>21-protein mild cognitive impairment panel</v>
      </c>
      <c r="I1271" s="2" t="s">
        <v>23</v>
      </c>
      <c r="J1271" s="2" t="s">
        <v>19</v>
      </c>
      <c r="K1271" s="4" t="str">
        <f>HYPERLINK("https://www.cortellis.com/drugdiscovery/result/proxy/related-content/biomarkers/genestargets/57224","interleukin 7; tenascin C; tumor necrosis factor")</f>
        <v>interleukin 7; tenascin C; tumor necrosis factor</v>
      </c>
    </row>
    <row r="1272" spans="1:11" ht="60" customHeight="1" x14ac:dyDescent="0.2">
      <c r="A1272" s="2">
        <v>1269</v>
      </c>
      <c r="B1272" s="3" t="str">
        <f t="shared" si="200"/>
        <v>TNF-alpha</v>
      </c>
      <c r="C1272" s="3" t="str">
        <f t="shared" si="201"/>
        <v>TNF</v>
      </c>
      <c r="D1272" s="3" t="str">
        <f t="shared" si="202"/>
        <v>TNFA_HUMAN</v>
      </c>
      <c r="E1272" s="2" t="s">
        <v>21</v>
      </c>
      <c r="F1272" s="3" t="str">
        <f t="shared" si="203"/>
        <v>Tumor necrosis factor</v>
      </c>
      <c r="G1272" s="4" t="str">
        <f t="shared" si="204"/>
        <v>Pegsunercept</v>
      </c>
      <c r="H1272" s="3" t="str">
        <f>HYPERLINK("https://www.cortellis.com/drugdiscovery/entity/biomarkers/57250","9-protein non-muscle invasive bladder cancer panel")</f>
        <v>9-protein non-muscle invasive bladder cancer panel</v>
      </c>
      <c r="I1272" s="2" t="s">
        <v>18</v>
      </c>
      <c r="J1272" s="2" t="s">
        <v>17</v>
      </c>
      <c r="K1272" s="4" t="str">
        <f>HYPERLINK("https://www.cortellis.com/drugdiscovery/result/proxy/related-content/biomarkers/genestargets/57250","interferon gamma; interleukin 12B; tumor necrosis factor")</f>
        <v>interferon gamma; interleukin 12B; tumor necrosis factor</v>
      </c>
    </row>
    <row r="1273" spans="1:11" ht="60" customHeight="1" x14ac:dyDescent="0.2">
      <c r="A1273" s="2">
        <v>1270</v>
      </c>
      <c r="B1273" s="3" t="str">
        <f t="shared" si="200"/>
        <v>TNF-alpha</v>
      </c>
      <c r="C1273" s="3" t="str">
        <f t="shared" si="201"/>
        <v>TNF</v>
      </c>
      <c r="D1273" s="3" t="str">
        <f t="shared" si="202"/>
        <v>TNFA_HUMAN</v>
      </c>
      <c r="E1273" s="2" t="s">
        <v>21</v>
      </c>
      <c r="F1273" s="3" t="str">
        <f t="shared" si="203"/>
        <v>Tumor necrosis factor</v>
      </c>
      <c r="G1273" s="4" t="str">
        <f t="shared" si="204"/>
        <v>Pegsunercept</v>
      </c>
      <c r="H1273" s="3" t="str">
        <f>HYPERLINK("https://www.cortellis.com/drugdiscovery/entity/biomarkers/62155","19-protein rhegmatogenous retinal detachment panel")</f>
        <v>19-protein rhegmatogenous retinal detachment panel</v>
      </c>
      <c r="I1273" s="2" t="s">
        <v>24</v>
      </c>
      <c r="J1273" s="2" t="s">
        <v>17</v>
      </c>
      <c r="K1273" s="4" t="str">
        <f>HYPERLINK("https://www.cortellis.com/drugdiscovery/result/proxy/related-content/biomarkers/genestargets/62155","C-C motif chemokine ligand 2; interleukin 12B; tumor necrosis factor")</f>
        <v>C-C motif chemokine ligand 2; interleukin 12B; tumor necrosis factor</v>
      </c>
    </row>
    <row r="1274" spans="1:11" ht="60" customHeight="1" x14ac:dyDescent="0.2">
      <c r="A1274" s="2">
        <v>1271</v>
      </c>
      <c r="B1274" s="3" t="str">
        <f t="shared" si="200"/>
        <v>TNF-alpha</v>
      </c>
      <c r="C1274" s="3" t="str">
        <f t="shared" si="201"/>
        <v>TNF</v>
      </c>
      <c r="D1274" s="3" t="str">
        <f t="shared" si="202"/>
        <v>TNFA_HUMAN</v>
      </c>
      <c r="E1274" s="2" t="s">
        <v>21</v>
      </c>
      <c r="F1274" s="3" t="str">
        <f t="shared" si="203"/>
        <v>Tumor necrosis factor</v>
      </c>
      <c r="G1274" s="4" t="str">
        <f t="shared" si="204"/>
        <v>Pegsunercept</v>
      </c>
      <c r="H1274" s="3" t="str">
        <f>HYPERLINK("https://www.cortellis.com/drugdiscovery/entity/biomarkers/62663","9-protein immunological disorders panel")</f>
        <v>9-protein immunological disorders panel</v>
      </c>
      <c r="I1274" s="2" t="s">
        <v>24</v>
      </c>
      <c r="J1274" s="2" t="s">
        <v>17</v>
      </c>
      <c r="K1274" s="4" t="str">
        <f>HYPERLINK("https://www.cortellis.com/drugdiscovery/result/proxy/related-content/biomarkers/genestargets/62663","C-C motif chemokine ligand 2; interferon gamma; tumor necrosis factor")</f>
        <v>C-C motif chemokine ligand 2; interferon gamma; tumor necrosis factor</v>
      </c>
    </row>
    <row r="1275" spans="1:11" ht="60" customHeight="1" x14ac:dyDescent="0.2">
      <c r="A1275" s="2">
        <v>1272</v>
      </c>
      <c r="B1275" s="3" t="str">
        <f t="shared" si="200"/>
        <v>TNF-alpha</v>
      </c>
      <c r="C1275" s="3" t="str">
        <f t="shared" si="201"/>
        <v>TNF</v>
      </c>
      <c r="D1275" s="3" t="str">
        <f t="shared" si="202"/>
        <v>TNFA_HUMAN</v>
      </c>
      <c r="E1275" s="2" t="s">
        <v>21</v>
      </c>
      <c r="F1275" s="3" t="str">
        <f t="shared" si="203"/>
        <v>Tumor necrosis factor</v>
      </c>
      <c r="G1275" s="4" t="str">
        <f t="shared" si="204"/>
        <v>Pegsunercept</v>
      </c>
      <c r="H1275" s="3" t="str">
        <f>HYPERLINK("https://www.cortellis.com/drugdiscovery/entity/biomarkers/62730","7-protein Alzheimer's disease panel")</f>
        <v>7-protein Alzheimer's disease panel</v>
      </c>
      <c r="I1275" s="2" t="s">
        <v>23</v>
      </c>
      <c r="J1275" s="2" t="s">
        <v>17</v>
      </c>
      <c r="K1275" s="4" t="str">
        <f>HYPERLINK("https://www.cortellis.com/drugdiscovery/result/proxy/related-content/biomarkers/genestargets/62730","tumor necrosis factor")</f>
        <v>tumor necrosis factor</v>
      </c>
    </row>
    <row r="1276" spans="1:11" ht="60" customHeight="1" x14ac:dyDescent="0.2">
      <c r="A1276" s="2">
        <v>1273</v>
      </c>
      <c r="B1276" s="3" t="str">
        <f t="shared" si="200"/>
        <v>TNF-alpha</v>
      </c>
      <c r="C1276" s="3" t="str">
        <f t="shared" si="201"/>
        <v>TNF</v>
      </c>
      <c r="D1276" s="3" t="str">
        <f t="shared" si="202"/>
        <v>TNFA_HUMAN</v>
      </c>
      <c r="E1276" s="2" t="s">
        <v>21</v>
      </c>
      <c r="F1276" s="3" t="str">
        <f t="shared" si="203"/>
        <v>Tumor necrosis factor</v>
      </c>
      <c r="G1276" s="4" t="str">
        <f t="shared" si="204"/>
        <v>Pegsunercept</v>
      </c>
      <c r="H1276" s="3" t="str">
        <f>HYPERLINK("https://www.cortellis.com/drugdiscovery/entity/biomarkers/62746","5-protein renal disorder panel")</f>
        <v>5-protein renal disorder panel</v>
      </c>
      <c r="I1276" s="2" t="s">
        <v>25</v>
      </c>
      <c r="J1276" s="2" t="s">
        <v>17</v>
      </c>
      <c r="K1276" s="4" t="str">
        <f>HYPERLINK("https://www.cortellis.com/drugdiscovery/result/proxy/related-content/biomarkers/genestargets/62746","tumor necrosis factor")</f>
        <v>tumor necrosis factor</v>
      </c>
    </row>
    <row r="1277" spans="1:11" ht="60" customHeight="1" x14ac:dyDescent="0.2">
      <c r="A1277" s="2">
        <v>1274</v>
      </c>
      <c r="B1277" s="3" t="str">
        <f t="shared" si="200"/>
        <v>TNF-alpha</v>
      </c>
      <c r="C1277" s="3" t="str">
        <f t="shared" si="201"/>
        <v>TNF</v>
      </c>
      <c r="D1277" s="3" t="str">
        <f t="shared" si="202"/>
        <v>TNFA_HUMAN</v>
      </c>
      <c r="E1277" s="2" t="s">
        <v>21</v>
      </c>
      <c r="F1277" s="3" t="str">
        <f t="shared" si="203"/>
        <v>Tumor necrosis factor</v>
      </c>
      <c r="G1277" s="4" t="str">
        <f t="shared" si="204"/>
        <v>Pegsunercept</v>
      </c>
      <c r="H1277" s="3" t="str">
        <f>HYPERLINK("https://www.cortellis.com/drugdiscovery/entity/biomarkers/65259","22-gene expression hepatocellular carcinoma panel")</f>
        <v>22-gene expression hepatocellular carcinoma panel</v>
      </c>
      <c r="I1277" s="2" t="s">
        <v>25</v>
      </c>
      <c r="J1277" s="2" t="s">
        <v>19</v>
      </c>
      <c r="K1277" s="4" t="str">
        <f>HYPERLINK("https://www.cortellis.com/drugdiscovery/result/proxy/related-content/biomarkers/genestargets/65259","tumor necrosis factor")</f>
        <v>tumor necrosis factor</v>
      </c>
    </row>
    <row r="1278" spans="1:11" ht="60" customHeight="1" x14ac:dyDescent="0.2">
      <c r="A1278" s="2">
        <v>1275</v>
      </c>
      <c r="B1278" s="3" t="str">
        <f t="shared" si="200"/>
        <v>TNF-alpha</v>
      </c>
      <c r="C1278" s="3" t="str">
        <f t="shared" si="201"/>
        <v>TNF</v>
      </c>
      <c r="D1278" s="3" t="str">
        <f t="shared" si="202"/>
        <v>TNFA_HUMAN</v>
      </c>
      <c r="E1278" s="2" t="s">
        <v>21</v>
      </c>
      <c r="F1278" s="3" t="str">
        <f t="shared" si="203"/>
        <v>Tumor necrosis factor</v>
      </c>
      <c r="G1278" s="4" t="str">
        <f t="shared" ref="G1278:G1304" si="205">HYPERLINK("https://portal.genego.com/cgi/entity_page.cgi?term=7&amp;id=1899012029","Infliximab")</f>
        <v>Infliximab</v>
      </c>
      <c r="H1278" s="3" t="str">
        <f>HYPERLINK("https://www.cortellis.com/drugdiscovery/entity/biomarkers/274","Tumor necrosis factor")</f>
        <v>Tumor necrosis factor</v>
      </c>
      <c r="I1278" s="2" t="s">
        <v>22</v>
      </c>
      <c r="J1278" s="2" t="s">
        <v>15</v>
      </c>
      <c r="K1278" s="4" t="str">
        <f>HYPERLINK("https://www.cortellis.com/drugdiscovery/result/proxy/related-content/biomarkers/genestargets/274","tumor necrosis factor")</f>
        <v>tumor necrosis factor</v>
      </c>
    </row>
    <row r="1279" spans="1:11" ht="60" customHeight="1" x14ac:dyDescent="0.2">
      <c r="A1279" s="2">
        <v>1276</v>
      </c>
      <c r="B1279" s="3" t="str">
        <f t="shared" si="200"/>
        <v>TNF-alpha</v>
      </c>
      <c r="C1279" s="3" t="str">
        <f t="shared" si="201"/>
        <v>TNF</v>
      </c>
      <c r="D1279" s="3" t="str">
        <f t="shared" si="202"/>
        <v>TNFA_HUMAN</v>
      </c>
      <c r="E1279" s="2" t="s">
        <v>21</v>
      </c>
      <c r="F1279" s="3" t="str">
        <f t="shared" si="203"/>
        <v>Tumor necrosis factor</v>
      </c>
      <c r="G1279" s="4" t="str">
        <f t="shared" si="205"/>
        <v>Infliximab</v>
      </c>
      <c r="H1279" s="3" t="str">
        <f>HYPERLINK("https://www.cortellis.com/drugdiscovery/entity/biomarkers/27598","89-protein neurological alzheimer's panel")</f>
        <v>89-protein neurological alzheimer's panel</v>
      </c>
      <c r="I1279" s="2" t="s">
        <v>23</v>
      </c>
      <c r="J1279" s="2" t="s">
        <v>17</v>
      </c>
      <c r="K1279"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280" spans="1:11" ht="60" customHeight="1" x14ac:dyDescent="0.2">
      <c r="A1280" s="2">
        <v>1277</v>
      </c>
      <c r="B1280" s="3" t="str">
        <f t="shared" si="200"/>
        <v>TNF-alpha</v>
      </c>
      <c r="C1280" s="3" t="str">
        <f t="shared" si="201"/>
        <v>TNF</v>
      </c>
      <c r="D1280" s="3" t="str">
        <f t="shared" si="202"/>
        <v>TNFA_HUMAN</v>
      </c>
      <c r="E1280" s="2" t="s">
        <v>21</v>
      </c>
      <c r="F1280" s="3" t="str">
        <f t="shared" si="203"/>
        <v>Tumor necrosis factor</v>
      </c>
      <c r="G1280" s="4" t="str">
        <f t="shared" si="205"/>
        <v>Infliximab</v>
      </c>
      <c r="H1280" s="3" t="str">
        <f>HYPERLINK("https://www.cortellis.com/drugdiscovery/entity/biomarkers/27640","5-protein alzheimer's panel")</f>
        <v>5-protein alzheimer's panel</v>
      </c>
      <c r="I1280" s="2" t="s">
        <v>23</v>
      </c>
      <c r="J1280" s="2" t="s">
        <v>17</v>
      </c>
      <c r="K1280" s="4" t="str">
        <f>HYPERLINK("https://www.cortellis.com/drugdiscovery/result/proxy/related-content/biomarkers/genestargets/27640","tumor necrosis factor")</f>
        <v>tumor necrosis factor</v>
      </c>
    </row>
    <row r="1281" spans="1:11" ht="60" customHeight="1" x14ac:dyDescent="0.2">
      <c r="A1281" s="2">
        <v>1278</v>
      </c>
      <c r="B1281" s="3" t="str">
        <f t="shared" si="200"/>
        <v>TNF-alpha</v>
      </c>
      <c r="C1281" s="3" t="str">
        <f t="shared" si="201"/>
        <v>TNF</v>
      </c>
      <c r="D1281" s="3" t="str">
        <f t="shared" si="202"/>
        <v>TNFA_HUMAN</v>
      </c>
      <c r="E1281" s="2" t="s">
        <v>21</v>
      </c>
      <c r="F1281" s="3" t="str">
        <f t="shared" si="203"/>
        <v>Tumor necrosis factor</v>
      </c>
      <c r="G1281" s="4" t="str">
        <f t="shared" si="205"/>
        <v>Infliximab</v>
      </c>
      <c r="H1281" s="3" t="str">
        <f>HYPERLINK("https://www.cortellis.com/drugdiscovery/entity/biomarkers/27734","6-protein lung cancer panel")</f>
        <v>6-protein lung cancer panel</v>
      </c>
      <c r="I1281" s="2" t="s">
        <v>23</v>
      </c>
      <c r="J1281" s="2" t="s">
        <v>17</v>
      </c>
      <c r="K1281" s="4" t="str">
        <f>HYPERLINK("https://www.cortellis.com/drugdiscovery/result/proxy/related-content/biomarkers/genestargets/27734","interferon gamma; tumor necrosis factor")</f>
        <v>interferon gamma; tumor necrosis factor</v>
      </c>
    </row>
    <row r="1282" spans="1:11" ht="60" customHeight="1" x14ac:dyDescent="0.2">
      <c r="A1282" s="2">
        <v>1279</v>
      </c>
      <c r="B1282" s="3" t="str">
        <f t="shared" si="200"/>
        <v>TNF-alpha</v>
      </c>
      <c r="C1282" s="3" t="str">
        <f t="shared" si="201"/>
        <v>TNF</v>
      </c>
      <c r="D1282" s="3" t="str">
        <f t="shared" si="202"/>
        <v>TNFA_HUMAN</v>
      </c>
      <c r="E1282" s="2" t="s">
        <v>21</v>
      </c>
      <c r="F1282" s="3" t="str">
        <f t="shared" si="203"/>
        <v>Tumor necrosis factor</v>
      </c>
      <c r="G1282" s="4" t="str">
        <f t="shared" si="205"/>
        <v>Infliximab</v>
      </c>
      <c r="H1282" s="3" t="str">
        <f>HYPERLINK("https://www.cortellis.com/drugdiscovery/entity/biomarkers/28148","11-gene expression lung cancer panel")</f>
        <v>11-gene expression lung cancer panel</v>
      </c>
      <c r="I1282" s="2" t="s">
        <v>25</v>
      </c>
      <c r="J1282" s="2" t="s">
        <v>19</v>
      </c>
      <c r="K1282" s="4" t="str">
        <f>HYPERLINK("https://www.cortellis.com/drugdiscovery/result/proxy/related-content/biomarkers/genestargets/28148","interferon gamma; interleukin 15; tumor necrosis factor")</f>
        <v>interferon gamma; interleukin 15; tumor necrosis factor</v>
      </c>
    </row>
    <row r="1283" spans="1:11" ht="60" customHeight="1" x14ac:dyDescent="0.2">
      <c r="A1283" s="2">
        <v>1280</v>
      </c>
      <c r="B1283" s="3" t="str">
        <f t="shared" si="200"/>
        <v>TNF-alpha</v>
      </c>
      <c r="C1283" s="3" t="str">
        <f t="shared" si="201"/>
        <v>TNF</v>
      </c>
      <c r="D1283" s="3" t="str">
        <f t="shared" si="202"/>
        <v>TNFA_HUMAN</v>
      </c>
      <c r="E1283" s="2" t="s">
        <v>21</v>
      </c>
      <c r="F1283" s="3" t="str">
        <f t="shared" si="203"/>
        <v>Tumor necrosis factor</v>
      </c>
      <c r="G1283" s="4" t="str">
        <f t="shared" si="205"/>
        <v>Infliximab</v>
      </c>
      <c r="H1283" s="3" t="str">
        <f>HYPERLINK("https://www.cortellis.com/drugdiscovery/entity/biomarkers/28647","15-gene expression lung cancer panel")</f>
        <v>15-gene expression lung cancer panel</v>
      </c>
      <c r="I1283" s="2" t="s">
        <v>20</v>
      </c>
      <c r="J1283" s="2" t="s">
        <v>19</v>
      </c>
      <c r="K1283" s="4" t="str">
        <f>HYPERLINK("https://www.cortellis.com/drugdiscovery/result/proxy/related-content/biomarkers/genestargets/28647","interferon gamma; interleukin 15; tumor necrosis factor")</f>
        <v>interferon gamma; interleukin 15; tumor necrosis factor</v>
      </c>
    </row>
    <row r="1284" spans="1:11" ht="60" customHeight="1" x14ac:dyDescent="0.2">
      <c r="A1284" s="2">
        <v>1281</v>
      </c>
      <c r="B1284" s="3" t="str">
        <f t="shared" si="200"/>
        <v>TNF-alpha</v>
      </c>
      <c r="C1284" s="3" t="str">
        <f t="shared" si="201"/>
        <v>TNF</v>
      </c>
      <c r="D1284" s="3" t="str">
        <f t="shared" si="202"/>
        <v>TNFA_HUMAN</v>
      </c>
      <c r="E1284" s="2" t="s">
        <v>21</v>
      </c>
      <c r="F1284" s="3" t="str">
        <f t="shared" si="203"/>
        <v>Tumor necrosis factor</v>
      </c>
      <c r="G1284" s="4" t="str">
        <f t="shared" si="205"/>
        <v>Infliximab</v>
      </c>
      <c r="H1284" s="3" t="str">
        <f>HYPERLINK("https://www.cortellis.com/drugdiscovery/entity/biomarkers/29676","277-gene expression lung cancer panel")</f>
        <v>277-gene expression lung cancer panel</v>
      </c>
      <c r="I1284" s="2" t="s">
        <v>25</v>
      </c>
      <c r="J1284" s="2" t="s">
        <v>19</v>
      </c>
      <c r="K1284" s="4" t="str">
        <f>HYPERLINK("https://www.cortellis.com/drugdiscovery/result/proxy/related-content/biomarkers/genestargets/29676","cyclin D1; tumor necrosis factor")</f>
        <v>cyclin D1; tumor necrosis factor</v>
      </c>
    </row>
    <row r="1285" spans="1:11" ht="60" customHeight="1" x14ac:dyDescent="0.2">
      <c r="A1285" s="2">
        <v>1282</v>
      </c>
      <c r="B1285" s="3" t="str">
        <f t="shared" si="200"/>
        <v>TNF-alpha</v>
      </c>
      <c r="C1285" s="3" t="str">
        <f t="shared" si="201"/>
        <v>TNF</v>
      </c>
      <c r="D1285" s="3" t="str">
        <f t="shared" si="202"/>
        <v>TNFA_HUMAN</v>
      </c>
      <c r="E1285" s="2" t="s">
        <v>21</v>
      </c>
      <c r="F1285" s="3" t="str">
        <f t="shared" si="203"/>
        <v>Tumor necrosis factor</v>
      </c>
      <c r="G1285" s="4" t="str">
        <f t="shared" si="205"/>
        <v>Infliximab</v>
      </c>
      <c r="H1285" s="3" t="str">
        <f>HYPERLINK("https://www.cortellis.com/drugdiscovery/entity/biomarkers/30768","11-protein cardiovascular panel")</f>
        <v>11-protein cardiovascular panel</v>
      </c>
      <c r="I1285" s="2" t="s">
        <v>23</v>
      </c>
      <c r="J1285" s="2" t="s">
        <v>17</v>
      </c>
      <c r="K1285" s="4" t="str">
        <f>HYPERLINK("https://www.cortellis.com/drugdiscovery/result/proxy/related-content/biomarkers/genestargets/30768","interferon gamma; interleukin 12B; tumor necrosis factor")</f>
        <v>interferon gamma; interleukin 12B; tumor necrosis factor</v>
      </c>
    </row>
    <row r="1286" spans="1:11" ht="60" customHeight="1" x14ac:dyDescent="0.2">
      <c r="A1286" s="2">
        <v>1283</v>
      </c>
      <c r="B1286" s="3" t="str">
        <f t="shared" si="200"/>
        <v>TNF-alpha</v>
      </c>
      <c r="C1286" s="3" t="str">
        <f t="shared" si="201"/>
        <v>TNF</v>
      </c>
      <c r="D1286" s="3" t="str">
        <f t="shared" si="202"/>
        <v>TNFA_HUMAN</v>
      </c>
      <c r="E1286" s="2" t="s">
        <v>21</v>
      </c>
      <c r="F1286" s="3" t="str">
        <f t="shared" si="203"/>
        <v>Tumor necrosis factor</v>
      </c>
      <c r="G1286" s="4" t="str">
        <f t="shared" si="205"/>
        <v>Infliximab</v>
      </c>
      <c r="H1286" s="3" t="str">
        <f>HYPERLINK("https://www.cortellis.com/drugdiscovery/entity/biomarkers/34385","30-protein alzheimer's panel")</f>
        <v>30-protein alzheimer's panel</v>
      </c>
      <c r="I1286" s="2" t="s">
        <v>23</v>
      </c>
      <c r="J1286" s="2" t="s">
        <v>17</v>
      </c>
      <c r="K1286" s="4" t="str">
        <f>HYPERLINK("https://www.cortellis.com/drugdiscovery/result/proxy/related-content/biomarkers/genestargets/34385","C-C motif chemokine ligand 2; interleukin 7; tenascin C; tumor necrosis factor")</f>
        <v>C-C motif chemokine ligand 2; interleukin 7; tenascin C; tumor necrosis factor</v>
      </c>
    </row>
    <row r="1287" spans="1:11" ht="60" customHeight="1" x14ac:dyDescent="0.2">
      <c r="A1287" s="2">
        <v>1284</v>
      </c>
      <c r="B1287" s="3" t="str">
        <f t="shared" si="200"/>
        <v>TNF-alpha</v>
      </c>
      <c r="C1287" s="3" t="str">
        <f t="shared" si="201"/>
        <v>TNF</v>
      </c>
      <c r="D1287" s="3" t="str">
        <f t="shared" si="202"/>
        <v>TNFA_HUMAN</v>
      </c>
      <c r="E1287" s="2" t="s">
        <v>21</v>
      </c>
      <c r="F1287" s="3" t="str">
        <f t="shared" si="203"/>
        <v>Tumor necrosis factor</v>
      </c>
      <c r="G1287" s="4" t="str">
        <f t="shared" si="205"/>
        <v>Infliximab</v>
      </c>
      <c r="H1287" s="3" t="str">
        <f>HYPERLINK("https://www.cortellis.com/drugdiscovery/entity/biomarkers/34437","3-protein 3-autoantibody lung cancer panel")</f>
        <v>3-protein 3-autoantibody lung cancer panel</v>
      </c>
      <c r="I1287" s="2" t="s">
        <v>23</v>
      </c>
      <c r="J1287" s="2" t="s">
        <v>17</v>
      </c>
      <c r="K1287" s="4" t="str">
        <f>HYPERLINK("https://www.cortellis.com/drugdiscovery/result/proxy/related-content/biomarkers/genestargets/34437","tumor necrosis factor")</f>
        <v>tumor necrosis factor</v>
      </c>
    </row>
    <row r="1288" spans="1:11" ht="60" customHeight="1" x14ac:dyDescent="0.2">
      <c r="A1288" s="2">
        <v>1285</v>
      </c>
      <c r="B1288" s="3" t="str">
        <f t="shared" si="200"/>
        <v>TNF-alpha</v>
      </c>
      <c r="C1288" s="3" t="str">
        <f t="shared" si="201"/>
        <v>TNF</v>
      </c>
      <c r="D1288" s="3" t="str">
        <f t="shared" si="202"/>
        <v>TNFA_HUMAN</v>
      </c>
      <c r="E1288" s="2" t="s">
        <v>21</v>
      </c>
      <c r="F1288" s="3" t="str">
        <f t="shared" si="203"/>
        <v>Tumor necrosis factor</v>
      </c>
      <c r="G1288" s="4" t="str">
        <f t="shared" si="205"/>
        <v>Infliximab</v>
      </c>
      <c r="H1288" s="3" t="str">
        <f>HYPERLINK("https://www.cortellis.com/drugdiscovery/entity/biomarkers/35424","60-gene expression ovarian cancer panel")</f>
        <v>60-gene expression ovarian cancer panel</v>
      </c>
      <c r="I1288" s="2" t="s">
        <v>18</v>
      </c>
      <c r="J1288" s="2" t="s">
        <v>19</v>
      </c>
      <c r="K1288" s="4" t="str">
        <f>HYPERLINK("https://www.cortellis.com/drugdiscovery/result/proxy/related-content/biomarkers/genestargets/35424","tumor necrosis factor")</f>
        <v>tumor necrosis factor</v>
      </c>
    </row>
    <row r="1289" spans="1:11" ht="60" customHeight="1" x14ac:dyDescent="0.2">
      <c r="A1289" s="2">
        <v>1286</v>
      </c>
      <c r="B1289" s="3" t="str">
        <f t="shared" si="200"/>
        <v>TNF-alpha</v>
      </c>
      <c r="C1289" s="3" t="str">
        <f t="shared" si="201"/>
        <v>TNF</v>
      </c>
      <c r="D1289" s="3" t="str">
        <f t="shared" si="202"/>
        <v>TNFA_HUMAN</v>
      </c>
      <c r="E1289" s="2" t="s">
        <v>21</v>
      </c>
      <c r="F1289" s="3" t="str">
        <f t="shared" si="203"/>
        <v>Tumor necrosis factor</v>
      </c>
      <c r="G1289" s="4" t="str">
        <f t="shared" si="205"/>
        <v>Infliximab</v>
      </c>
      <c r="H1289" s="3" t="str">
        <f>HYPERLINK("https://www.cortellis.com/drugdiscovery/entity/biomarkers/36125","10-protein respiratory panel")</f>
        <v>10-protein respiratory panel</v>
      </c>
      <c r="I1289" s="2" t="s">
        <v>25</v>
      </c>
      <c r="J1289" s="2" t="s">
        <v>17</v>
      </c>
      <c r="K1289" s="4" t="str">
        <f>HYPERLINK("https://www.cortellis.com/drugdiscovery/result/proxy/related-content/biomarkers/genestargets/36125","interferon gamma; tumor necrosis factor")</f>
        <v>interferon gamma; tumor necrosis factor</v>
      </c>
    </row>
    <row r="1290" spans="1:11" ht="60" customHeight="1" x14ac:dyDescent="0.2">
      <c r="A1290" s="2">
        <v>1287</v>
      </c>
      <c r="B1290" s="3" t="str">
        <f t="shared" si="200"/>
        <v>TNF-alpha</v>
      </c>
      <c r="C1290" s="3" t="str">
        <f t="shared" si="201"/>
        <v>TNF</v>
      </c>
      <c r="D1290" s="3" t="str">
        <f t="shared" si="202"/>
        <v>TNFA_HUMAN</v>
      </c>
      <c r="E1290" s="2" t="s">
        <v>21</v>
      </c>
      <c r="F1290" s="3" t="str">
        <f t="shared" si="203"/>
        <v>Tumor necrosis factor</v>
      </c>
      <c r="G1290" s="4" t="str">
        <f t="shared" si="205"/>
        <v>Infliximab</v>
      </c>
      <c r="H1290" s="3" t="str">
        <f>HYPERLINK("https://www.cortellis.com/drugdiscovery/entity/biomarkers/36127","3-protein respiratory panel")</f>
        <v>3-protein respiratory panel</v>
      </c>
      <c r="I1290" s="2" t="s">
        <v>25</v>
      </c>
      <c r="J1290" s="2" t="s">
        <v>17</v>
      </c>
      <c r="K1290" s="4" t="str">
        <f>HYPERLINK("https://www.cortellis.com/drugdiscovery/result/proxy/related-content/biomarkers/genestargets/36127","interferon gamma; tumor necrosis factor")</f>
        <v>interferon gamma; tumor necrosis factor</v>
      </c>
    </row>
    <row r="1291" spans="1:11" ht="60" customHeight="1" x14ac:dyDescent="0.2">
      <c r="A1291" s="2">
        <v>1288</v>
      </c>
      <c r="B1291" s="3" t="str">
        <f t="shared" si="200"/>
        <v>TNF-alpha</v>
      </c>
      <c r="C1291" s="3" t="str">
        <f t="shared" si="201"/>
        <v>TNF</v>
      </c>
      <c r="D1291" s="3" t="str">
        <f t="shared" si="202"/>
        <v>TNFA_HUMAN</v>
      </c>
      <c r="E1291" s="2" t="s">
        <v>21</v>
      </c>
      <c r="F1291" s="3" t="str">
        <f t="shared" si="203"/>
        <v>Tumor necrosis factor</v>
      </c>
      <c r="G1291" s="4" t="str">
        <f t="shared" si="205"/>
        <v>Infliximab</v>
      </c>
      <c r="H1291" s="3" t="str">
        <f>HYPERLINK("https://www.cortellis.com/drugdiscovery/entity/biomarkers/37520","4-protein bacteremia panel")</f>
        <v>4-protein bacteremia panel</v>
      </c>
      <c r="I1291" s="2" t="s">
        <v>23</v>
      </c>
      <c r="J1291" s="2" t="s">
        <v>17</v>
      </c>
      <c r="K1291" s="4" t="str">
        <f>HYPERLINK("https://www.cortellis.com/drugdiscovery/result/proxy/related-content/biomarkers/genestargets/37520","tumor necrosis factor")</f>
        <v>tumor necrosis factor</v>
      </c>
    </row>
    <row r="1292" spans="1:11" ht="60" customHeight="1" x14ac:dyDescent="0.2">
      <c r="A1292" s="2">
        <v>1289</v>
      </c>
      <c r="B1292" s="3" t="str">
        <f t="shared" si="200"/>
        <v>TNF-alpha</v>
      </c>
      <c r="C1292" s="3" t="str">
        <f t="shared" si="201"/>
        <v>TNF</v>
      </c>
      <c r="D1292" s="3" t="str">
        <f t="shared" si="202"/>
        <v>TNFA_HUMAN</v>
      </c>
      <c r="E1292" s="2" t="s">
        <v>21</v>
      </c>
      <c r="F1292" s="3" t="str">
        <f t="shared" si="203"/>
        <v>Tumor necrosis factor</v>
      </c>
      <c r="G1292" s="4" t="str">
        <f t="shared" si="205"/>
        <v>Infliximab</v>
      </c>
      <c r="H1292" s="3" t="str">
        <f>HYPERLINK("https://www.cortellis.com/drugdiscovery/entity/biomarkers/43870","17-genomic 14-protein 3-biochemical irritable bowel syndrome panel")</f>
        <v>17-genomic 14-protein 3-biochemical irritable bowel syndrome panel</v>
      </c>
      <c r="I1292" s="2" t="s">
        <v>52</v>
      </c>
      <c r="J1292" s="2" t="s">
        <v>53</v>
      </c>
      <c r="K1292" s="4" t="str">
        <f>HYPERLINK("https://www.cortellis.com/drugdiscovery/result/proxy/related-content/biomarkers/genestargets/43870","interleukin 12B; tumor necrosis factor")</f>
        <v>interleukin 12B; tumor necrosis factor</v>
      </c>
    </row>
    <row r="1293" spans="1:11" ht="60" customHeight="1" x14ac:dyDescent="0.2">
      <c r="A1293" s="2">
        <v>1290</v>
      </c>
      <c r="B1293" s="3" t="str">
        <f t="shared" si="200"/>
        <v>TNF-alpha</v>
      </c>
      <c r="C1293" s="3" t="str">
        <f t="shared" si="201"/>
        <v>TNF</v>
      </c>
      <c r="D1293" s="3" t="str">
        <f t="shared" si="202"/>
        <v>TNFA_HUMAN</v>
      </c>
      <c r="E1293" s="2" t="s">
        <v>21</v>
      </c>
      <c r="F1293" s="3" t="str">
        <f t="shared" si="203"/>
        <v>Tumor necrosis factor</v>
      </c>
      <c r="G1293" s="4" t="str">
        <f t="shared" si="205"/>
        <v>Infliximab</v>
      </c>
      <c r="H1293" s="3" t="str">
        <f>HYPERLINK("https://www.cortellis.com/drugdiscovery/entity/biomarkers/46842","7-protein non small cell lung cancer panel")</f>
        <v>7-protein non small cell lung cancer panel</v>
      </c>
      <c r="I1293" s="2" t="s">
        <v>23</v>
      </c>
      <c r="J1293" s="2" t="s">
        <v>17</v>
      </c>
      <c r="K1293" s="4" t="str">
        <f>HYPERLINK("https://www.cortellis.com/drugdiscovery/result/proxy/related-content/biomarkers/genestargets/46842","tumor necrosis factor")</f>
        <v>tumor necrosis factor</v>
      </c>
    </row>
    <row r="1294" spans="1:11" ht="60" customHeight="1" x14ac:dyDescent="0.2">
      <c r="A1294" s="2">
        <v>1291</v>
      </c>
      <c r="B1294" s="3" t="str">
        <f t="shared" si="200"/>
        <v>TNF-alpha</v>
      </c>
      <c r="C1294" s="3" t="str">
        <f t="shared" si="201"/>
        <v>TNF</v>
      </c>
      <c r="D1294" s="3" t="str">
        <f t="shared" si="202"/>
        <v>TNFA_HUMAN</v>
      </c>
      <c r="E1294" s="2" t="s">
        <v>21</v>
      </c>
      <c r="F1294" s="3" t="str">
        <f t="shared" si="203"/>
        <v>Tumor necrosis factor</v>
      </c>
      <c r="G1294" s="4" t="str">
        <f t="shared" si="205"/>
        <v>Infliximab</v>
      </c>
      <c r="H1294" s="3" t="str">
        <f>HYPERLINK("https://www.cortellis.com/drugdiscovery/entity/biomarkers/50816","10-gene lyme disease panel")</f>
        <v>10-gene lyme disease panel</v>
      </c>
      <c r="I1294" s="2" t="s">
        <v>23</v>
      </c>
      <c r="J1294" s="2" t="s">
        <v>15</v>
      </c>
      <c r="K1294" s="4" t="str">
        <f>HYPERLINK("https://www.cortellis.com/drugdiscovery/result/proxy/related-content/biomarkers/genestargets/50816","C-C motif chemokine ligand 2; interferon gamma; tumor necrosis factor")</f>
        <v>C-C motif chemokine ligand 2; interferon gamma; tumor necrosis factor</v>
      </c>
    </row>
    <row r="1295" spans="1:11" ht="60" customHeight="1" x14ac:dyDescent="0.2">
      <c r="A1295" s="2">
        <v>1292</v>
      </c>
      <c r="B1295" s="3" t="str">
        <f t="shared" si="200"/>
        <v>TNF-alpha</v>
      </c>
      <c r="C1295" s="3" t="str">
        <f t="shared" si="201"/>
        <v>TNF</v>
      </c>
      <c r="D1295" s="3" t="str">
        <f t="shared" si="202"/>
        <v>TNFA_HUMAN</v>
      </c>
      <c r="E1295" s="2" t="s">
        <v>21</v>
      </c>
      <c r="F1295" s="3" t="str">
        <f t="shared" si="203"/>
        <v>Tumor necrosis factor</v>
      </c>
      <c r="G1295" s="4" t="str">
        <f t="shared" si="205"/>
        <v>Infliximab</v>
      </c>
      <c r="H1295" s="3" t="str">
        <f>HYPERLINK("https://www.cortellis.com/drugdiscovery/entity/biomarkers/50817","11-gene lyme disease panel")</f>
        <v>11-gene lyme disease panel</v>
      </c>
      <c r="I1295" s="2" t="s">
        <v>23</v>
      </c>
      <c r="J1295" s="2" t="s">
        <v>15</v>
      </c>
      <c r="K1295" s="4" t="str">
        <f>HYPERLINK("https://www.cortellis.com/drugdiscovery/result/proxy/related-content/biomarkers/genestargets/50817","C-C motif chemokine ligand 2; interferon gamma; tumor necrosis factor")</f>
        <v>C-C motif chemokine ligand 2; interferon gamma; tumor necrosis factor</v>
      </c>
    </row>
    <row r="1296" spans="1:11" ht="60" customHeight="1" x14ac:dyDescent="0.2">
      <c r="A1296" s="2">
        <v>1293</v>
      </c>
      <c r="B1296" s="3" t="str">
        <f t="shared" si="200"/>
        <v>TNF-alpha</v>
      </c>
      <c r="C1296" s="3" t="str">
        <f t="shared" si="201"/>
        <v>TNF</v>
      </c>
      <c r="D1296" s="3" t="str">
        <f t="shared" si="202"/>
        <v>TNFA_HUMAN</v>
      </c>
      <c r="E1296" s="2" t="s">
        <v>21</v>
      </c>
      <c r="F1296" s="3" t="str">
        <f t="shared" si="203"/>
        <v>Tumor necrosis factor</v>
      </c>
      <c r="G1296" s="4" t="str">
        <f t="shared" si="205"/>
        <v>Infliximab</v>
      </c>
      <c r="H1296" s="3" t="str">
        <f>HYPERLINK("https://www.cortellis.com/drugdiscovery/entity/biomarkers/50818","12 protein Lyme disease panel")</f>
        <v>12 protein Lyme disease panel</v>
      </c>
      <c r="I1296" s="2" t="s">
        <v>23</v>
      </c>
      <c r="J1296" s="2" t="s">
        <v>17</v>
      </c>
      <c r="K1296" s="4" t="str">
        <f>HYPERLINK("https://www.cortellis.com/drugdiscovery/result/proxy/related-content/biomarkers/genestargets/50818","C-C motif chemokine ligand 2; interferon gamma; tumor necrosis factor")</f>
        <v>C-C motif chemokine ligand 2; interferon gamma; tumor necrosis factor</v>
      </c>
    </row>
    <row r="1297" spans="1:11" ht="60" customHeight="1" x14ac:dyDescent="0.2">
      <c r="A1297" s="2">
        <v>1294</v>
      </c>
      <c r="B1297" s="3" t="str">
        <f t="shared" si="200"/>
        <v>TNF-alpha</v>
      </c>
      <c r="C1297" s="3" t="str">
        <f t="shared" si="201"/>
        <v>TNF</v>
      </c>
      <c r="D1297" s="3" t="str">
        <f t="shared" si="202"/>
        <v>TNFA_HUMAN</v>
      </c>
      <c r="E1297" s="2" t="s">
        <v>21</v>
      </c>
      <c r="F1297" s="3" t="str">
        <f t="shared" si="203"/>
        <v>Tumor necrosis factor</v>
      </c>
      <c r="G1297" s="4" t="str">
        <f t="shared" si="205"/>
        <v>Infliximab</v>
      </c>
      <c r="H1297" s="3" t="str">
        <f>HYPERLINK("https://www.cortellis.com/drugdiscovery/entity/biomarkers/51292","37-gene expression major depression panel")</f>
        <v>37-gene expression major depression panel</v>
      </c>
      <c r="I1297" s="2" t="s">
        <v>23</v>
      </c>
      <c r="J1297" s="2" t="s">
        <v>19</v>
      </c>
      <c r="K1297" s="4" t="str">
        <f>HYPERLINK("https://www.cortellis.com/drugdiscovery/result/proxy/related-content/biomarkers/genestargets/51292","C-C motif chemokine ligand 2; tumor necrosis factor")</f>
        <v>C-C motif chemokine ligand 2; tumor necrosis factor</v>
      </c>
    </row>
    <row r="1298" spans="1:11" ht="60" customHeight="1" x14ac:dyDescent="0.2">
      <c r="A1298" s="2">
        <v>1295</v>
      </c>
      <c r="B1298" s="3" t="str">
        <f t="shared" si="200"/>
        <v>TNF-alpha</v>
      </c>
      <c r="C1298" s="3" t="str">
        <f t="shared" si="201"/>
        <v>TNF</v>
      </c>
      <c r="D1298" s="3" t="str">
        <f t="shared" si="202"/>
        <v>TNFA_HUMAN</v>
      </c>
      <c r="E1298" s="2" t="s">
        <v>21</v>
      </c>
      <c r="F1298" s="3" t="str">
        <f t="shared" si="203"/>
        <v>Tumor necrosis factor</v>
      </c>
      <c r="G1298" s="4" t="str">
        <f t="shared" si="205"/>
        <v>Infliximab</v>
      </c>
      <c r="H1298" s="3" t="str">
        <f>HYPERLINK("https://www.cortellis.com/drugdiscovery/entity/biomarkers/57224","21-protein mild cognitive impairment panel")</f>
        <v>21-protein mild cognitive impairment panel</v>
      </c>
      <c r="I1298" s="2" t="s">
        <v>23</v>
      </c>
      <c r="J1298" s="2" t="s">
        <v>19</v>
      </c>
      <c r="K1298" s="4" t="str">
        <f>HYPERLINK("https://www.cortellis.com/drugdiscovery/result/proxy/related-content/biomarkers/genestargets/57224","interleukin 7; tenascin C; tumor necrosis factor")</f>
        <v>interleukin 7; tenascin C; tumor necrosis factor</v>
      </c>
    </row>
    <row r="1299" spans="1:11" ht="60" customHeight="1" x14ac:dyDescent="0.2">
      <c r="A1299" s="2">
        <v>1296</v>
      </c>
      <c r="B1299" s="3" t="str">
        <f t="shared" si="200"/>
        <v>TNF-alpha</v>
      </c>
      <c r="C1299" s="3" t="str">
        <f t="shared" si="201"/>
        <v>TNF</v>
      </c>
      <c r="D1299" s="3" t="str">
        <f t="shared" si="202"/>
        <v>TNFA_HUMAN</v>
      </c>
      <c r="E1299" s="2" t="s">
        <v>21</v>
      </c>
      <c r="F1299" s="3" t="str">
        <f t="shared" si="203"/>
        <v>Tumor necrosis factor</v>
      </c>
      <c r="G1299" s="4" t="str">
        <f t="shared" si="205"/>
        <v>Infliximab</v>
      </c>
      <c r="H1299" s="3" t="str">
        <f>HYPERLINK("https://www.cortellis.com/drugdiscovery/entity/biomarkers/57250","9-protein non-muscle invasive bladder cancer panel")</f>
        <v>9-protein non-muscle invasive bladder cancer panel</v>
      </c>
      <c r="I1299" s="2" t="s">
        <v>18</v>
      </c>
      <c r="J1299" s="2" t="s">
        <v>17</v>
      </c>
      <c r="K1299" s="4" t="str">
        <f>HYPERLINK("https://www.cortellis.com/drugdiscovery/result/proxy/related-content/biomarkers/genestargets/57250","interferon gamma; interleukin 12B; tumor necrosis factor")</f>
        <v>interferon gamma; interleukin 12B; tumor necrosis factor</v>
      </c>
    </row>
    <row r="1300" spans="1:11" ht="60" customHeight="1" x14ac:dyDescent="0.2">
      <c r="A1300" s="2">
        <v>1297</v>
      </c>
      <c r="B1300" s="3" t="str">
        <f t="shared" si="200"/>
        <v>TNF-alpha</v>
      </c>
      <c r="C1300" s="3" t="str">
        <f t="shared" si="201"/>
        <v>TNF</v>
      </c>
      <c r="D1300" s="3" t="str">
        <f t="shared" si="202"/>
        <v>TNFA_HUMAN</v>
      </c>
      <c r="E1300" s="2" t="s">
        <v>21</v>
      </c>
      <c r="F1300" s="3" t="str">
        <f t="shared" si="203"/>
        <v>Tumor necrosis factor</v>
      </c>
      <c r="G1300" s="4" t="str">
        <f t="shared" si="205"/>
        <v>Infliximab</v>
      </c>
      <c r="H1300" s="3" t="str">
        <f>HYPERLINK("https://www.cortellis.com/drugdiscovery/entity/biomarkers/62155","19-protein rhegmatogenous retinal detachment panel")</f>
        <v>19-protein rhegmatogenous retinal detachment panel</v>
      </c>
      <c r="I1300" s="2" t="s">
        <v>24</v>
      </c>
      <c r="J1300" s="2" t="s">
        <v>17</v>
      </c>
      <c r="K1300" s="4" t="str">
        <f>HYPERLINK("https://www.cortellis.com/drugdiscovery/result/proxy/related-content/biomarkers/genestargets/62155","C-C motif chemokine ligand 2; interleukin 12B; tumor necrosis factor")</f>
        <v>C-C motif chemokine ligand 2; interleukin 12B; tumor necrosis factor</v>
      </c>
    </row>
    <row r="1301" spans="1:11" ht="60" customHeight="1" x14ac:dyDescent="0.2">
      <c r="A1301" s="2">
        <v>1298</v>
      </c>
      <c r="B1301" s="3" t="str">
        <f t="shared" si="200"/>
        <v>TNF-alpha</v>
      </c>
      <c r="C1301" s="3" t="str">
        <f t="shared" si="201"/>
        <v>TNF</v>
      </c>
      <c r="D1301" s="3" t="str">
        <f t="shared" si="202"/>
        <v>TNFA_HUMAN</v>
      </c>
      <c r="E1301" s="2" t="s">
        <v>21</v>
      </c>
      <c r="F1301" s="3" t="str">
        <f t="shared" si="203"/>
        <v>Tumor necrosis factor</v>
      </c>
      <c r="G1301" s="4" t="str">
        <f t="shared" si="205"/>
        <v>Infliximab</v>
      </c>
      <c r="H1301" s="3" t="str">
        <f>HYPERLINK("https://www.cortellis.com/drugdiscovery/entity/biomarkers/62663","9-protein immunological disorders panel")</f>
        <v>9-protein immunological disorders panel</v>
      </c>
      <c r="I1301" s="2" t="s">
        <v>24</v>
      </c>
      <c r="J1301" s="2" t="s">
        <v>17</v>
      </c>
      <c r="K1301" s="4" t="str">
        <f>HYPERLINK("https://www.cortellis.com/drugdiscovery/result/proxy/related-content/biomarkers/genestargets/62663","C-C motif chemokine ligand 2; interferon gamma; tumor necrosis factor")</f>
        <v>C-C motif chemokine ligand 2; interferon gamma; tumor necrosis factor</v>
      </c>
    </row>
    <row r="1302" spans="1:11" ht="60" customHeight="1" x14ac:dyDescent="0.2">
      <c r="A1302" s="2">
        <v>1299</v>
      </c>
      <c r="B1302" s="3" t="str">
        <f t="shared" si="200"/>
        <v>TNF-alpha</v>
      </c>
      <c r="C1302" s="3" t="str">
        <f t="shared" si="201"/>
        <v>TNF</v>
      </c>
      <c r="D1302" s="3" t="str">
        <f t="shared" si="202"/>
        <v>TNFA_HUMAN</v>
      </c>
      <c r="E1302" s="2" t="s">
        <v>21</v>
      </c>
      <c r="F1302" s="3" t="str">
        <f t="shared" si="203"/>
        <v>Tumor necrosis factor</v>
      </c>
      <c r="G1302" s="4" t="str">
        <f t="shared" si="205"/>
        <v>Infliximab</v>
      </c>
      <c r="H1302" s="3" t="str">
        <f>HYPERLINK("https://www.cortellis.com/drugdiscovery/entity/biomarkers/62730","7-protein Alzheimer's disease panel")</f>
        <v>7-protein Alzheimer's disease panel</v>
      </c>
      <c r="I1302" s="2" t="s">
        <v>23</v>
      </c>
      <c r="J1302" s="2" t="s">
        <v>17</v>
      </c>
      <c r="K1302" s="4" t="str">
        <f>HYPERLINK("https://www.cortellis.com/drugdiscovery/result/proxy/related-content/biomarkers/genestargets/62730","tumor necrosis factor")</f>
        <v>tumor necrosis factor</v>
      </c>
    </row>
    <row r="1303" spans="1:11" ht="60" customHeight="1" x14ac:dyDescent="0.2">
      <c r="A1303" s="2">
        <v>1300</v>
      </c>
      <c r="B1303" s="3" t="str">
        <f t="shared" si="200"/>
        <v>TNF-alpha</v>
      </c>
      <c r="C1303" s="3" t="str">
        <f t="shared" si="201"/>
        <v>TNF</v>
      </c>
      <c r="D1303" s="3" t="str">
        <f t="shared" si="202"/>
        <v>TNFA_HUMAN</v>
      </c>
      <c r="E1303" s="2" t="s">
        <v>21</v>
      </c>
      <c r="F1303" s="3" t="str">
        <f t="shared" si="203"/>
        <v>Tumor necrosis factor</v>
      </c>
      <c r="G1303" s="4" t="str">
        <f t="shared" si="205"/>
        <v>Infliximab</v>
      </c>
      <c r="H1303" s="3" t="str">
        <f>HYPERLINK("https://www.cortellis.com/drugdiscovery/entity/biomarkers/62746","5-protein renal disorder panel")</f>
        <v>5-protein renal disorder panel</v>
      </c>
      <c r="I1303" s="2" t="s">
        <v>25</v>
      </c>
      <c r="J1303" s="2" t="s">
        <v>17</v>
      </c>
      <c r="K1303" s="4" t="str">
        <f>HYPERLINK("https://www.cortellis.com/drugdiscovery/result/proxy/related-content/biomarkers/genestargets/62746","tumor necrosis factor")</f>
        <v>tumor necrosis factor</v>
      </c>
    </row>
    <row r="1304" spans="1:11" ht="60" customHeight="1" x14ac:dyDescent="0.2">
      <c r="A1304" s="2">
        <v>1301</v>
      </c>
      <c r="B1304" s="3" t="str">
        <f t="shared" si="200"/>
        <v>TNF-alpha</v>
      </c>
      <c r="C1304" s="3" t="str">
        <f t="shared" si="201"/>
        <v>TNF</v>
      </c>
      <c r="D1304" s="3" t="str">
        <f t="shared" si="202"/>
        <v>TNFA_HUMAN</v>
      </c>
      <c r="E1304" s="2" t="s">
        <v>21</v>
      </c>
      <c r="F1304" s="3" t="str">
        <f t="shared" si="203"/>
        <v>Tumor necrosis factor</v>
      </c>
      <c r="G1304" s="4" t="str">
        <f t="shared" si="205"/>
        <v>Infliximab</v>
      </c>
      <c r="H1304" s="3" t="str">
        <f>HYPERLINK("https://www.cortellis.com/drugdiscovery/entity/biomarkers/65259","22-gene expression hepatocellular carcinoma panel")</f>
        <v>22-gene expression hepatocellular carcinoma panel</v>
      </c>
      <c r="I1304" s="2" t="s">
        <v>25</v>
      </c>
      <c r="J1304" s="2" t="s">
        <v>19</v>
      </c>
      <c r="K1304" s="4" t="str">
        <f>HYPERLINK("https://www.cortellis.com/drugdiscovery/result/proxy/related-content/biomarkers/genestargets/65259","tumor necrosis factor")</f>
        <v>tumor necrosis factor</v>
      </c>
    </row>
    <row r="1305" spans="1:11" ht="60" customHeight="1" x14ac:dyDescent="0.2">
      <c r="A1305" s="2">
        <v>1302</v>
      </c>
      <c r="B1305" s="3" t="str">
        <f t="shared" si="200"/>
        <v>TNF-alpha</v>
      </c>
      <c r="C1305" s="3" t="str">
        <f t="shared" si="201"/>
        <v>TNF</v>
      </c>
      <c r="D1305" s="3" t="str">
        <f t="shared" si="202"/>
        <v>TNFA_HUMAN</v>
      </c>
      <c r="E1305" s="2" t="s">
        <v>21</v>
      </c>
      <c r="F1305" s="3" t="str">
        <f t="shared" si="203"/>
        <v>Tumor necrosis factor</v>
      </c>
      <c r="G1305" s="4" t="str">
        <f t="shared" ref="G1305:G1331" si="206">HYPERLINK("https://portal.genego.com/cgi/entity_page.cgi?term=7&amp;id=1913460306","AME527")</f>
        <v>AME527</v>
      </c>
      <c r="H1305" s="3" t="str">
        <f>HYPERLINK("https://www.cortellis.com/drugdiscovery/entity/biomarkers/274","Tumor necrosis factor")</f>
        <v>Tumor necrosis factor</v>
      </c>
      <c r="I1305" s="2" t="s">
        <v>22</v>
      </c>
      <c r="J1305" s="2" t="s">
        <v>15</v>
      </c>
      <c r="K1305" s="4" t="str">
        <f>HYPERLINK("https://www.cortellis.com/drugdiscovery/result/proxy/related-content/biomarkers/genestargets/274","tumor necrosis factor")</f>
        <v>tumor necrosis factor</v>
      </c>
    </row>
    <row r="1306" spans="1:11" ht="60" customHeight="1" x14ac:dyDescent="0.2">
      <c r="A1306" s="2">
        <v>1303</v>
      </c>
      <c r="B1306" s="3" t="str">
        <f t="shared" si="200"/>
        <v>TNF-alpha</v>
      </c>
      <c r="C1306" s="3" t="str">
        <f t="shared" si="201"/>
        <v>TNF</v>
      </c>
      <c r="D1306" s="3" t="str">
        <f t="shared" si="202"/>
        <v>TNFA_HUMAN</v>
      </c>
      <c r="E1306" s="2" t="s">
        <v>21</v>
      </c>
      <c r="F1306" s="3" t="str">
        <f t="shared" si="203"/>
        <v>Tumor necrosis factor</v>
      </c>
      <c r="G1306" s="4" t="str">
        <f t="shared" si="206"/>
        <v>AME527</v>
      </c>
      <c r="H1306" s="3" t="str">
        <f>HYPERLINK("https://www.cortellis.com/drugdiscovery/entity/biomarkers/27598","89-protein neurological alzheimer's panel")</f>
        <v>89-protein neurological alzheimer's panel</v>
      </c>
      <c r="I1306" s="2" t="s">
        <v>23</v>
      </c>
      <c r="J1306" s="2" t="s">
        <v>17</v>
      </c>
      <c r="K1306"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307" spans="1:11" ht="60" customHeight="1" x14ac:dyDescent="0.2">
      <c r="A1307" s="2">
        <v>1304</v>
      </c>
      <c r="B1307" s="3" t="str">
        <f t="shared" si="200"/>
        <v>TNF-alpha</v>
      </c>
      <c r="C1307" s="3" t="str">
        <f t="shared" si="201"/>
        <v>TNF</v>
      </c>
      <c r="D1307" s="3" t="str">
        <f t="shared" si="202"/>
        <v>TNFA_HUMAN</v>
      </c>
      <c r="E1307" s="2" t="s">
        <v>21</v>
      </c>
      <c r="F1307" s="3" t="str">
        <f t="shared" si="203"/>
        <v>Tumor necrosis factor</v>
      </c>
      <c r="G1307" s="4" t="str">
        <f t="shared" si="206"/>
        <v>AME527</v>
      </c>
      <c r="H1307" s="3" t="str">
        <f>HYPERLINK("https://www.cortellis.com/drugdiscovery/entity/biomarkers/27640","5-protein alzheimer's panel")</f>
        <v>5-protein alzheimer's panel</v>
      </c>
      <c r="I1307" s="2" t="s">
        <v>23</v>
      </c>
      <c r="J1307" s="2" t="s">
        <v>17</v>
      </c>
      <c r="K1307" s="4" t="str">
        <f>HYPERLINK("https://www.cortellis.com/drugdiscovery/result/proxy/related-content/biomarkers/genestargets/27640","tumor necrosis factor")</f>
        <v>tumor necrosis factor</v>
      </c>
    </row>
    <row r="1308" spans="1:11" ht="60" customHeight="1" x14ac:dyDescent="0.2">
      <c r="A1308" s="2">
        <v>1305</v>
      </c>
      <c r="B1308" s="3" t="str">
        <f t="shared" si="200"/>
        <v>TNF-alpha</v>
      </c>
      <c r="C1308" s="3" t="str">
        <f t="shared" si="201"/>
        <v>TNF</v>
      </c>
      <c r="D1308" s="3" t="str">
        <f t="shared" si="202"/>
        <v>TNFA_HUMAN</v>
      </c>
      <c r="E1308" s="2" t="s">
        <v>21</v>
      </c>
      <c r="F1308" s="3" t="str">
        <f t="shared" si="203"/>
        <v>Tumor necrosis factor</v>
      </c>
      <c r="G1308" s="4" t="str">
        <f t="shared" si="206"/>
        <v>AME527</v>
      </c>
      <c r="H1308" s="3" t="str">
        <f>HYPERLINK("https://www.cortellis.com/drugdiscovery/entity/biomarkers/27734","6-protein lung cancer panel")</f>
        <v>6-protein lung cancer panel</v>
      </c>
      <c r="I1308" s="2" t="s">
        <v>23</v>
      </c>
      <c r="J1308" s="2" t="s">
        <v>17</v>
      </c>
      <c r="K1308" s="4" t="str">
        <f>HYPERLINK("https://www.cortellis.com/drugdiscovery/result/proxy/related-content/biomarkers/genestargets/27734","interferon gamma; tumor necrosis factor")</f>
        <v>interferon gamma; tumor necrosis factor</v>
      </c>
    </row>
    <row r="1309" spans="1:11" ht="60" customHeight="1" x14ac:dyDescent="0.2">
      <c r="A1309" s="2">
        <v>1306</v>
      </c>
      <c r="B1309" s="3" t="str">
        <f t="shared" si="200"/>
        <v>TNF-alpha</v>
      </c>
      <c r="C1309" s="3" t="str">
        <f t="shared" si="201"/>
        <v>TNF</v>
      </c>
      <c r="D1309" s="3" t="str">
        <f t="shared" si="202"/>
        <v>TNFA_HUMAN</v>
      </c>
      <c r="E1309" s="2" t="s">
        <v>21</v>
      </c>
      <c r="F1309" s="3" t="str">
        <f t="shared" si="203"/>
        <v>Tumor necrosis factor</v>
      </c>
      <c r="G1309" s="4" t="str">
        <f t="shared" si="206"/>
        <v>AME527</v>
      </c>
      <c r="H1309" s="3" t="str">
        <f>HYPERLINK("https://www.cortellis.com/drugdiscovery/entity/biomarkers/28148","11-gene expression lung cancer panel")</f>
        <v>11-gene expression lung cancer panel</v>
      </c>
      <c r="I1309" s="2" t="s">
        <v>25</v>
      </c>
      <c r="J1309" s="2" t="s">
        <v>19</v>
      </c>
      <c r="K1309" s="4" t="str">
        <f>HYPERLINK("https://www.cortellis.com/drugdiscovery/result/proxy/related-content/biomarkers/genestargets/28148","interferon gamma; interleukin 15; tumor necrosis factor")</f>
        <v>interferon gamma; interleukin 15; tumor necrosis factor</v>
      </c>
    </row>
    <row r="1310" spans="1:11" ht="60" customHeight="1" x14ac:dyDescent="0.2">
      <c r="A1310" s="2">
        <v>1307</v>
      </c>
      <c r="B1310" s="3" t="str">
        <f t="shared" si="200"/>
        <v>TNF-alpha</v>
      </c>
      <c r="C1310" s="3" t="str">
        <f t="shared" si="201"/>
        <v>TNF</v>
      </c>
      <c r="D1310" s="3" t="str">
        <f t="shared" si="202"/>
        <v>TNFA_HUMAN</v>
      </c>
      <c r="E1310" s="2" t="s">
        <v>21</v>
      </c>
      <c r="F1310" s="3" t="str">
        <f t="shared" si="203"/>
        <v>Tumor necrosis factor</v>
      </c>
      <c r="G1310" s="4" t="str">
        <f t="shared" si="206"/>
        <v>AME527</v>
      </c>
      <c r="H1310" s="3" t="str">
        <f>HYPERLINK("https://www.cortellis.com/drugdiscovery/entity/biomarkers/28647","15-gene expression lung cancer panel")</f>
        <v>15-gene expression lung cancer panel</v>
      </c>
      <c r="I1310" s="2" t="s">
        <v>20</v>
      </c>
      <c r="J1310" s="2" t="s">
        <v>19</v>
      </c>
      <c r="K1310" s="4" t="str">
        <f>HYPERLINK("https://www.cortellis.com/drugdiscovery/result/proxy/related-content/biomarkers/genestargets/28647","interferon gamma; interleukin 15; tumor necrosis factor")</f>
        <v>interferon gamma; interleukin 15; tumor necrosis factor</v>
      </c>
    </row>
    <row r="1311" spans="1:11" ht="60" customHeight="1" x14ac:dyDescent="0.2">
      <c r="A1311" s="2">
        <v>1308</v>
      </c>
      <c r="B1311" s="3" t="str">
        <f t="shared" ref="B1311:B1358" si="207">HYPERLINK("https://portal.genego.com/cgi/entity_page.cgi?term=100&amp;id=4487","TNF-alpha")</f>
        <v>TNF-alpha</v>
      </c>
      <c r="C1311" s="3" t="str">
        <f t="shared" ref="C1311:C1358" si="208">HYPERLINK("https://portal.genego.com/cgi/entity_page.cgi?term=20&amp;id=-1163959157","TNF")</f>
        <v>TNF</v>
      </c>
      <c r="D1311" s="3" t="str">
        <f t="shared" ref="D1311:D1358" si="209">HYPERLINK("https://portal.genego.com/cgi/entity_page.cgi?term=7&amp;id=2020057249","TNFA_HUMAN")</f>
        <v>TNFA_HUMAN</v>
      </c>
      <c r="E1311" s="2" t="s">
        <v>21</v>
      </c>
      <c r="F1311" s="3" t="str">
        <f t="shared" ref="F1311:F1358" si="210">HYPERLINK("https://portal.genego.com/cgi/entity_page.cgi?term=100&amp;id=4487","Tumor necrosis factor")</f>
        <v>Tumor necrosis factor</v>
      </c>
      <c r="G1311" s="4" t="str">
        <f t="shared" si="206"/>
        <v>AME527</v>
      </c>
      <c r="H1311" s="3" t="str">
        <f>HYPERLINK("https://www.cortellis.com/drugdiscovery/entity/biomarkers/29676","277-gene expression lung cancer panel")</f>
        <v>277-gene expression lung cancer panel</v>
      </c>
      <c r="I1311" s="2" t="s">
        <v>25</v>
      </c>
      <c r="J1311" s="2" t="s">
        <v>19</v>
      </c>
      <c r="K1311" s="4" t="str">
        <f>HYPERLINK("https://www.cortellis.com/drugdiscovery/result/proxy/related-content/biomarkers/genestargets/29676","cyclin D1; tumor necrosis factor")</f>
        <v>cyclin D1; tumor necrosis factor</v>
      </c>
    </row>
    <row r="1312" spans="1:11" ht="60" customHeight="1" x14ac:dyDescent="0.2">
      <c r="A1312" s="2">
        <v>1309</v>
      </c>
      <c r="B1312" s="3" t="str">
        <f t="shared" si="207"/>
        <v>TNF-alpha</v>
      </c>
      <c r="C1312" s="3" t="str">
        <f t="shared" si="208"/>
        <v>TNF</v>
      </c>
      <c r="D1312" s="3" t="str">
        <f t="shared" si="209"/>
        <v>TNFA_HUMAN</v>
      </c>
      <c r="E1312" s="2" t="s">
        <v>21</v>
      </c>
      <c r="F1312" s="3" t="str">
        <f t="shared" si="210"/>
        <v>Tumor necrosis factor</v>
      </c>
      <c r="G1312" s="4" t="str">
        <f t="shared" si="206"/>
        <v>AME527</v>
      </c>
      <c r="H1312" s="3" t="str">
        <f>HYPERLINK("https://www.cortellis.com/drugdiscovery/entity/biomarkers/30768","11-protein cardiovascular panel")</f>
        <v>11-protein cardiovascular panel</v>
      </c>
      <c r="I1312" s="2" t="s">
        <v>23</v>
      </c>
      <c r="J1312" s="2" t="s">
        <v>17</v>
      </c>
      <c r="K1312" s="4" t="str">
        <f>HYPERLINK("https://www.cortellis.com/drugdiscovery/result/proxy/related-content/biomarkers/genestargets/30768","interferon gamma; interleukin 12B; tumor necrosis factor")</f>
        <v>interferon gamma; interleukin 12B; tumor necrosis factor</v>
      </c>
    </row>
    <row r="1313" spans="1:11" ht="60" customHeight="1" x14ac:dyDescent="0.2">
      <c r="A1313" s="2">
        <v>1310</v>
      </c>
      <c r="B1313" s="3" t="str">
        <f t="shared" si="207"/>
        <v>TNF-alpha</v>
      </c>
      <c r="C1313" s="3" t="str">
        <f t="shared" si="208"/>
        <v>TNF</v>
      </c>
      <c r="D1313" s="3" t="str">
        <f t="shared" si="209"/>
        <v>TNFA_HUMAN</v>
      </c>
      <c r="E1313" s="2" t="s">
        <v>21</v>
      </c>
      <c r="F1313" s="3" t="str">
        <f t="shared" si="210"/>
        <v>Tumor necrosis factor</v>
      </c>
      <c r="G1313" s="4" t="str">
        <f t="shared" si="206"/>
        <v>AME527</v>
      </c>
      <c r="H1313" s="3" t="str">
        <f>HYPERLINK("https://www.cortellis.com/drugdiscovery/entity/biomarkers/34385","30-protein alzheimer's panel")</f>
        <v>30-protein alzheimer's panel</v>
      </c>
      <c r="I1313" s="2" t="s">
        <v>23</v>
      </c>
      <c r="J1313" s="2" t="s">
        <v>17</v>
      </c>
      <c r="K1313" s="4" t="str">
        <f>HYPERLINK("https://www.cortellis.com/drugdiscovery/result/proxy/related-content/biomarkers/genestargets/34385","C-C motif chemokine ligand 2; interleukin 7; tenascin C; tumor necrosis factor")</f>
        <v>C-C motif chemokine ligand 2; interleukin 7; tenascin C; tumor necrosis factor</v>
      </c>
    </row>
    <row r="1314" spans="1:11" ht="60" customHeight="1" x14ac:dyDescent="0.2">
      <c r="A1314" s="2">
        <v>1311</v>
      </c>
      <c r="B1314" s="3" t="str">
        <f t="shared" si="207"/>
        <v>TNF-alpha</v>
      </c>
      <c r="C1314" s="3" t="str">
        <f t="shared" si="208"/>
        <v>TNF</v>
      </c>
      <c r="D1314" s="3" t="str">
        <f t="shared" si="209"/>
        <v>TNFA_HUMAN</v>
      </c>
      <c r="E1314" s="2" t="s">
        <v>21</v>
      </c>
      <c r="F1314" s="3" t="str">
        <f t="shared" si="210"/>
        <v>Tumor necrosis factor</v>
      </c>
      <c r="G1314" s="4" t="str">
        <f t="shared" si="206"/>
        <v>AME527</v>
      </c>
      <c r="H1314" s="3" t="str">
        <f>HYPERLINK("https://www.cortellis.com/drugdiscovery/entity/biomarkers/34437","3-protein 3-autoantibody lung cancer panel")</f>
        <v>3-protein 3-autoantibody lung cancer panel</v>
      </c>
      <c r="I1314" s="2" t="s">
        <v>23</v>
      </c>
      <c r="J1314" s="2" t="s">
        <v>17</v>
      </c>
      <c r="K1314" s="4" t="str">
        <f>HYPERLINK("https://www.cortellis.com/drugdiscovery/result/proxy/related-content/biomarkers/genestargets/34437","tumor necrosis factor")</f>
        <v>tumor necrosis factor</v>
      </c>
    </row>
    <row r="1315" spans="1:11" ht="60" customHeight="1" x14ac:dyDescent="0.2">
      <c r="A1315" s="2">
        <v>1312</v>
      </c>
      <c r="B1315" s="3" t="str">
        <f t="shared" si="207"/>
        <v>TNF-alpha</v>
      </c>
      <c r="C1315" s="3" t="str">
        <f t="shared" si="208"/>
        <v>TNF</v>
      </c>
      <c r="D1315" s="3" t="str">
        <f t="shared" si="209"/>
        <v>TNFA_HUMAN</v>
      </c>
      <c r="E1315" s="2" t="s">
        <v>21</v>
      </c>
      <c r="F1315" s="3" t="str">
        <f t="shared" si="210"/>
        <v>Tumor necrosis factor</v>
      </c>
      <c r="G1315" s="4" t="str">
        <f t="shared" si="206"/>
        <v>AME527</v>
      </c>
      <c r="H1315" s="3" t="str">
        <f>HYPERLINK("https://www.cortellis.com/drugdiscovery/entity/biomarkers/35424","60-gene expression ovarian cancer panel")</f>
        <v>60-gene expression ovarian cancer panel</v>
      </c>
      <c r="I1315" s="2" t="s">
        <v>18</v>
      </c>
      <c r="J1315" s="2" t="s">
        <v>19</v>
      </c>
      <c r="K1315" s="4" t="str">
        <f>HYPERLINK("https://www.cortellis.com/drugdiscovery/result/proxy/related-content/biomarkers/genestargets/35424","tumor necrosis factor")</f>
        <v>tumor necrosis factor</v>
      </c>
    </row>
    <row r="1316" spans="1:11" ht="60" customHeight="1" x14ac:dyDescent="0.2">
      <c r="A1316" s="2">
        <v>1313</v>
      </c>
      <c r="B1316" s="3" t="str">
        <f t="shared" si="207"/>
        <v>TNF-alpha</v>
      </c>
      <c r="C1316" s="3" t="str">
        <f t="shared" si="208"/>
        <v>TNF</v>
      </c>
      <c r="D1316" s="3" t="str">
        <f t="shared" si="209"/>
        <v>TNFA_HUMAN</v>
      </c>
      <c r="E1316" s="2" t="s">
        <v>21</v>
      </c>
      <c r="F1316" s="3" t="str">
        <f t="shared" si="210"/>
        <v>Tumor necrosis factor</v>
      </c>
      <c r="G1316" s="4" t="str">
        <f t="shared" si="206"/>
        <v>AME527</v>
      </c>
      <c r="H1316" s="3" t="str">
        <f>HYPERLINK("https://www.cortellis.com/drugdiscovery/entity/biomarkers/36125","10-protein respiratory panel")</f>
        <v>10-protein respiratory panel</v>
      </c>
      <c r="I1316" s="2" t="s">
        <v>25</v>
      </c>
      <c r="J1316" s="2" t="s">
        <v>17</v>
      </c>
      <c r="K1316" s="4" t="str">
        <f>HYPERLINK("https://www.cortellis.com/drugdiscovery/result/proxy/related-content/biomarkers/genestargets/36125","interferon gamma; tumor necrosis factor")</f>
        <v>interferon gamma; tumor necrosis factor</v>
      </c>
    </row>
    <row r="1317" spans="1:11" ht="60" customHeight="1" x14ac:dyDescent="0.2">
      <c r="A1317" s="2">
        <v>1314</v>
      </c>
      <c r="B1317" s="3" t="str">
        <f t="shared" si="207"/>
        <v>TNF-alpha</v>
      </c>
      <c r="C1317" s="3" t="str">
        <f t="shared" si="208"/>
        <v>TNF</v>
      </c>
      <c r="D1317" s="3" t="str">
        <f t="shared" si="209"/>
        <v>TNFA_HUMAN</v>
      </c>
      <c r="E1317" s="2" t="s">
        <v>21</v>
      </c>
      <c r="F1317" s="3" t="str">
        <f t="shared" si="210"/>
        <v>Tumor necrosis factor</v>
      </c>
      <c r="G1317" s="4" t="str">
        <f t="shared" si="206"/>
        <v>AME527</v>
      </c>
      <c r="H1317" s="3" t="str">
        <f>HYPERLINK("https://www.cortellis.com/drugdiscovery/entity/biomarkers/36127","3-protein respiratory panel")</f>
        <v>3-protein respiratory panel</v>
      </c>
      <c r="I1317" s="2" t="s">
        <v>25</v>
      </c>
      <c r="J1317" s="2" t="s">
        <v>17</v>
      </c>
      <c r="K1317" s="4" t="str">
        <f>HYPERLINK("https://www.cortellis.com/drugdiscovery/result/proxy/related-content/biomarkers/genestargets/36127","interferon gamma; tumor necrosis factor")</f>
        <v>interferon gamma; tumor necrosis factor</v>
      </c>
    </row>
    <row r="1318" spans="1:11" ht="60" customHeight="1" x14ac:dyDescent="0.2">
      <c r="A1318" s="2">
        <v>1315</v>
      </c>
      <c r="B1318" s="3" t="str">
        <f t="shared" si="207"/>
        <v>TNF-alpha</v>
      </c>
      <c r="C1318" s="3" t="str">
        <f t="shared" si="208"/>
        <v>TNF</v>
      </c>
      <c r="D1318" s="3" t="str">
        <f t="shared" si="209"/>
        <v>TNFA_HUMAN</v>
      </c>
      <c r="E1318" s="2" t="s">
        <v>21</v>
      </c>
      <c r="F1318" s="3" t="str">
        <f t="shared" si="210"/>
        <v>Tumor necrosis factor</v>
      </c>
      <c r="G1318" s="4" t="str">
        <f t="shared" si="206"/>
        <v>AME527</v>
      </c>
      <c r="H1318" s="3" t="str">
        <f>HYPERLINK("https://www.cortellis.com/drugdiscovery/entity/biomarkers/37520","4-protein bacteremia panel")</f>
        <v>4-protein bacteremia panel</v>
      </c>
      <c r="I1318" s="2" t="s">
        <v>23</v>
      </c>
      <c r="J1318" s="2" t="s">
        <v>17</v>
      </c>
      <c r="K1318" s="4" t="str">
        <f>HYPERLINK("https://www.cortellis.com/drugdiscovery/result/proxy/related-content/biomarkers/genestargets/37520","tumor necrosis factor")</f>
        <v>tumor necrosis factor</v>
      </c>
    </row>
    <row r="1319" spans="1:11" ht="60" customHeight="1" x14ac:dyDescent="0.2">
      <c r="A1319" s="2">
        <v>1316</v>
      </c>
      <c r="B1319" s="3" t="str">
        <f t="shared" si="207"/>
        <v>TNF-alpha</v>
      </c>
      <c r="C1319" s="3" t="str">
        <f t="shared" si="208"/>
        <v>TNF</v>
      </c>
      <c r="D1319" s="3" t="str">
        <f t="shared" si="209"/>
        <v>TNFA_HUMAN</v>
      </c>
      <c r="E1319" s="2" t="s">
        <v>21</v>
      </c>
      <c r="F1319" s="3" t="str">
        <f t="shared" si="210"/>
        <v>Tumor necrosis factor</v>
      </c>
      <c r="G1319" s="4" t="str">
        <f t="shared" si="206"/>
        <v>AME527</v>
      </c>
      <c r="H1319" s="3" t="str">
        <f>HYPERLINK("https://www.cortellis.com/drugdiscovery/entity/biomarkers/43870","17-genomic 14-protein 3-biochemical irritable bowel syndrome panel")</f>
        <v>17-genomic 14-protein 3-biochemical irritable bowel syndrome panel</v>
      </c>
      <c r="I1319" s="2" t="s">
        <v>52</v>
      </c>
      <c r="J1319" s="2" t="s">
        <v>53</v>
      </c>
      <c r="K1319" s="4" t="str">
        <f>HYPERLINK("https://www.cortellis.com/drugdiscovery/result/proxy/related-content/biomarkers/genestargets/43870","interleukin 12B; tumor necrosis factor")</f>
        <v>interleukin 12B; tumor necrosis factor</v>
      </c>
    </row>
    <row r="1320" spans="1:11" ht="60" customHeight="1" x14ac:dyDescent="0.2">
      <c r="A1320" s="2">
        <v>1317</v>
      </c>
      <c r="B1320" s="3" t="str">
        <f t="shared" si="207"/>
        <v>TNF-alpha</v>
      </c>
      <c r="C1320" s="3" t="str">
        <f t="shared" si="208"/>
        <v>TNF</v>
      </c>
      <c r="D1320" s="3" t="str">
        <f t="shared" si="209"/>
        <v>TNFA_HUMAN</v>
      </c>
      <c r="E1320" s="2" t="s">
        <v>21</v>
      </c>
      <c r="F1320" s="3" t="str">
        <f t="shared" si="210"/>
        <v>Tumor necrosis factor</v>
      </c>
      <c r="G1320" s="4" t="str">
        <f t="shared" si="206"/>
        <v>AME527</v>
      </c>
      <c r="H1320" s="3" t="str">
        <f>HYPERLINK("https://www.cortellis.com/drugdiscovery/entity/biomarkers/46842","7-protein non small cell lung cancer panel")</f>
        <v>7-protein non small cell lung cancer panel</v>
      </c>
      <c r="I1320" s="2" t="s">
        <v>23</v>
      </c>
      <c r="J1320" s="2" t="s">
        <v>17</v>
      </c>
      <c r="K1320" s="4" t="str">
        <f>HYPERLINK("https://www.cortellis.com/drugdiscovery/result/proxy/related-content/biomarkers/genestargets/46842","tumor necrosis factor")</f>
        <v>tumor necrosis factor</v>
      </c>
    </row>
    <row r="1321" spans="1:11" ht="60" customHeight="1" x14ac:dyDescent="0.2">
      <c r="A1321" s="2">
        <v>1318</v>
      </c>
      <c r="B1321" s="3" t="str">
        <f t="shared" si="207"/>
        <v>TNF-alpha</v>
      </c>
      <c r="C1321" s="3" t="str">
        <f t="shared" si="208"/>
        <v>TNF</v>
      </c>
      <c r="D1321" s="3" t="str">
        <f t="shared" si="209"/>
        <v>TNFA_HUMAN</v>
      </c>
      <c r="E1321" s="2" t="s">
        <v>21</v>
      </c>
      <c r="F1321" s="3" t="str">
        <f t="shared" si="210"/>
        <v>Tumor necrosis factor</v>
      </c>
      <c r="G1321" s="4" t="str">
        <f t="shared" si="206"/>
        <v>AME527</v>
      </c>
      <c r="H1321" s="3" t="str">
        <f>HYPERLINK("https://www.cortellis.com/drugdiscovery/entity/biomarkers/50816","10-gene lyme disease panel")</f>
        <v>10-gene lyme disease panel</v>
      </c>
      <c r="I1321" s="2" t="s">
        <v>23</v>
      </c>
      <c r="J1321" s="2" t="s">
        <v>15</v>
      </c>
      <c r="K1321" s="4" t="str">
        <f>HYPERLINK("https://www.cortellis.com/drugdiscovery/result/proxy/related-content/biomarkers/genestargets/50816","C-C motif chemokine ligand 2; interferon gamma; tumor necrosis factor")</f>
        <v>C-C motif chemokine ligand 2; interferon gamma; tumor necrosis factor</v>
      </c>
    </row>
    <row r="1322" spans="1:11" ht="60" customHeight="1" x14ac:dyDescent="0.2">
      <c r="A1322" s="2">
        <v>1319</v>
      </c>
      <c r="B1322" s="3" t="str">
        <f t="shared" si="207"/>
        <v>TNF-alpha</v>
      </c>
      <c r="C1322" s="3" t="str">
        <f t="shared" si="208"/>
        <v>TNF</v>
      </c>
      <c r="D1322" s="3" t="str">
        <f t="shared" si="209"/>
        <v>TNFA_HUMAN</v>
      </c>
      <c r="E1322" s="2" t="s">
        <v>21</v>
      </c>
      <c r="F1322" s="3" t="str">
        <f t="shared" si="210"/>
        <v>Tumor necrosis factor</v>
      </c>
      <c r="G1322" s="4" t="str">
        <f t="shared" si="206"/>
        <v>AME527</v>
      </c>
      <c r="H1322" s="3" t="str">
        <f>HYPERLINK("https://www.cortellis.com/drugdiscovery/entity/biomarkers/50817","11-gene lyme disease panel")</f>
        <v>11-gene lyme disease panel</v>
      </c>
      <c r="I1322" s="2" t="s">
        <v>23</v>
      </c>
      <c r="J1322" s="2" t="s">
        <v>15</v>
      </c>
      <c r="K1322" s="4" t="str">
        <f>HYPERLINK("https://www.cortellis.com/drugdiscovery/result/proxy/related-content/biomarkers/genestargets/50817","C-C motif chemokine ligand 2; interferon gamma; tumor necrosis factor")</f>
        <v>C-C motif chemokine ligand 2; interferon gamma; tumor necrosis factor</v>
      </c>
    </row>
    <row r="1323" spans="1:11" ht="60" customHeight="1" x14ac:dyDescent="0.2">
      <c r="A1323" s="2">
        <v>1320</v>
      </c>
      <c r="B1323" s="3" t="str">
        <f t="shared" si="207"/>
        <v>TNF-alpha</v>
      </c>
      <c r="C1323" s="3" t="str">
        <f t="shared" si="208"/>
        <v>TNF</v>
      </c>
      <c r="D1323" s="3" t="str">
        <f t="shared" si="209"/>
        <v>TNFA_HUMAN</v>
      </c>
      <c r="E1323" s="2" t="s">
        <v>21</v>
      </c>
      <c r="F1323" s="3" t="str">
        <f t="shared" si="210"/>
        <v>Tumor necrosis factor</v>
      </c>
      <c r="G1323" s="4" t="str">
        <f t="shared" si="206"/>
        <v>AME527</v>
      </c>
      <c r="H1323" s="3" t="str">
        <f>HYPERLINK("https://www.cortellis.com/drugdiscovery/entity/biomarkers/50818","12 protein Lyme disease panel")</f>
        <v>12 protein Lyme disease panel</v>
      </c>
      <c r="I1323" s="2" t="s">
        <v>23</v>
      </c>
      <c r="J1323" s="2" t="s">
        <v>17</v>
      </c>
      <c r="K1323" s="4" t="str">
        <f>HYPERLINK("https://www.cortellis.com/drugdiscovery/result/proxy/related-content/biomarkers/genestargets/50818","C-C motif chemokine ligand 2; interferon gamma; tumor necrosis factor")</f>
        <v>C-C motif chemokine ligand 2; interferon gamma; tumor necrosis factor</v>
      </c>
    </row>
    <row r="1324" spans="1:11" ht="60" customHeight="1" x14ac:dyDescent="0.2">
      <c r="A1324" s="2">
        <v>1321</v>
      </c>
      <c r="B1324" s="3" t="str">
        <f t="shared" si="207"/>
        <v>TNF-alpha</v>
      </c>
      <c r="C1324" s="3" t="str">
        <f t="shared" si="208"/>
        <v>TNF</v>
      </c>
      <c r="D1324" s="3" t="str">
        <f t="shared" si="209"/>
        <v>TNFA_HUMAN</v>
      </c>
      <c r="E1324" s="2" t="s">
        <v>21</v>
      </c>
      <c r="F1324" s="3" t="str">
        <f t="shared" si="210"/>
        <v>Tumor necrosis factor</v>
      </c>
      <c r="G1324" s="4" t="str">
        <f t="shared" si="206"/>
        <v>AME527</v>
      </c>
      <c r="H1324" s="3" t="str">
        <f>HYPERLINK("https://www.cortellis.com/drugdiscovery/entity/biomarkers/51292","37-gene expression major depression panel")</f>
        <v>37-gene expression major depression panel</v>
      </c>
      <c r="I1324" s="2" t="s">
        <v>23</v>
      </c>
      <c r="J1324" s="2" t="s">
        <v>19</v>
      </c>
      <c r="K1324" s="4" t="str">
        <f>HYPERLINK("https://www.cortellis.com/drugdiscovery/result/proxy/related-content/biomarkers/genestargets/51292","C-C motif chemokine ligand 2; tumor necrosis factor")</f>
        <v>C-C motif chemokine ligand 2; tumor necrosis factor</v>
      </c>
    </row>
    <row r="1325" spans="1:11" ht="60" customHeight="1" x14ac:dyDescent="0.2">
      <c r="A1325" s="2">
        <v>1322</v>
      </c>
      <c r="B1325" s="3" t="str">
        <f t="shared" si="207"/>
        <v>TNF-alpha</v>
      </c>
      <c r="C1325" s="3" t="str">
        <f t="shared" si="208"/>
        <v>TNF</v>
      </c>
      <c r="D1325" s="3" t="str">
        <f t="shared" si="209"/>
        <v>TNFA_HUMAN</v>
      </c>
      <c r="E1325" s="2" t="s">
        <v>21</v>
      </c>
      <c r="F1325" s="3" t="str">
        <f t="shared" si="210"/>
        <v>Tumor necrosis factor</v>
      </c>
      <c r="G1325" s="4" t="str">
        <f t="shared" si="206"/>
        <v>AME527</v>
      </c>
      <c r="H1325" s="3" t="str">
        <f>HYPERLINK("https://www.cortellis.com/drugdiscovery/entity/biomarkers/57224","21-protein mild cognitive impairment panel")</f>
        <v>21-protein mild cognitive impairment panel</v>
      </c>
      <c r="I1325" s="2" t="s">
        <v>23</v>
      </c>
      <c r="J1325" s="2" t="s">
        <v>19</v>
      </c>
      <c r="K1325" s="4" t="str">
        <f>HYPERLINK("https://www.cortellis.com/drugdiscovery/result/proxy/related-content/biomarkers/genestargets/57224","interleukin 7; tenascin C; tumor necrosis factor")</f>
        <v>interleukin 7; tenascin C; tumor necrosis factor</v>
      </c>
    </row>
    <row r="1326" spans="1:11" ht="60" customHeight="1" x14ac:dyDescent="0.2">
      <c r="A1326" s="2">
        <v>1323</v>
      </c>
      <c r="B1326" s="3" t="str">
        <f t="shared" si="207"/>
        <v>TNF-alpha</v>
      </c>
      <c r="C1326" s="3" t="str">
        <f t="shared" si="208"/>
        <v>TNF</v>
      </c>
      <c r="D1326" s="3" t="str">
        <f t="shared" si="209"/>
        <v>TNFA_HUMAN</v>
      </c>
      <c r="E1326" s="2" t="s">
        <v>21</v>
      </c>
      <c r="F1326" s="3" t="str">
        <f t="shared" si="210"/>
        <v>Tumor necrosis factor</v>
      </c>
      <c r="G1326" s="4" t="str">
        <f t="shared" si="206"/>
        <v>AME527</v>
      </c>
      <c r="H1326" s="3" t="str">
        <f>HYPERLINK("https://www.cortellis.com/drugdiscovery/entity/biomarkers/57250","9-protein non-muscle invasive bladder cancer panel")</f>
        <v>9-protein non-muscle invasive bladder cancer panel</v>
      </c>
      <c r="I1326" s="2" t="s">
        <v>18</v>
      </c>
      <c r="J1326" s="2" t="s">
        <v>17</v>
      </c>
      <c r="K1326" s="4" t="str">
        <f>HYPERLINK("https://www.cortellis.com/drugdiscovery/result/proxy/related-content/biomarkers/genestargets/57250","interferon gamma; interleukin 12B; tumor necrosis factor")</f>
        <v>interferon gamma; interleukin 12B; tumor necrosis factor</v>
      </c>
    </row>
    <row r="1327" spans="1:11" ht="60" customHeight="1" x14ac:dyDescent="0.2">
      <c r="A1327" s="2">
        <v>1324</v>
      </c>
      <c r="B1327" s="3" t="str">
        <f t="shared" si="207"/>
        <v>TNF-alpha</v>
      </c>
      <c r="C1327" s="3" t="str">
        <f t="shared" si="208"/>
        <v>TNF</v>
      </c>
      <c r="D1327" s="3" t="str">
        <f t="shared" si="209"/>
        <v>TNFA_HUMAN</v>
      </c>
      <c r="E1327" s="2" t="s">
        <v>21</v>
      </c>
      <c r="F1327" s="3" t="str">
        <f t="shared" si="210"/>
        <v>Tumor necrosis factor</v>
      </c>
      <c r="G1327" s="4" t="str">
        <f t="shared" si="206"/>
        <v>AME527</v>
      </c>
      <c r="H1327" s="3" t="str">
        <f>HYPERLINK("https://www.cortellis.com/drugdiscovery/entity/biomarkers/62155","19-protein rhegmatogenous retinal detachment panel")</f>
        <v>19-protein rhegmatogenous retinal detachment panel</v>
      </c>
      <c r="I1327" s="2" t="s">
        <v>24</v>
      </c>
      <c r="J1327" s="2" t="s">
        <v>17</v>
      </c>
      <c r="K1327" s="4" t="str">
        <f>HYPERLINK("https://www.cortellis.com/drugdiscovery/result/proxy/related-content/biomarkers/genestargets/62155","C-C motif chemokine ligand 2; interleukin 12B; tumor necrosis factor")</f>
        <v>C-C motif chemokine ligand 2; interleukin 12B; tumor necrosis factor</v>
      </c>
    </row>
    <row r="1328" spans="1:11" ht="60" customHeight="1" x14ac:dyDescent="0.2">
      <c r="A1328" s="2">
        <v>1325</v>
      </c>
      <c r="B1328" s="3" t="str">
        <f t="shared" si="207"/>
        <v>TNF-alpha</v>
      </c>
      <c r="C1328" s="3" t="str">
        <f t="shared" si="208"/>
        <v>TNF</v>
      </c>
      <c r="D1328" s="3" t="str">
        <f t="shared" si="209"/>
        <v>TNFA_HUMAN</v>
      </c>
      <c r="E1328" s="2" t="s">
        <v>21</v>
      </c>
      <c r="F1328" s="3" t="str">
        <f t="shared" si="210"/>
        <v>Tumor necrosis factor</v>
      </c>
      <c r="G1328" s="4" t="str">
        <f t="shared" si="206"/>
        <v>AME527</v>
      </c>
      <c r="H1328" s="3" t="str">
        <f>HYPERLINK("https://www.cortellis.com/drugdiscovery/entity/biomarkers/62663","9-protein immunological disorders panel")</f>
        <v>9-protein immunological disorders panel</v>
      </c>
      <c r="I1328" s="2" t="s">
        <v>24</v>
      </c>
      <c r="J1328" s="2" t="s">
        <v>17</v>
      </c>
      <c r="K1328" s="4" t="str">
        <f>HYPERLINK("https://www.cortellis.com/drugdiscovery/result/proxy/related-content/biomarkers/genestargets/62663","C-C motif chemokine ligand 2; interferon gamma; tumor necrosis factor")</f>
        <v>C-C motif chemokine ligand 2; interferon gamma; tumor necrosis factor</v>
      </c>
    </row>
    <row r="1329" spans="1:11" ht="60" customHeight="1" x14ac:dyDescent="0.2">
      <c r="A1329" s="2">
        <v>1326</v>
      </c>
      <c r="B1329" s="3" t="str">
        <f t="shared" si="207"/>
        <v>TNF-alpha</v>
      </c>
      <c r="C1329" s="3" t="str">
        <f t="shared" si="208"/>
        <v>TNF</v>
      </c>
      <c r="D1329" s="3" t="str">
        <f t="shared" si="209"/>
        <v>TNFA_HUMAN</v>
      </c>
      <c r="E1329" s="2" t="s">
        <v>21</v>
      </c>
      <c r="F1329" s="3" t="str">
        <f t="shared" si="210"/>
        <v>Tumor necrosis factor</v>
      </c>
      <c r="G1329" s="4" t="str">
        <f t="shared" si="206"/>
        <v>AME527</v>
      </c>
      <c r="H1329" s="3" t="str">
        <f>HYPERLINK("https://www.cortellis.com/drugdiscovery/entity/biomarkers/62730","7-protein Alzheimer's disease panel")</f>
        <v>7-protein Alzheimer's disease panel</v>
      </c>
      <c r="I1329" s="2" t="s">
        <v>23</v>
      </c>
      <c r="J1329" s="2" t="s">
        <v>17</v>
      </c>
      <c r="K1329" s="4" t="str">
        <f>HYPERLINK("https://www.cortellis.com/drugdiscovery/result/proxy/related-content/biomarkers/genestargets/62730","tumor necrosis factor")</f>
        <v>tumor necrosis factor</v>
      </c>
    </row>
    <row r="1330" spans="1:11" ht="60" customHeight="1" x14ac:dyDescent="0.2">
      <c r="A1330" s="2">
        <v>1327</v>
      </c>
      <c r="B1330" s="3" t="str">
        <f t="shared" si="207"/>
        <v>TNF-alpha</v>
      </c>
      <c r="C1330" s="3" t="str">
        <f t="shared" si="208"/>
        <v>TNF</v>
      </c>
      <c r="D1330" s="3" t="str">
        <f t="shared" si="209"/>
        <v>TNFA_HUMAN</v>
      </c>
      <c r="E1330" s="2" t="s">
        <v>21</v>
      </c>
      <c r="F1330" s="3" t="str">
        <f t="shared" si="210"/>
        <v>Tumor necrosis factor</v>
      </c>
      <c r="G1330" s="4" t="str">
        <f t="shared" si="206"/>
        <v>AME527</v>
      </c>
      <c r="H1330" s="3" t="str">
        <f>HYPERLINK("https://www.cortellis.com/drugdiscovery/entity/biomarkers/62746","5-protein renal disorder panel")</f>
        <v>5-protein renal disorder panel</v>
      </c>
      <c r="I1330" s="2" t="s">
        <v>25</v>
      </c>
      <c r="J1330" s="2" t="s">
        <v>17</v>
      </c>
      <c r="K1330" s="4" t="str">
        <f>HYPERLINK("https://www.cortellis.com/drugdiscovery/result/proxy/related-content/biomarkers/genestargets/62746","tumor necrosis factor")</f>
        <v>tumor necrosis factor</v>
      </c>
    </row>
    <row r="1331" spans="1:11" ht="60" customHeight="1" x14ac:dyDescent="0.2">
      <c r="A1331" s="2">
        <v>1328</v>
      </c>
      <c r="B1331" s="3" t="str">
        <f t="shared" si="207"/>
        <v>TNF-alpha</v>
      </c>
      <c r="C1331" s="3" t="str">
        <f t="shared" si="208"/>
        <v>TNF</v>
      </c>
      <c r="D1331" s="3" t="str">
        <f t="shared" si="209"/>
        <v>TNFA_HUMAN</v>
      </c>
      <c r="E1331" s="2" t="s">
        <v>21</v>
      </c>
      <c r="F1331" s="3" t="str">
        <f t="shared" si="210"/>
        <v>Tumor necrosis factor</v>
      </c>
      <c r="G1331" s="4" t="str">
        <f t="shared" si="206"/>
        <v>AME527</v>
      </c>
      <c r="H1331" s="3" t="str">
        <f>HYPERLINK("https://www.cortellis.com/drugdiscovery/entity/biomarkers/65259","22-gene expression hepatocellular carcinoma panel")</f>
        <v>22-gene expression hepatocellular carcinoma panel</v>
      </c>
      <c r="I1331" s="2" t="s">
        <v>25</v>
      </c>
      <c r="J1331" s="2" t="s">
        <v>19</v>
      </c>
      <c r="K1331" s="4" t="str">
        <f>HYPERLINK("https://www.cortellis.com/drugdiscovery/result/proxy/related-content/biomarkers/genestargets/65259","tumor necrosis factor")</f>
        <v>tumor necrosis factor</v>
      </c>
    </row>
    <row r="1332" spans="1:11" ht="60" customHeight="1" x14ac:dyDescent="0.2">
      <c r="A1332" s="2">
        <v>1329</v>
      </c>
      <c r="B1332" s="3" t="str">
        <f t="shared" si="207"/>
        <v>TNF-alpha</v>
      </c>
      <c r="C1332" s="3" t="str">
        <f t="shared" si="208"/>
        <v>TNF</v>
      </c>
      <c r="D1332" s="3" t="str">
        <f t="shared" si="209"/>
        <v>TNFA_HUMAN</v>
      </c>
      <c r="E1332" s="2" t="s">
        <v>21</v>
      </c>
      <c r="F1332" s="3" t="str">
        <f t="shared" si="210"/>
        <v>Tumor necrosis factor</v>
      </c>
      <c r="G1332" s="4" t="str">
        <f t="shared" ref="G1332:G1358" si="211">HYPERLINK("https://portal.genego.com/cgi/entity_page.cgi?term=7&amp;id=2140810750","Golimumab")</f>
        <v>Golimumab</v>
      </c>
      <c r="H1332" s="3" t="str">
        <f>HYPERLINK("https://www.cortellis.com/drugdiscovery/entity/biomarkers/274","Tumor necrosis factor")</f>
        <v>Tumor necrosis factor</v>
      </c>
      <c r="I1332" s="2" t="s">
        <v>22</v>
      </c>
      <c r="J1332" s="2" t="s">
        <v>15</v>
      </c>
      <c r="K1332" s="4" t="str">
        <f>HYPERLINK("https://www.cortellis.com/drugdiscovery/result/proxy/related-content/biomarkers/genestargets/274","tumor necrosis factor")</f>
        <v>tumor necrosis factor</v>
      </c>
    </row>
    <row r="1333" spans="1:11" ht="60" customHeight="1" x14ac:dyDescent="0.2">
      <c r="A1333" s="2">
        <v>1330</v>
      </c>
      <c r="B1333" s="3" t="str">
        <f t="shared" si="207"/>
        <v>TNF-alpha</v>
      </c>
      <c r="C1333" s="3" t="str">
        <f t="shared" si="208"/>
        <v>TNF</v>
      </c>
      <c r="D1333" s="3" t="str">
        <f t="shared" si="209"/>
        <v>TNFA_HUMAN</v>
      </c>
      <c r="E1333" s="2" t="s">
        <v>21</v>
      </c>
      <c r="F1333" s="3" t="str">
        <f t="shared" si="210"/>
        <v>Tumor necrosis factor</v>
      </c>
      <c r="G1333" s="4" t="str">
        <f t="shared" si="211"/>
        <v>Golimumab</v>
      </c>
      <c r="H1333" s="3" t="str">
        <f>HYPERLINK("https://www.cortellis.com/drugdiscovery/entity/biomarkers/27598","89-protein neurological alzheimer's panel")</f>
        <v>89-protein neurological alzheimer's panel</v>
      </c>
      <c r="I1333" s="2" t="s">
        <v>23</v>
      </c>
      <c r="J1333" s="2" t="s">
        <v>17</v>
      </c>
      <c r="K1333"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334" spans="1:11" ht="60" customHeight="1" x14ac:dyDescent="0.2">
      <c r="A1334" s="2">
        <v>1331</v>
      </c>
      <c r="B1334" s="3" t="str">
        <f t="shared" si="207"/>
        <v>TNF-alpha</v>
      </c>
      <c r="C1334" s="3" t="str">
        <f t="shared" si="208"/>
        <v>TNF</v>
      </c>
      <c r="D1334" s="3" t="str">
        <f t="shared" si="209"/>
        <v>TNFA_HUMAN</v>
      </c>
      <c r="E1334" s="2" t="s">
        <v>21</v>
      </c>
      <c r="F1334" s="3" t="str">
        <f t="shared" si="210"/>
        <v>Tumor necrosis factor</v>
      </c>
      <c r="G1334" s="4" t="str">
        <f t="shared" si="211"/>
        <v>Golimumab</v>
      </c>
      <c r="H1334" s="3" t="str">
        <f>HYPERLINK("https://www.cortellis.com/drugdiscovery/entity/biomarkers/27640","5-protein alzheimer's panel")</f>
        <v>5-protein alzheimer's panel</v>
      </c>
      <c r="I1334" s="2" t="s">
        <v>23</v>
      </c>
      <c r="J1334" s="2" t="s">
        <v>17</v>
      </c>
      <c r="K1334" s="4" t="str">
        <f>HYPERLINK("https://www.cortellis.com/drugdiscovery/result/proxy/related-content/biomarkers/genestargets/27640","tumor necrosis factor")</f>
        <v>tumor necrosis factor</v>
      </c>
    </row>
    <row r="1335" spans="1:11" ht="60" customHeight="1" x14ac:dyDescent="0.2">
      <c r="A1335" s="2">
        <v>1332</v>
      </c>
      <c r="B1335" s="3" t="str">
        <f t="shared" si="207"/>
        <v>TNF-alpha</v>
      </c>
      <c r="C1335" s="3" t="str">
        <f t="shared" si="208"/>
        <v>TNF</v>
      </c>
      <c r="D1335" s="3" t="str">
        <f t="shared" si="209"/>
        <v>TNFA_HUMAN</v>
      </c>
      <c r="E1335" s="2" t="s">
        <v>21</v>
      </c>
      <c r="F1335" s="3" t="str">
        <f t="shared" si="210"/>
        <v>Tumor necrosis factor</v>
      </c>
      <c r="G1335" s="4" t="str">
        <f t="shared" si="211"/>
        <v>Golimumab</v>
      </c>
      <c r="H1335" s="3" t="str">
        <f>HYPERLINK("https://www.cortellis.com/drugdiscovery/entity/biomarkers/27734","6-protein lung cancer panel")</f>
        <v>6-protein lung cancer panel</v>
      </c>
      <c r="I1335" s="2" t="s">
        <v>23</v>
      </c>
      <c r="J1335" s="2" t="s">
        <v>17</v>
      </c>
      <c r="K1335" s="4" t="str">
        <f>HYPERLINK("https://www.cortellis.com/drugdiscovery/result/proxy/related-content/biomarkers/genestargets/27734","interferon gamma; tumor necrosis factor")</f>
        <v>interferon gamma; tumor necrosis factor</v>
      </c>
    </row>
    <row r="1336" spans="1:11" ht="60" customHeight="1" x14ac:dyDescent="0.2">
      <c r="A1336" s="2">
        <v>1333</v>
      </c>
      <c r="B1336" s="3" t="str">
        <f t="shared" si="207"/>
        <v>TNF-alpha</v>
      </c>
      <c r="C1336" s="3" t="str">
        <f t="shared" si="208"/>
        <v>TNF</v>
      </c>
      <c r="D1336" s="3" t="str">
        <f t="shared" si="209"/>
        <v>TNFA_HUMAN</v>
      </c>
      <c r="E1336" s="2" t="s">
        <v>21</v>
      </c>
      <c r="F1336" s="3" t="str">
        <f t="shared" si="210"/>
        <v>Tumor necrosis factor</v>
      </c>
      <c r="G1336" s="4" t="str">
        <f t="shared" si="211"/>
        <v>Golimumab</v>
      </c>
      <c r="H1336" s="3" t="str">
        <f>HYPERLINK("https://www.cortellis.com/drugdiscovery/entity/biomarkers/28148","11-gene expression lung cancer panel")</f>
        <v>11-gene expression lung cancer panel</v>
      </c>
      <c r="I1336" s="2" t="s">
        <v>25</v>
      </c>
      <c r="J1336" s="2" t="s">
        <v>19</v>
      </c>
      <c r="K1336" s="4" t="str">
        <f>HYPERLINK("https://www.cortellis.com/drugdiscovery/result/proxy/related-content/biomarkers/genestargets/28148","interferon gamma; interleukin 15; tumor necrosis factor")</f>
        <v>interferon gamma; interleukin 15; tumor necrosis factor</v>
      </c>
    </row>
    <row r="1337" spans="1:11" ht="60" customHeight="1" x14ac:dyDescent="0.2">
      <c r="A1337" s="2">
        <v>1334</v>
      </c>
      <c r="B1337" s="3" t="str">
        <f t="shared" si="207"/>
        <v>TNF-alpha</v>
      </c>
      <c r="C1337" s="3" t="str">
        <f t="shared" si="208"/>
        <v>TNF</v>
      </c>
      <c r="D1337" s="3" t="str">
        <f t="shared" si="209"/>
        <v>TNFA_HUMAN</v>
      </c>
      <c r="E1337" s="2" t="s">
        <v>21</v>
      </c>
      <c r="F1337" s="3" t="str">
        <f t="shared" si="210"/>
        <v>Tumor necrosis factor</v>
      </c>
      <c r="G1337" s="4" t="str">
        <f t="shared" si="211"/>
        <v>Golimumab</v>
      </c>
      <c r="H1337" s="3" t="str">
        <f>HYPERLINK("https://www.cortellis.com/drugdiscovery/entity/biomarkers/28647","15-gene expression lung cancer panel")</f>
        <v>15-gene expression lung cancer panel</v>
      </c>
      <c r="I1337" s="2" t="s">
        <v>20</v>
      </c>
      <c r="J1337" s="2" t="s">
        <v>19</v>
      </c>
      <c r="K1337" s="4" t="str">
        <f>HYPERLINK("https://www.cortellis.com/drugdiscovery/result/proxy/related-content/biomarkers/genestargets/28647","interferon gamma; interleukin 15; tumor necrosis factor")</f>
        <v>interferon gamma; interleukin 15; tumor necrosis factor</v>
      </c>
    </row>
    <row r="1338" spans="1:11" ht="60" customHeight="1" x14ac:dyDescent="0.2">
      <c r="A1338" s="2">
        <v>1335</v>
      </c>
      <c r="B1338" s="3" t="str">
        <f t="shared" si="207"/>
        <v>TNF-alpha</v>
      </c>
      <c r="C1338" s="3" t="str">
        <f t="shared" si="208"/>
        <v>TNF</v>
      </c>
      <c r="D1338" s="3" t="str">
        <f t="shared" si="209"/>
        <v>TNFA_HUMAN</v>
      </c>
      <c r="E1338" s="2" t="s">
        <v>21</v>
      </c>
      <c r="F1338" s="3" t="str">
        <f t="shared" si="210"/>
        <v>Tumor necrosis factor</v>
      </c>
      <c r="G1338" s="4" t="str">
        <f t="shared" si="211"/>
        <v>Golimumab</v>
      </c>
      <c r="H1338" s="3" t="str">
        <f>HYPERLINK("https://www.cortellis.com/drugdiscovery/entity/biomarkers/29676","277-gene expression lung cancer panel")</f>
        <v>277-gene expression lung cancer panel</v>
      </c>
      <c r="I1338" s="2" t="s">
        <v>25</v>
      </c>
      <c r="J1338" s="2" t="s">
        <v>19</v>
      </c>
      <c r="K1338" s="4" t="str">
        <f>HYPERLINK("https://www.cortellis.com/drugdiscovery/result/proxy/related-content/biomarkers/genestargets/29676","cyclin D1; tumor necrosis factor")</f>
        <v>cyclin D1; tumor necrosis factor</v>
      </c>
    </row>
    <row r="1339" spans="1:11" ht="60" customHeight="1" x14ac:dyDescent="0.2">
      <c r="A1339" s="2">
        <v>1336</v>
      </c>
      <c r="B1339" s="3" t="str">
        <f t="shared" si="207"/>
        <v>TNF-alpha</v>
      </c>
      <c r="C1339" s="3" t="str">
        <f t="shared" si="208"/>
        <v>TNF</v>
      </c>
      <c r="D1339" s="3" t="str">
        <f t="shared" si="209"/>
        <v>TNFA_HUMAN</v>
      </c>
      <c r="E1339" s="2" t="s">
        <v>21</v>
      </c>
      <c r="F1339" s="3" t="str">
        <f t="shared" si="210"/>
        <v>Tumor necrosis factor</v>
      </c>
      <c r="G1339" s="4" t="str">
        <f t="shared" si="211"/>
        <v>Golimumab</v>
      </c>
      <c r="H1339" s="3" t="str">
        <f>HYPERLINK("https://www.cortellis.com/drugdiscovery/entity/biomarkers/30768","11-protein cardiovascular panel")</f>
        <v>11-protein cardiovascular panel</v>
      </c>
      <c r="I1339" s="2" t="s">
        <v>23</v>
      </c>
      <c r="J1339" s="2" t="s">
        <v>17</v>
      </c>
      <c r="K1339" s="4" t="str">
        <f>HYPERLINK("https://www.cortellis.com/drugdiscovery/result/proxy/related-content/biomarkers/genestargets/30768","interferon gamma; interleukin 12B; tumor necrosis factor")</f>
        <v>interferon gamma; interleukin 12B; tumor necrosis factor</v>
      </c>
    </row>
    <row r="1340" spans="1:11" ht="60" customHeight="1" x14ac:dyDescent="0.2">
      <c r="A1340" s="2">
        <v>1337</v>
      </c>
      <c r="B1340" s="3" t="str">
        <f t="shared" si="207"/>
        <v>TNF-alpha</v>
      </c>
      <c r="C1340" s="3" t="str">
        <f t="shared" si="208"/>
        <v>TNF</v>
      </c>
      <c r="D1340" s="3" t="str">
        <f t="shared" si="209"/>
        <v>TNFA_HUMAN</v>
      </c>
      <c r="E1340" s="2" t="s">
        <v>21</v>
      </c>
      <c r="F1340" s="3" t="str">
        <f t="shared" si="210"/>
        <v>Tumor necrosis factor</v>
      </c>
      <c r="G1340" s="4" t="str">
        <f t="shared" si="211"/>
        <v>Golimumab</v>
      </c>
      <c r="H1340" s="3" t="str">
        <f>HYPERLINK("https://www.cortellis.com/drugdiscovery/entity/biomarkers/34385","30-protein alzheimer's panel")</f>
        <v>30-protein alzheimer's panel</v>
      </c>
      <c r="I1340" s="2" t="s">
        <v>23</v>
      </c>
      <c r="J1340" s="2" t="s">
        <v>17</v>
      </c>
      <c r="K1340" s="4" t="str">
        <f>HYPERLINK("https://www.cortellis.com/drugdiscovery/result/proxy/related-content/biomarkers/genestargets/34385","C-C motif chemokine ligand 2; interleukin 7; tenascin C; tumor necrosis factor")</f>
        <v>C-C motif chemokine ligand 2; interleukin 7; tenascin C; tumor necrosis factor</v>
      </c>
    </row>
    <row r="1341" spans="1:11" ht="60" customHeight="1" x14ac:dyDescent="0.2">
      <c r="A1341" s="2">
        <v>1338</v>
      </c>
      <c r="B1341" s="3" t="str">
        <f t="shared" si="207"/>
        <v>TNF-alpha</v>
      </c>
      <c r="C1341" s="3" t="str">
        <f t="shared" si="208"/>
        <v>TNF</v>
      </c>
      <c r="D1341" s="3" t="str">
        <f t="shared" si="209"/>
        <v>TNFA_HUMAN</v>
      </c>
      <c r="E1341" s="2" t="s">
        <v>21</v>
      </c>
      <c r="F1341" s="3" t="str">
        <f t="shared" si="210"/>
        <v>Tumor necrosis factor</v>
      </c>
      <c r="G1341" s="4" t="str">
        <f t="shared" si="211"/>
        <v>Golimumab</v>
      </c>
      <c r="H1341" s="3" t="str">
        <f>HYPERLINK("https://www.cortellis.com/drugdiscovery/entity/biomarkers/34437","3-protein 3-autoantibody lung cancer panel")</f>
        <v>3-protein 3-autoantibody lung cancer panel</v>
      </c>
      <c r="I1341" s="2" t="s">
        <v>23</v>
      </c>
      <c r="J1341" s="2" t="s">
        <v>17</v>
      </c>
      <c r="K1341" s="4" t="str">
        <f>HYPERLINK("https://www.cortellis.com/drugdiscovery/result/proxy/related-content/biomarkers/genestargets/34437","tumor necrosis factor")</f>
        <v>tumor necrosis factor</v>
      </c>
    </row>
    <row r="1342" spans="1:11" ht="60" customHeight="1" x14ac:dyDescent="0.2">
      <c r="A1342" s="2">
        <v>1339</v>
      </c>
      <c r="B1342" s="3" t="str">
        <f t="shared" si="207"/>
        <v>TNF-alpha</v>
      </c>
      <c r="C1342" s="3" t="str">
        <f t="shared" si="208"/>
        <v>TNF</v>
      </c>
      <c r="D1342" s="3" t="str">
        <f t="shared" si="209"/>
        <v>TNFA_HUMAN</v>
      </c>
      <c r="E1342" s="2" t="s">
        <v>21</v>
      </c>
      <c r="F1342" s="3" t="str">
        <f t="shared" si="210"/>
        <v>Tumor necrosis factor</v>
      </c>
      <c r="G1342" s="4" t="str">
        <f t="shared" si="211"/>
        <v>Golimumab</v>
      </c>
      <c r="H1342" s="3" t="str">
        <f>HYPERLINK("https://www.cortellis.com/drugdiscovery/entity/biomarkers/35424","60-gene expression ovarian cancer panel")</f>
        <v>60-gene expression ovarian cancer panel</v>
      </c>
      <c r="I1342" s="2" t="s">
        <v>18</v>
      </c>
      <c r="J1342" s="2" t="s">
        <v>19</v>
      </c>
      <c r="K1342" s="4" t="str">
        <f>HYPERLINK("https://www.cortellis.com/drugdiscovery/result/proxy/related-content/biomarkers/genestargets/35424","tumor necrosis factor")</f>
        <v>tumor necrosis factor</v>
      </c>
    </row>
    <row r="1343" spans="1:11" ht="60" customHeight="1" x14ac:dyDescent="0.2">
      <c r="A1343" s="2">
        <v>1340</v>
      </c>
      <c r="B1343" s="3" t="str">
        <f t="shared" si="207"/>
        <v>TNF-alpha</v>
      </c>
      <c r="C1343" s="3" t="str">
        <f t="shared" si="208"/>
        <v>TNF</v>
      </c>
      <c r="D1343" s="3" t="str">
        <f t="shared" si="209"/>
        <v>TNFA_HUMAN</v>
      </c>
      <c r="E1343" s="2" t="s">
        <v>21</v>
      </c>
      <c r="F1343" s="3" t="str">
        <f t="shared" si="210"/>
        <v>Tumor necrosis factor</v>
      </c>
      <c r="G1343" s="4" t="str">
        <f t="shared" si="211"/>
        <v>Golimumab</v>
      </c>
      <c r="H1343" s="3" t="str">
        <f>HYPERLINK("https://www.cortellis.com/drugdiscovery/entity/biomarkers/36125","10-protein respiratory panel")</f>
        <v>10-protein respiratory panel</v>
      </c>
      <c r="I1343" s="2" t="s">
        <v>25</v>
      </c>
      <c r="J1343" s="2" t="s">
        <v>17</v>
      </c>
      <c r="K1343" s="4" t="str">
        <f>HYPERLINK("https://www.cortellis.com/drugdiscovery/result/proxy/related-content/biomarkers/genestargets/36125","interferon gamma; tumor necrosis factor")</f>
        <v>interferon gamma; tumor necrosis factor</v>
      </c>
    </row>
    <row r="1344" spans="1:11" ht="60" customHeight="1" x14ac:dyDescent="0.2">
      <c r="A1344" s="2">
        <v>1341</v>
      </c>
      <c r="B1344" s="3" t="str">
        <f t="shared" si="207"/>
        <v>TNF-alpha</v>
      </c>
      <c r="C1344" s="3" t="str">
        <f t="shared" si="208"/>
        <v>TNF</v>
      </c>
      <c r="D1344" s="3" t="str">
        <f t="shared" si="209"/>
        <v>TNFA_HUMAN</v>
      </c>
      <c r="E1344" s="2" t="s">
        <v>21</v>
      </c>
      <c r="F1344" s="3" t="str">
        <f t="shared" si="210"/>
        <v>Tumor necrosis factor</v>
      </c>
      <c r="G1344" s="4" t="str">
        <f t="shared" si="211"/>
        <v>Golimumab</v>
      </c>
      <c r="H1344" s="3" t="str">
        <f>HYPERLINK("https://www.cortellis.com/drugdiscovery/entity/biomarkers/36127","3-protein respiratory panel")</f>
        <v>3-protein respiratory panel</v>
      </c>
      <c r="I1344" s="2" t="s">
        <v>25</v>
      </c>
      <c r="J1344" s="2" t="s">
        <v>17</v>
      </c>
      <c r="K1344" s="4" t="str">
        <f>HYPERLINK("https://www.cortellis.com/drugdiscovery/result/proxy/related-content/biomarkers/genestargets/36127","interferon gamma; tumor necrosis factor")</f>
        <v>interferon gamma; tumor necrosis factor</v>
      </c>
    </row>
    <row r="1345" spans="1:11" ht="60" customHeight="1" x14ac:dyDescent="0.2">
      <c r="A1345" s="2">
        <v>1342</v>
      </c>
      <c r="B1345" s="3" t="str">
        <f t="shared" si="207"/>
        <v>TNF-alpha</v>
      </c>
      <c r="C1345" s="3" t="str">
        <f t="shared" si="208"/>
        <v>TNF</v>
      </c>
      <c r="D1345" s="3" t="str">
        <f t="shared" si="209"/>
        <v>TNFA_HUMAN</v>
      </c>
      <c r="E1345" s="2" t="s">
        <v>21</v>
      </c>
      <c r="F1345" s="3" t="str">
        <f t="shared" si="210"/>
        <v>Tumor necrosis factor</v>
      </c>
      <c r="G1345" s="4" t="str">
        <f t="shared" si="211"/>
        <v>Golimumab</v>
      </c>
      <c r="H1345" s="3" t="str">
        <f>HYPERLINK("https://www.cortellis.com/drugdiscovery/entity/biomarkers/37520","4-protein bacteremia panel")</f>
        <v>4-protein bacteremia panel</v>
      </c>
      <c r="I1345" s="2" t="s">
        <v>23</v>
      </c>
      <c r="J1345" s="2" t="s">
        <v>17</v>
      </c>
      <c r="K1345" s="4" t="str">
        <f>HYPERLINK("https://www.cortellis.com/drugdiscovery/result/proxy/related-content/biomarkers/genestargets/37520","tumor necrosis factor")</f>
        <v>tumor necrosis factor</v>
      </c>
    </row>
    <row r="1346" spans="1:11" ht="60" customHeight="1" x14ac:dyDescent="0.2">
      <c r="A1346" s="2">
        <v>1343</v>
      </c>
      <c r="B1346" s="3" t="str">
        <f t="shared" si="207"/>
        <v>TNF-alpha</v>
      </c>
      <c r="C1346" s="3" t="str">
        <f t="shared" si="208"/>
        <v>TNF</v>
      </c>
      <c r="D1346" s="3" t="str">
        <f t="shared" si="209"/>
        <v>TNFA_HUMAN</v>
      </c>
      <c r="E1346" s="2" t="s">
        <v>21</v>
      </c>
      <c r="F1346" s="3" t="str">
        <f t="shared" si="210"/>
        <v>Tumor necrosis factor</v>
      </c>
      <c r="G1346" s="4" t="str">
        <f t="shared" si="211"/>
        <v>Golimumab</v>
      </c>
      <c r="H1346" s="3" t="str">
        <f>HYPERLINK("https://www.cortellis.com/drugdiscovery/entity/biomarkers/43870","17-genomic 14-protein 3-biochemical irritable bowel syndrome panel")</f>
        <v>17-genomic 14-protein 3-biochemical irritable bowel syndrome panel</v>
      </c>
      <c r="I1346" s="2" t="s">
        <v>52</v>
      </c>
      <c r="J1346" s="2" t="s">
        <v>53</v>
      </c>
      <c r="K1346" s="4" t="str">
        <f>HYPERLINK("https://www.cortellis.com/drugdiscovery/result/proxy/related-content/biomarkers/genestargets/43870","interleukin 12B; tumor necrosis factor")</f>
        <v>interleukin 12B; tumor necrosis factor</v>
      </c>
    </row>
    <row r="1347" spans="1:11" ht="60" customHeight="1" x14ac:dyDescent="0.2">
      <c r="A1347" s="2">
        <v>1344</v>
      </c>
      <c r="B1347" s="3" t="str">
        <f t="shared" si="207"/>
        <v>TNF-alpha</v>
      </c>
      <c r="C1347" s="3" t="str">
        <f t="shared" si="208"/>
        <v>TNF</v>
      </c>
      <c r="D1347" s="3" t="str">
        <f t="shared" si="209"/>
        <v>TNFA_HUMAN</v>
      </c>
      <c r="E1347" s="2" t="s">
        <v>21</v>
      </c>
      <c r="F1347" s="3" t="str">
        <f t="shared" si="210"/>
        <v>Tumor necrosis factor</v>
      </c>
      <c r="G1347" s="4" t="str">
        <f t="shared" si="211"/>
        <v>Golimumab</v>
      </c>
      <c r="H1347" s="3" t="str">
        <f>HYPERLINK("https://www.cortellis.com/drugdiscovery/entity/biomarkers/46842","7-protein non small cell lung cancer panel")</f>
        <v>7-protein non small cell lung cancer panel</v>
      </c>
      <c r="I1347" s="2" t="s">
        <v>23</v>
      </c>
      <c r="J1347" s="2" t="s">
        <v>17</v>
      </c>
      <c r="K1347" s="4" t="str">
        <f>HYPERLINK("https://www.cortellis.com/drugdiscovery/result/proxy/related-content/biomarkers/genestargets/46842","tumor necrosis factor")</f>
        <v>tumor necrosis factor</v>
      </c>
    </row>
    <row r="1348" spans="1:11" ht="60" customHeight="1" x14ac:dyDescent="0.2">
      <c r="A1348" s="2">
        <v>1345</v>
      </c>
      <c r="B1348" s="3" t="str">
        <f t="shared" si="207"/>
        <v>TNF-alpha</v>
      </c>
      <c r="C1348" s="3" t="str">
        <f t="shared" si="208"/>
        <v>TNF</v>
      </c>
      <c r="D1348" s="3" t="str">
        <f t="shared" si="209"/>
        <v>TNFA_HUMAN</v>
      </c>
      <c r="E1348" s="2" t="s">
        <v>21</v>
      </c>
      <c r="F1348" s="3" t="str">
        <f t="shared" si="210"/>
        <v>Tumor necrosis factor</v>
      </c>
      <c r="G1348" s="4" t="str">
        <f t="shared" si="211"/>
        <v>Golimumab</v>
      </c>
      <c r="H1348" s="3" t="str">
        <f>HYPERLINK("https://www.cortellis.com/drugdiscovery/entity/biomarkers/50816","10-gene lyme disease panel")</f>
        <v>10-gene lyme disease panel</v>
      </c>
      <c r="I1348" s="2" t="s">
        <v>23</v>
      </c>
      <c r="J1348" s="2" t="s">
        <v>15</v>
      </c>
      <c r="K1348" s="4" t="str">
        <f>HYPERLINK("https://www.cortellis.com/drugdiscovery/result/proxy/related-content/biomarkers/genestargets/50816","C-C motif chemokine ligand 2; interferon gamma; tumor necrosis factor")</f>
        <v>C-C motif chemokine ligand 2; interferon gamma; tumor necrosis factor</v>
      </c>
    </row>
    <row r="1349" spans="1:11" ht="60" customHeight="1" x14ac:dyDescent="0.2">
      <c r="A1349" s="2">
        <v>1346</v>
      </c>
      <c r="B1349" s="3" t="str">
        <f t="shared" si="207"/>
        <v>TNF-alpha</v>
      </c>
      <c r="C1349" s="3" t="str">
        <f t="shared" si="208"/>
        <v>TNF</v>
      </c>
      <c r="D1349" s="3" t="str">
        <f t="shared" si="209"/>
        <v>TNFA_HUMAN</v>
      </c>
      <c r="E1349" s="2" t="s">
        <v>21</v>
      </c>
      <c r="F1349" s="3" t="str">
        <f t="shared" si="210"/>
        <v>Tumor necrosis factor</v>
      </c>
      <c r="G1349" s="4" t="str">
        <f t="shared" si="211"/>
        <v>Golimumab</v>
      </c>
      <c r="H1349" s="3" t="str">
        <f>HYPERLINK("https://www.cortellis.com/drugdiscovery/entity/biomarkers/50817","11-gene lyme disease panel")</f>
        <v>11-gene lyme disease panel</v>
      </c>
      <c r="I1349" s="2" t="s">
        <v>23</v>
      </c>
      <c r="J1349" s="2" t="s">
        <v>15</v>
      </c>
      <c r="K1349" s="4" t="str">
        <f>HYPERLINK("https://www.cortellis.com/drugdiscovery/result/proxy/related-content/biomarkers/genestargets/50817","C-C motif chemokine ligand 2; interferon gamma; tumor necrosis factor")</f>
        <v>C-C motif chemokine ligand 2; interferon gamma; tumor necrosis factor</v>
      </c>
    </row>
    <row r="1350" spans="1:11" ht="60" customHeight="1" x14ac:dyDescent="0.2">
      <c r="A1350" s="2">
        <v>1347</v>
      </c>
      <c r="B1350" s="3" t="str">
        <f t="shared" si="207"/>
        <v>TNF-alpha</v>
      </c>
      <c r="C1350" s="3" t="str">
        <f t="shared" si="208"/>
        <v>TNF</v>
      </c>
      <c r="D1350" s="3" t="str">
        <f t="shared" si="209"/>
        <v>TNFA_HUMAN</v>
      </c>
      <c r="E1350" s="2" t="s">
        <v>21</v>
      </c>
      <c r="F1350" s="3" t="str">
        <f t="shared" si="210"/>
        <v>Tumor necrosis factor</v>
      </c>
      <c r="G1350" s="4" t="str">
        <f t="shared" si="211"/>
        <v>Golimumab</v>
      </c>
      <c r="H1350" s="3" t="str">
        <f>HYPERLINK("https://www.cortellis.com/drugdiscovery/entity/biomarkers/50818","12 protein Lyme disease panel")</f>
        <v>12 protein Lyme disease panel</v>
      </c>
      <c r="I1350" s="2" t="s">
        <v>23</v>
      </c>
      <c r="J1350" s="2" t="s">
        <v>17</v>
      </c>
      <c r="K1350" s="4" t="str">
        <f>HYPERLINK("https://www.cortellis.com/drugdiscovery/result/proxy/related-content/biomarkers/genestargets/50818","C-C motif chemokine ligand 2; interferon gamma; tumor necrosis factor")</f>
        <v>C-C motif chemokine ligand 2; interferon gamma; tumor necrosis factor</v>
      </c>
    </row>
    <row r="1351" spans="1:11" ht="60" customHeight="1" x14ac:dyDescent="0.2">
      <c r="A1351" s="2">
        <v>1348</v>
      </c>
      <c r="B1351" s="3" t="str">
        <f t="shared" si="207"/>
        <v>TNF-alpha</v>
      </c>
      <c r="C1351" s="3" t="str">
        <f t="shared" si="208"/>
        <v>TNF</v>
      </c>
      <c r="D1351" s="3" t="str">
        <f t="shared" si="209"/>
        <v>TNFA_HUMAN</v>
      </c>
      <c r="E1351" s="2" t="s">
        <v>21</v>
      </c>
      <c r="F1351" s="3" t="str">
        <f t="shared" si="210"/>
        <v>Tumor necrosis factor</v>
      </c>
      <c r="G1351" s="4" t="str">
        <f t="shared" si="211"/>
        <v>Golimumab</v>
      </c>
      <c r="H1351" s="3" t="str">
        <f>HYPERLINK("https://www.cortellis.com/drugdiscovery/entity/biomarkers/51292","37-gene expression major depression panel")</f>
        <v>37-gene expression major depression panel</v>
      </c>
      <c r="I1351" s="2" t="s">
        <v>23</v>
      </c>
      <c r="J1351" s="2" t="s">
        <v>19</v>
      </c>
      <c r="K1351" s="4" t="str">
        <f>HYPERLINK("https://www.cortellis.com/drugdiscovery/result/proxy/related-content/biomarkers/genestargets/51292","C-C motif chemokine ligand 2; tumor necrosis factor")</f>
        <v>C-C motif chemokine ligand 2; tumor necrosis factor</v>
      </c>
    </row>
    <row r="1352" spans="1:11" ht="60" customHeight="1" x14ac:dyDescent="0.2">
      <c r="A1352" s="2">
        <v>1349</v>
      </c>
      <c r="B1352" s="3" t="str">
        <f t="shared" si="207"/>
        <v>TNF-alpha</v>
      </c>
      <c r="C1352" s="3" t="str">
        <f t="shared" si="208"/>
        <v>TNF</v>
      </c>
      <c r="D1352" s="3" t="str">
        <f t="shared" si="209"/>
        <v>TNFA_HUMAN</v>
      </c>
      <c r="E1352" s="2" t="s">
        <v>21</v>
      </c>
      <c r="F1352" s="3" t="str">
        <f t="shared" si="210"/>
        <v>Tumor necrosis factor</v>
      </c>
      <c r="G1352" s="4" t="str">
        <f t="shared" si="211"/>
        <v>Golimumab</v>
      </c>
      <c r="H1352" s="3" t="str">
        <f>HYPERLINK("https://www.cortellis.com/drugdiscovery/entity/biomarkers/57224","21-protein mild cognitive impairment panel")</f>
        <v>21-protein mild cognitive impairment panel</v>
      </c>
      <c r="I1352" s="2" t="s">
        <v>23</v>
      </c>
      <c r="J1352" s="2" t="s">
        <v>19</v>
      </c>
      <c r="K1352" s="4" t="str">
        <f>HYPERLINK("https://www.cortellis.com/drugdiscovery/result/proxy/related-content/biomarkers/genestargets/57224","interleukin 7; tenascin C; tumor necrosis factor")</f>
        <v>interleukin 7; tenascin C; tumor necrosis factor</v>
      </c>
    </row>
    <row r="1353" spans="1:11" ht="60" customHeight="1" x14ac:dyDescent="0.2">
      <c r="A1353" s="2">
        <v>1350</v>
      </c>
      <c r="B1353" s="3" t="str">
        <f t="shared" si="207"/>
        <v>TNF-alpha</v>
      </c>
      <c r="C1353" s="3" t="str">
        <f t="shared" si="208"/>
        <v>TNF</v>
      </c>
      <c r="D1353" s="3" t="str">
        <f t="shared" si="209"/>
        <v>TNFA_HUMAN</v>
      </c>
      <c r="E1353" s="2" t="s">
        <v>21</v>
      </c>
      <c r="F1353" s="3" t="str">
        <f t="shared" si="210"/>
        <v>Tumor necrosis factor</v>
      </c>
      <c r="G1353" s="4" t="str">
        <f t="shared" si="211"/>
        <v>Golimumab</v>
      </c>
      <c r="H1353" s="3" t="str">
        <f>HYPERLINK("https://www.cortellis.com/drugdiscovery/entity/biomarkers/57250","9-protein non-muscle invasive bladder cancer panel")</f>
        <v>9-protein non-muscle invasive bladder cancer panel</v>
      </c>
      <c r="I1353" s="2" t="s">
        <v>18</v>
      </c>
      <c r="J1353" s="2" t="s">
        <v>17</v>
      </c>
      <c r="K1353" s="4" t="str">
        <f>HYPERLINK("https://www.cortellis.com/drugdiscovery/result/proxy/related-content/biomarkers/genestargets/57250","interferon gamma; interleukin 12B; tumor necrosis factor")</f>
        <v>interferon gamma; interleukin 12B; tumor necrosis factor</v>
      </c>
    </row>
    <row r="1354" spans="1:11" ht="60" customHeight="1" x14ac:dyDescent="0.2">
      <c r="A1354" s="2">
        <v>1351</v>
      </c>
      <c r="B1354" s="3" t="str">
        <f t="shared" si="207"/>
        <v>TNF-alpha</v>
      </c>
      <c r="C1354" s="3" t="str">
        <f t="shared" si="208"/>
        <v>TNF</v>
      </c>
      <c r="D1354" s="3" t="str">
        <f t="shared" si="209"/>
        <v>TNFA_HUMAN</v>
      </c>
      <c r="E1354" s="2" t="s">
        <v>21</v>
      </c>
      <c r="F1354" s="3" t="str">
        <f t="shared" si="210"/>
        <v>Tumor necrosis factor</v>
      </c>
      <c r="G1354" s="4" t="str">
        <f t="shared" si="211"/>
        <v>Golimumab</v>
      </c>
      <c r="H1354" s="3" t="str">
        <f>HYPERLINK("https://www.cortellis.com/drugdiscovery/entity/biomarkers/62155","19-protein rhegmatogenous retinal detachment panel")</f>
        <v>19-protein rhegmatogenous retinal detachment panel</v>
      </c>
      <c r="I1354" s="2" t="s">
        <v>24</v>
      </c>
      <c r="J1354" s="2" t="s">
        <v>17</v>
      </c>
      <c r="K1354" s="4" t="str">
        <f>HYPERLINK("https://www.cortellis.com/drugdiscovery/result/proxy/related-content/biomarkers/genestargets/62155","C-C motif chemokine ligand 2; interleukin 12B; tumor necrosis factor")</f>
        <v>C-C motif chemokine ligand 2; interleukin 12B; tumor necrosis factor</v>
      </c>
    </row>
    <row r="1355" spans="1:11" ht="60" customHeight="1" x14ac:dyDescent="0.2">
      <c r="A1355" s="2">
        <v>1352</v>
      </c>
      <c r="B1355" s="3" t="str">
        <f t="shared" si="207"/>
        <v>TNF-alpha</v>
      </c>
      <c r="C1355" s="3" t="str">
        <f t="shared" si="208"/>
        <v>TNF</v>
      </c>
      <c r="D1355" s="3" t="str">
        <f t="shared" si="209"/>
        <v>TNFA_HUMAN</v>
      </c>
      <c r="E1355" s="2" t="s">
        <v>21</v>
      </c>
      <c r="F1355" s="3" t="str">
        <f t="shared" si="210"/>
        <v>Tumor necrosis factor</v>
      </c>
      <c r="G1355" s="4" t="str">
        <f t="shared" si="211"/>
        <v>Golimumab</v>
      </c>
      <c r="H1355" s="3" t="str">
        <f>HYPERLINK("https://www.cortellis.com/drugdiscovery/entity/biomarkers/62663","9-protein immunological disorders panel")</f>
        <v>9-protein immunological disorders panel</v>
      </c>
      <c r="I1355" s="2" t="s">
        <v>24</v>
      </c>
      <c r="J1355" s="2" t="s">
        <v>17</v>
      </c>
      <c r="K1355" s="4" t="str">
        <f>HYPERLINK("https://www.cortellis.com/drugdiscovery/result/proxy/related-content/biomarkers/genestargets/62663","C-C motif chemokine ligand 2; interferon gamma; tumor necrosis factor")</f>
        <v>C-C motif chemokine ligand 2; interferon gamma; tumor necrosis factor</v>
      </c>
    </row>
    <row r="1356" spans="1:11" ht="60" customHeight="1" x14ac:dyDescent="0.2">
      <c r="A1356" s="2">
        <v>1353</v>
      </c>
      <c r="B1356" s="3" t="str">
        <f t="shared" si="207"/>
        <v>TNF-alpha</v>
      </c>
      <c r="C1356" s="3" t="str">
        <f t="shared" si="208"/>
        <v>TNF</v>
      </c>
      <c r="D1356" s="3" t="str">
        <f t="shared" si="209"/>
        <v>TNFA_HUMAN</v>
      </c>
      <c r="E1356" s="2" t="s">
        <v>21</v>
      </c>
      <c r="F1356" s="3" t="str">
        <f t="shared" si="210"/>
        <v>Tumor necrosis factor</v>
      </c>
      <c r="G1356" s="4" t="str">
        <f t="shared" si="211"/>
        <v>Golimumab</v>
      </c>
      <c r="H1356" s="3" t="str">
        <f>HYPERLINK("https://www.cortellis.com/drugdiscovery/entity/biomarkers/62730","7-protein Alzheimer's disease panel")</f>
        <v>7-protein Alzheimer's disease panel</v>
      </c>
      <c r="I1356" s="2" t="s">
        <v>23</v>
      </c>
      <c r="J1356" s="2" t="s">
        <v>17</v>
      </c>
      <c r="K1356" s="4" t="str">
        <f>HYPERLINK("https://www.cortellis.com/drugdiscovery/result/proxy/related-content/biomarkers/genestargets/62730","tumor necrosis factor")</f>
        <v>tumor necrosis factor</v>
      </c>
    </row>
    <row r="1357" spans="1:11" ht="60" customHeight="1" x14ac:dyDescent="0.2">
      <c r="A1357" s="2">
        <v>1354</v>
      </c>
      <c r="B1357" s="3" t="str">
        <f t="shared" si="207"/>
        <v>TNF-alpha</v>
      </c>
      <c r="C1357" s="3" t="str">
        <f t="shared" si="208"/>
        <v>TNF</v>
      </c>
      <c r="D1357" s="3" t="str">
        <f t="shared" si="209"/>
        <v>TNFA_HUMAN</v>
      </c>
      <c r="E1357" s="2" t="s">
        <v>21</v>
      </c>
      <c r="F1357" s="3" t="str">
        <f t="shared" si="210"/>
        <v>Tumor necrosis factor</v>
      </c>
      <c r="G1357" s="4" t="str">
        <f t="shared" si="211"/>
        <v>Golimumab</v>
      </c>
      <c r="H1357" s="3" t="str">
        <f>HYPERLINK("https://www.cortellis.com/drugdiscovery/entity/biomarkers/62746","5-protein renal disorder panel")</f>
        <v>5-protein renal disorder panel</v>
      </c>
      <c r="I1357" s="2" t="s">
        <v>25</v>
      </c>
      <c r="J1357" s="2" t="s">
        <v>17</v>
      </c>
      <c r="K1357" s="4" t="str">
        <f>HYPERLINK("https://www.cortellis.com/drugdiscovery/result/proxy/related-content/biomarkers/genestargets/62746","tumor necrosis factor")</f>
        <v>tumor necrosis factor</v>
      </c>
    </row>
    <row r="1358" spans="1:11" ht="60" customHeight="1" x14ac:dyDescent="0.2">
      <c r="A1358" s="2">
        <v>1355</v>
      </c>
      <c r="B1358" s="3" t="str">
        <f t="shared" si="207"/>
        <v>TNF-alpha</v>
      </c>
      <c r="C1358" s="3" t="str">
        <f t="shared" si="208"/>
        <v>TNF</v>
      </c>
      <c r="D1358" s="3" t="str">
        <f t="shared" si="209"/>
        <v>TNFA_HUMAN</v>
      </c>
      <c r="E1358" s="2" t="s">
        <v>21</v>
      </c>
      <c r="F1358" s="3" t="str">
        <f t="shared" si="210"/>
        <v>Tumor necrosis factor</v>
      </c>
      <c r="G1358" s="4" t="str">
        <f t="shared" si="211"/>
        <v>Golimumab</v>
      </c>
      <c r="H1358" s="3" t="str">
        <f>HYPERLINK("https://www.cortellis.com/drugdiscovery/entity/biomarkers/65259","22-gene expression hepatocellular carcinoma panel")</f>
        <v>22-gene expression hepatocellular carcinoma panel</v>
      </c>
      <c r="I1358" s="2" t="s">
        <v>25</v>
      </c>
      <c r="J1358" s="2" t="s">
        <v>19</v>
      </c>
      <c r="K1358" s="4" t="str">
        <f>HYPERLINK("https://www.cortellis.com/drugdiscovery/result/proxy/related-content/biomarkers/genestargets/65259","tumor necrosis factor")</f>
        <v>tumor necrosis factor</v>
      </c>
    </row>
    <row r="1359" spans="1:11" ht="60" customHeight="1" x14ac:dyDescent="0.2">
      <c r="A1359" s="2">
        <v>1356</v>
      </c>
      <c r="B1359" s="3" t="str">
        <f t="shared" ref="B1359:B1374" si="212">HYPERLINK("https://portal.genego.com/cgi/entity_page.cgi?term=100&amp;id=-1011803397","Tenascin-C")</f>
        <v>Tenascin-C</v>
      </c>
      <c r="C1359" s="3" t="str">
        <f t="shared" ref="C1359:C1374" si="213">HYPERLINK("https://portal.genego.com/cgi/entity_page.cgi?term=20&amp;id=680189308","TNC")</f>
        <v>TNC</v>
      </c>
      <c r="D1359" s="3" t="str">
        <f t="shared" ref="D1359:D1374" si="214">HYPERLINK("https://portal.genego.com/cgi/entity_page.cgi?term=7&amp;id=-1857687024","TENA_HUMAN")</f>
        <v>TENA_HUMAN</v>
      </c>
      <c r="E1359" s="2" t="s">
        <v>21</v>
      </c>
      <c r="F1359" s="3" t="str">
        <f t="shared" ref="F1359:F1374" si="215">HYPERLINK("https://portal.genego.com/cgi/entity_page.cgi?term=100&amp;id=-1011803397","Tenascin")</f>
        <v>Tenascin</v>
      </c>
      <c r="G1359" s="4"/>
      <c r="H1359" s="3" t="str">
        <f>HYPERLINK("https://www.cortellis.com/drugdiscovery/entity/biomarkers/396","Tenascin")</f>
        <v>Tenascin</v>
      </c>
      <c r="I1359" s="2" t="s">
        <v>70</v>
      </c>
      <c r="J1359" s="2" t="s">
        <v>15</v>
      </c>
      <c r="K1359" s="4" t="str">
        <f>HYPERLINK("https://www.cortellis.com/drugdiscovery/result/proxy/related-content/biomarkers/genestargets/396","tenascin C")</f>
        <v>tenascin C</v>
      </c>
    </row>
    <row r="1360" spans="1:11" ht="60" customHeight="1" x14ac:dyDescent="0.2">
      <c r="A1360" s="2">
        <v>1357</v>
      </c>
      <c r="B1360" s="3" t="str">
        <f t="shared" si="212"/>
        <v>Tenascin-C</v>
      </c>
      <c r="C1360" s="3" t="str">
        <f t="shared" si="213"/>
        <v>TNC</v>
      </c>
      <c r="D1360" s="3" t="str">
        <f t="shared" si="214"/>
        <v>TENA_HUMAN</v>
      </c>
      <c r="E1360" s="2" t="s">
        <v>21</v>
      </c>
      <c r="F1360" s="3" t="str">
        <f t="shared" si="215"/>
        <v>Tenascin</v>
      </c>
      <c r="G1360" s="4"/>
      <c r="H1360" s="3" t="str">
        <f>HYPERLINK("https://www.cortellis.com/drugdiscovery/entity/biomarkers/25308","OvaCheck")</f>
        <v>OvaCheck</v>
      </c>
      <c r="I1360" s="2" t="s">
        <v>23</v>
      </c>
      <c r="J1360" s="2" t="s">
        <v>17</v>
      </c>
      <c r="K1360" s="4" t="str">
        <f>HYPERLINK("https://www.cortellis.com/drugdiscovery/result/proxy/related-content/biomarkers/genestargets/25308","tenascin C")</f>
        <v>tenascin C</v>
      </c>
    </row>
    <row r="1361" spans="1:11" ht="60" customHeight="1" x14ac:dyDescent="0.2">
      <c r="A1361" s="2">
        <v>1358</v>
      </c>
      <c r="B1361" s="3" t="str">
        <f t="shared" si="212"/>
        <v>Tenascin-C</v>
      </c>
      <c r="C1361" s="3" t="str">
        <f t="shared" si="213"/>
        <v>TNC</v>
      </c>
      <c r="D1361" s="3" t="str">
        <f t="shared" si="214"/>
        <v>TENA_HUMAN</v>
      </c>
      <c r="E1361" s="2" t="s">
        <v>21</v>
      </c>
      <c r="F1361" s="3" t="str">
        <f t="shared" si="215"/>
        <v>Tenascin</v>
      </c>
      <c r="G1361" s="4"/>
      <c r="H1361" s="3" t="str">
        <f>HYPERLINK("https://www.cortellis.com/drugdiscovery/entity/biomarkers/28649","588-gene expression liposarcoma panel")</f>
        <v>588-gene expression liposarcoma panel</v>
      </c>
      <c r="I1361" s="2" t="s">
        <v>25</v>
      </c>
      <c r="J1361" s="2" t="s">
        <v>19</v>
      </c>
      <c r="K1361" s="4" t="str">
        <f>HYPERLINK("https://www.cortellis.com/drugdiscovery/result/proxy/related-content/biomarkers/genestargets/28649","tenascin C")</f>
        <v>tenascin C</v>
      </c>
    </row>
    <row r="1362" spans="1:11" ht="60" customHeight="1" x14ac:dyDescent="0.2">
      <c r="A1362" s="2">
        <v>1359</v>
      </c>
      <c r="B1362" s="3" t="str">
        <f t="shared" si="212"/>
        <v>Tenascin-C</v>
      </c>
      <c r="C1362" s="3" t="str">
        <f t="shared" si="213"/>
        <v>TNC</v>
      </c>
      <c r="D1362" s="3" t="str">
        <f t="shared" si="214"/>
        <v>TENA_HUMAN</v>
      </c>
      <c r="E1362" s="2" t="s">
        <v>21</v>
      </c>
      <c r="F1362" s="3" t="str">
        <f t="shared" si="215"/>
        <v>Tenascin</v>
      </c>
      <c r="G1362" s="4"/>
      <c r="H1362" s="3" t="str">
        <f>HYPERLINK("https://www.cortellis.com/drugdiscovery/entity/biomarkers/29113","3-gene expression acute myeloid leukemia panel")</f>
        <v>3-gene expression acute myeloid leukemia panel</v>
      </c>
      <c r="I1362" s="2" t="s">
        <v>25</v>
      </c>
      <c r="J1362" s="2" t="s">
        <v>19</v>
      </c>
      <c r="K1362" s="4" t="str">
        <f>HYPERLINK("https://www.cortellis.com/drugdiscovery/result/proxy/related-content/biomarkers/genestargets/29113","tenascin C")</f>
        <v>tenascin C</v>
      </c>
    </row>
    <row r="1363" spans="1:11" ht="60" customHeight="1" x14ac:dyDescent="0.2">
      <c r="A1363" s="2">
        <v>1360</v>
      </c>
      <c r="B1363" s="3" t="str">
        <f t="shared" si="212"/>
        <v>Tenascin-C</v>
      </c>
      <c r="C1363" s="3" t="str">
        <f t="shared" si="213"/>
        <v>TNC</v>
      </c>
      <c r="D1363" s="3" t="str">
        <f t="shared" si="214"/>
        <v>TENA_HUMAN</v>
      </c>
      <c r="E1363" s="2" t="s">
        <v>21</v>
      </c>
      <c r="F1363" s="3" t="str">
        <f t="shared" si="215"/>
        <v>Tenascin</v>
      </c>
      <c r="G1363" s="4"/>
      <c r="H1363" s="3" t="str">
        <f>HYPERLINK("https://www.cortellis.com/drugdiscovery/entity/biomarkers/31652","786-gene expression cancer panel")</f>
        <v>786-gene expression cancer panel</v>
      </c>
      <c r="I1363" s="2" t="s">
        <v>23</v>
      </c>
      <c r="J1363" s="2" t="s">
        <v>19</v>
      </c>
      <c r="K1363" s="4" t="str">
        <f>HYPERLINK("https://www.cortellis.com/drugdiscovery/result/proxy/related-content/biomarkers/genestargets/31652","C-C motif chemokine ligand 2; coagulation factor III, tissue factor; tenascin C")</f>
        <v>C-C motif chemokine ligand 2; coagulation factor III, tissue factor; tenascin C</v>
      </c>
    </row>
    <row r="1364" spans="1:11" ht="60" customHeight="1" x14ac:dyDescent="0.2">
      <c r="A1364" s="2">
        <v>1361</v>
      </c>
      <c r="B1364" s="3" t="str">
        <f t="shared" si="212"/>
        <v>Tenascin-C</v>
      </c>
      <c r="C1364" s="3" t="str">
        <f t="shared" si="213"/>
        <v>TNC</v>
      </c>
      <c r="D1364" s="3" t="str">
        <f t="shared" si="214"/>
        <v>TENA_HUMAN</v>
      </c>
      <c r="E1364" s="2" t="s">
        <v>21</v>
      </c>
      <c r="F1364" s="3" t="str">
        <f t="shared" si="215"/>
        <v>Tenascin</v>
      </c>
      <c r="G1364" s="4"/>
      <c r="H1364" s="3" t="str">
        <f>HYPERLINK("https://www.cortellis.com/drugdiscovery/entity/biomarkers/34385","30-protein alzheimer's panel")</f>
        <v>30-protein alzheimer's panel</v>
      </c>
      <c r="I1364" s="2" t="s">
        <v>23</v>
      </c>
      <c r="J1364" s="2" t="s">
        <v>17</v>
      </c>
      <c r="K1364" s="4" t="str">
        <f>HYPERLINK("https://www.cortellis.com/drugdiscovery/result/proxy/related-content/biomarkers/genestargets/34385","C-C motif chemokine ligand 2; interleukin 7; tenascin C; tumor necrosis factor")</f>
        <v>C-C motif chemokine ligand 2; interleukin 7; tenascin C; tumor necrosis factor</v>
      </c>
    </row>
    <row r="1365" spans="1:11" ht="60" customHeight="1" x14ac:dyDescent="0.2">
      <c r="A1365" s="2">
        <v>1362</v>
      </c>
      <c r="B1365" s="3" t="str">
        <f t="shared" si="212"/>
        <v>Tenascin-C</v>
      </c>
      <c r="C1365" s="3" t="str">
        <f t="shared" si="213"/>
        <v>TNC</v>
      </c>
      <c r="D1365" s="3" t="str">
        <f t="shared" si="214"/>
        <v>TENA_HUMAN</v>
      </c>
      <c r="E1365" s="2" t="s">
        <v>21</v>
      </c>
      <c r="F1365" s="3" t="str">
        <f t="shared" si="215"/>
        <v>Tenascin</v>
      </c>
      <c r="G1365" s="4"/>
      <c r="H1365" s="3" t="str">
        <f>HYPERLINK("https://www.cortellis.com/drugdiscovery/entity/biomarkers/38576","788-gene expression esophageal cancer panel")</f>
        <v>788-gene expression esophageal cancer panel</v>
      </c>
      <c r="I1365" s="2" t="s">
        <v>23</v>
      </c>
      <c r="J1365" s="2" t="s">
        <v>19</v>
      </c>
      <c r="K1365" s="4" t="str">
        <f>HYPERLINK("https://www.cortellis.com/drugdiscovery/result/proxy/related-content/biomarkers/genestargets/38576","coagulation factor III, tissue factor; tenascin C")</f>
        <v>coagulation factor III, tissue factor; tenascin C</v>
      </c>
    </row>
    <row r="1366" spans="1:11" ht="60" customHeight="1" x14ac:dyDescent="0.2">
      <c r="A1366" s="2">
        <v>1363</v>
      </c>
      <c r="B1366" s="3" t="str">
        <f t="shared" si="212"/>
        <v>Tenascin-C</v>
      </c>
      <c r="C1366" s="3" t="str">
        <f t="shared" si="213"/>
        <v>TNC</v>
      </c>
      <c r="D1366" s="3" t="str">
        <f t="shared" si="214"/>
        <v>TENA_HUMAN</v>
      </c>
      <c r="E1366" s="2" t="s">
        <v>21</v>
      </c>
      <c r="F1366" s="3" t="str">
        <f t="shared" si="215"/>
        <v>Tenascin</v>
      </c>
      <c r="G1366" s="4"/>
      <c r="H1366" s="3" t="str">
        <f>HYPERLINK("https://www.cortellis.com/drugdiscovery/entity/biomarkers/41331","12-gene expression melanoma panel")</f>
        <v>12-gene expression melanoma panel</v>
      </c>
      <c r="I1366" s="2" t="s">
        <v>23</v>
      </c>
      <c r="J1366" s="2" t="s">
        <v>19</v>
      </c>
      <c r="K1366" s="4" t="str">
        <f>HYPERLINK("https://www.cortellis.com/drugdiscovery/result/proxy/related-content/biomarkers/genestargets/41331","tenascin C")</f>
        <v>tenascin C</v>
      </c>
    </row>
    <row r="1367" spans="1:11" ht="60" customHeight="1" x14ac:dyDescent="0.2">
      <c r="A1367" s="2">
        <v>1364</v>
      </c>
      <c r="B1367" s="3" t="str">
        <f t="shared" si="212"/>
        <v>Tenascin-C</v>
      </c>
      <c r="C1367" s="3" t="str">
        <f t="shared" si="213"/>
        <v>TNC</v>
      </c>
      <c r="D1367" s="3" t="str">
        <f t="shared" si="214"/>
        <v>TENA_HUMAN</v>
      </c>
      <c r="E1367" s="2" t="s">
        <v>21</v>
      </c>
      <c r="F1367" s="3" t="str">
        <f t="shared" si="215"/>
        <v>Tenascin</v>
      </c>
      <c r="G1367" s="4"/>
      <c r="H1367" s="3" t="str">
        <f>HYPERLINK("https://www.cortellis.com/drugdiscovery/entity/biomarkers/41724","113-gene expression breast cancer panel")</f>
        <v>113-gene expression breast cancer panel</v>
      </c>
      <c r="I1367" s="2" t="s">
        <v>25</v>
      </c>
      <c r="J1367" s="2" t="s">
        <v>19</v>
      </c>
      <c r="K1367" s="4" t="str">
        <f>HYPERLINK("https://www.cortellis.com/drugdiscovery/result/proxy/related-content/biomarkers/genestargets/41724","C-C motif chemokine ligand 2; tenascin C")</f>
        <v>C-C motif chemokine ligand 2; tenascin C</v>
      </c>
    </row>
    <row r="1368" spans="1:11" ht="60" customHeight="1" x14ac:dyDescent="0.2">
      <c r="A1368" s="2">
        <v>1365</v>
      </c>
      <c r="B1368" s="3" t="str">
        <f t="shared" si="212"/>
        <v>Tenascin-C</v>
      </c>
      <c r="C1368" s="3" t="str">
        <f t="shared" si="213"/>
        <v>TNC</v>
      </c>
      <c r="D1368" s="3" t="str">
        <f t="shared" si="214"/>
        <v>TENA_HUMAN</v>
      </c>
      <c r="E1368" s="2" t="s">
        <v>21</v>
      </c>
      <c r="F1368" s="3" t="str">
        <f t="shared" si="215"/>
        <v>Tenascin</v>
      </c>
      <c r="G1368" s="4"/>
      <c r="H1368" s="3" t="str">
        <f>HYPERLINK("https://www.cortellis.com/drugdiscovery/entity/biomarkers/46637","7-protein osteoarthritis panel")</f>
        <v>7-protein osteoarthritis panel</v>
      </c>
      <c r="I1368" s="2" t="s">
        <v>23</v>
      </c>
      <c r="J1368" s="2" t="s">
        <v>17</v>
      </c>
      <c r="K1368" s="4" t="str">
        <f>HYPERLINK("https://www.cortellis.com/drugdiscovery/result/proxy/related-content/biomarkers/genestargets/46637","tenascin C")</f>
        <v>tenascin C</v>
      </c>
    </row>
    <row r="1369" spans="1:11" ht="60" customHeight="1" x14ac:dyDescent="0.2">
      <c r="A1369" s="2">
        <v>1366</v>
      </c>
      <c r="B1369" s="3" t="str">
        <f t="shared" si="212"/>
        <v>Tenascin-C</v>
      </c>
      <c r="C1369" s="3" t="str">
        <f t="shared" si="213"/>
        <v>TNC</v>
      </c>
      <c r="D1369" s="3" t="str">
        <f t="shared" si="214"/>
        <v>TENA_HUMAN</v>
      </c>
      <c r="E1369" s="2" t="s">
        <v>21</v>
      </c>
      <c r="F1369" s="3" t="str">
        <f t="shared" si="215"/>
        <v>Tenascin</v>
      </c>
      <c r="G1369" s="4"/>
      <c r="H1369" s="3" t="str">
        <f>HYPERLINK("https://www.cortellis.com/drugdiscovery/entity/biomarkers/48483","AngioMatrix")</f>
        <v>AngioMatrix</v>
      </c>
      <c r="I1369" s="2" t="s">
        <v>26</v>
      </c>
      <c r="J1369" s="2" t="s">
        <v>19</v>
      </c>
      <c r="K1369" s="4" t="str">
        <f>HYPERLINK("https://www.cortellis.com/drugdiscovery/result/proxy/related-content/biomarkers/genestargets/48483","C-C motif chemokine ligand 2; tenascin C")</f>
        <v>C-C motif chemokine ligand 2; tenascin C</v>
      </c>
    </row>
    <row r="1370" spans="1:11" ht="60" customHeight="1" x14ac:dyDescent="0.2">
      <c r="A1370" s="2">
        <v>1367</v>
      </c>
      <c r="B1370" s="3" t="str">
        <f t="shared" si="212"/>
        <v>Tenascin-C</v>
      </c>
      <c r="C1370" s="3" t="str">
        <f t="shared" si="213"/>
        <v>TNC</v>
      </c>
      <c r="D1370" s="3" t="str">
        <f t="shared" si="214"/>
        <v>TENA_HUMAN</v>
      </c>
      <c r="E1370" s="2" t="s">
        <v>21</v>
      </c>
      <c r="F1370" s="3" t="str">
        <f t="shared" si="215"/>
        <v>Tenascin</v>
      </c>
      <c r="G1370" s="4"/>
      <c r="H1370" s="3" t="str">
        <f>HYPERLINK("https://www.cortellis.com/drugdiscovery/entity/biomarkers/49585","31-gene expression medulloblastoma panel")</f>
        <v>31-gene expression medulloblastoma panel</v>
      </c>
      <c r="I1370" s="2" t="s">
        <v>23</v>
      </c>
      <c r="J1370" s="2" t="s">
        <v>19</v>
      </c>
      <c r="K1370" s="4" t="str">
        <f>HYPERLINK("https://www.cortellis.com/drugdiscovery/result/proxy/related-content/biomarkers/genestargets/49585","tenascin C")</f>
        <v>tenascin C</v>
      </c>
    </row>
    <row r="1371" spans="1:11" ht="60" customHeight="1" x14ac:dyDescent="0.2">
      <c r="A1371" s="2">
        <v>1368</v>
      </c>
      <c r="B1371" s="3" t="str">
        <f t="shared" si="212"/>
        <v>Tenascin-C</v>
      </c>
      <c r="C1371" s="3" t="str">
        <f t="shared" si="213"/>
        <v>TNC</v>
      </c>
      <c r="D1371" s="3" t="str">
        <f t="shared" si="214"/>
        <v>TENA_HUMAN</v>
      </c>
      <c r="E1371" s="2" t="s">
        <v>21</v>
      </c>
      <c r="F1371" s="3" t="str">
        <f t="shared" si="215"/>
        <v>Tenascin</v>
      </c>
      <c r="G1371" s="4"/>
      <c r="H1371" s="3" t="str">
        <f>HYPERLINK("https://www.cortellis.com/drugdiscovery/entity/biomarkers/56684","3-gene expression pancreatic ductal adenocarcinoma panel")</f>
        <v>3-gene expression pancreatic ductal adenocarcinoma panel</v>
      </c>
      <c r="I1371" s="2" t="s">
        <v>23</v>
      </c>
      <c r="J1371" s="2" t="s">
        <v>19</v>
      </c>
      <c r="K1371" s="4" t="str">
        <f>HYPERLINK("https://www.cortellis.com/drugdiscovery/result/proxy/related-content/biomarkers/genestargets/56684","tenascin C; tissue factor pathway inhibitor")</f>
        <v>tenascin C; tissue factor pathway inhibitor</v>
      </c>
    </row>
    <row r="1372" spans="1:11" ht="60" customHeight="1" x14ac:dyDescent="0.2">
      <c r="A1372" s="2">
        <v>1369</v>
      </c>
      <c r="B1372" s="3" t="str">
        <f t="shared" si="212"/>
        <v>Tenascin-C</v>
      </c>
      <c r="C1372" s="3" t="str">
        <f t="shared" si="213"/>
        <v>TNC</v>
      </c>
      <c r="D1372" s="3" t="str">
        <f t="shared" si="214"/>
        <v>TENA_HUMAN</v>
      </c>
      <c r="E1372" s="2" t="s">
        <v>21</v>
      </c>
      <c r="F1372" s="3" t="str">
        <f t="shared" si="215"/>
        <v>Tenascin</v>
      </c>
      <c r="G1372" s="4"/>
      <c r="H1372" s="3" t="str">
        <f>HYPERLINK("https://www.cortellis.com/drugdiscovery/entity/biomarkers/56837","794-gene expression intrahepatic cholangiocarcinoma panel")</f>
        <v>794-gene expression intrahepatic cholangiocarcinoma panel</v>
      </c>
      <c r="I1372" s="2" t="s">
        <v>25</v>
      </c>
      <c r="J1372" s="2" t="s">
        <v>19</v>
      </c>
      <c r="K1372" s="4" t="str">
        <f>HYPERLINK("https://www.cortellis.com/drugdiscovery/result/proxy/related-content/biomarkers/genestargets/56837","C-C motif chemokine ligand 2; tenascin C")</f>
        <v>C-C motif chemokine ligand 2; tenascin C</v>
      </c>
    </row>
    <row r="1373" spans="1:11" ht="60" customHeight="1" x14ac:dyDescent="0.2">
      <c r="A1373" s="2">
        <v>1370</v>
      </c>
      <c r="B1373" s="3" t="str">
        <f t="shared" si="212"/>
        <v>Tenascin-C</v>
      </c>
      <c r="C1373" s="3" t="str">
        <f t="shared" si="213"/>
        <v>TNC</v>
      </c>
      <c r="D1373" s="3" t="str">
        <f t="shared" si="214"/>
        <v>TENA_HUMAN</v>
      </c>
      <c r="E1373" s="2" t="s">
        <v>21</v>
      </c>
      <c r="F1373" s="3" t="str">
        <f t="shared" si="215"/>
        <v>Tenascin</v>
      </c>
      <c r="G1373" s="4"/>
      <c r="H1373" s="3" t="str">
        <f>HYPERLINK("https://www.cortellis.com/drugdiscovery/entity/biomarkers/57224","21-protein mild cognitive impairment panel")</f>
        <v>21-protein mild cognitive impairment panel</v>
      </c>
      <c r="I1373" s="2" t="s">
        <v>23</v>
      </c>
      <c r="J1373" s="2" t="s">
        <v>19</v>
      </c>
      <c r="K1373" s="4" t="str">
        <f>HYPERLINK("https://www.cortellis.com/drugdiscovery/result/proxy/related-content/biomarkers/genestargets/57224","interleukin 7; tenascin C; tumor necrosis factor")</f>
        <v>interleukin 7; tenascin C; tumor necrosis factor</v>
      </c>
    </row>
    <row r="1374" spans="1:11" ht="60" customHeight="1" x14ac:dyDescent="0.2">
      <c r="A1374" s="2">
        <v>1371</v>
      </c>
      <c r="B1374" s="3" t="str">
        <f t="shared" si="212"/>
        <v>Tenascin-C</v>
      </c>
      <c r="C1374" s="3" t="str">
        <f t="shared" si="213"/>
        <v>TNC</v>
      </c>
      <c r="D1374" s="3" t="str">
        <f t="shared" si="214"/>
        <v>TENA_HUMAN</v>
      </c>
      <c r="E1374" s="2" t="s">
        <v>21</v>
      </c>
      <c r="F1374" s="3" t="str">
        <f t="shared" si="215"/>
        <v>Tenascin</v>
      </c>
      <c r="G1374" s="4"/>
      <c r="H1374" s="3" t="str">
        <f>HYPERLINK("https://www.cortellis.com/drugdiscovery/entity/biomarkers/59583","93-gene expression prostate cancer panel")</f>
        <v>93-gene expression prostate cancer panel</v>
      </c>
      <c r="I1374" s="2" t="s">
        <v>25</v>
      </c>
      <c r="J1374" s="2" t="s">
        <v>19</v>
      </c>
      <c r="K1374" s="4" t="str">
        <f>HYPERLINK("https://www.cortellis.com/drugdiscovery/result/proxy/related-content/biomarkers/genestargets/59583","tenascin C")</f>
        <v>tenascin C</v>
      </c>
    </row>
    <row r="1375" spans="1:11" ht="60" customHeight="1" x14ac:dyDescent="0.2">
      <c r="A1375" s="2">
        <v>1372</v>
      </c>
      <c r="B1375" s="3" t="str">
        <f>HYPERLINK("https://portal.genego.com/cgi/entity_page.cgi?term=100&amp;id=-1823858437","Thioredoxin")</f>
        <v>Thioredoxin</v>
      </c>
      <c r="C1375" s="3" t="str">
        <f>HYPERLINK("https://portal.genego.com/cgi/entity_page.cgi?term=20&amp;id=-1596906781","TXN")</f>
        <v>TXN</v>
      </c>
      <c r="D1375" s="3" t="str">
        <f>HYPERLINK("https://portal.genego.com/cgi/entity_page.cgi?term=7&amp;id=1453927391","THIO_HUMAN")</f>
        <v>THIO_HUMAN</v>
      </c>
      <c r="E1375" s="2" t="s">
        <v>30</v>
      </c>
      <c r="F1375" s="3" t="str">
        <f>HYPERLINK("https://portal.genego.com/cgi/entity_page.cgi?term=100&amp;id=-1823858437","Thioredoxin")</f>
        <v>Thioredoxin</v>
      </c>
      <c r="G1375" s="4" t="str">
        <f>HYPERLINK("https://portal.genego.com/cgi/entity_page.cgi?term=7&amp;id=2043509908","PX12")</f>
        <v>PX12</v>
      </c>
      <c r="H1375" s="3" t="str">
        <f>HYPERLINK("https://www.cortellis.com/drugdiscovery/entity/biomarkers/1723","Thioredoxin")</f>
        <v>Thioredoxin</v>
      </c>
      <c r="I1375" s="2" t="s">
        <v>31</v>
      </c>
      <c r="J1375" s="2" t="s">
        <v>15</v>
      </c>
      <c r="K1375" s="4" t="str">
        <f>HYPERLINK("https://www.cortellis.com/drugdiscovery/result/proxy/related-content/biomarkers/genestargets/1723","thioredoxin")</f>
        <v>thioredoxin</v>
      </c>
    </row>
    <row r="1376" spans="1:11" ht="60" customHeight="1" x14ac:dyDescent="0.2">
      <c r="A1376" s="2">
        <v>1373</v>
      </c>
      <c r="B1376" s="3" t="str">
        <f>HYPERLINK("https://portal.genego.com/cgi/entity_page.cgi?term=100&amp;id=-1823858437","Thioredoxin")</f>
        <v>Thioredoxin</v>
      </c>
      <c r="C1376" s="3" t="str">
        <f>HYPERLINK("https://portal.genego.com/cgi/entity_page.cgi?term=20&amp;id=-1596906781","TXN")</f>
        <v>TXN</v>
      </c>
      <c r="D1376" s="3" t="str">
        <f>HYPERLINK("https://portal.genego.com/cgi/entity_page.cgi?term=7&amp;id=1453927391","THIO_HUMAN")</f>
        <v>THIO_HUMAN</v>
      </c>
      <c r="E1376" s="2" t="s">
        <v>30</v>
      </c>
      <c r="F1376" s="3" t="str">
        <f>HYPERLINK("https://portal.genego.com/cgi/entity_page.cgi?term=100&amp;id=-1823858437","Thioredoxin")</f>
        <v>Thioredoxin</v>
      </c>
      <c r="G1376" s="4" t="str">
        <f>HYPERLINK("https://portal.genego.com/cgi/entity_page.cgi?term=7&amp;id=2043509908","PX12")</f>
        <v>PX12</v>
      </c>
      <c r="H1376" s="3" t="str">
        <f>HYPERLINK("https://www.cortellis.com/drugdiscovery/entity/biomarkers/29034","156-gene expression cervical cancer panel")</f>
        <v>156-gene expression cervical cancer panel</v>
      </c>
      <c r="I1376" s="2" t="s">
        <v>23</v>
      </c>
      <c r="J1376" s="2" t="s">
        <v>19</v>
      </c>
      <c r="K1376" s="4" t="str">
        <f>HYPERLINK("https://www.cortellis.com/drugdiscovery/result/proxy/related-content/biomarkers/genestargets/29034","thioredoxin")</f>
        <v>thioredoxin</v>
      </c>
    </row>
    <row r="1377" spans="1:11" ht="60" customHeight="1" x14ac:dyDescent="0.2">
      <c r="A1377" s="2">
        <v>1374</v>
      </c>
      <c r="B1377" s="3" t="str">
        <f>HYPERLINK("https://portal.genego.com/cgi/entity_page.cgi?term=100&amp;id=-1823858437","Thioredoxin")</f>
        <v>Thioredoxin</v>
      </c>
      <c r="C1377" s="3" t="str">
        <f>HYPERLINK("https://portal.genego.com/cgi/entity_page.cgi?term=20&amp;id=-1596906781","TXN")</f>
        <v>TXN</v>
      </c>
      <c r="D1377" s="3" t="str">
        <f>HYPERLINK("https://portal.genego.com/cgi/entity_page.cgi?term=7&amp;id=1453927391","THIO_HUMAN")</f>
        <v>THIO_HUMAN</v>
      </c>
      <c r="E1377" s="2" t="s">
        <v>30</v>
      </c>
      <c r="F1377" s="3" t="str">
        <f>HYPERLINK("https://portal.genego.com/cgi/entity_page.cgi?term=100&amp;id=-1823858437","Thioredoxin")</f>
        <v>Thioredoxin</v>
      </c>
      <c r="G1377" s="4" t="str">
        <f>HYPERLINK("https://portal.genego.com/cgi/entity_page.cgi?term=7&amp;id=2043509908","PX12")</f>
        <v>PX12</v>
      </c>
      <c r="H1377" s="3" t="str">
        <f>HYPERLINK("https://www.cortellis.com/drugdiscovery/entity/biomarkers/38095","ClinicoMolecular Triad Classification")</f>
        <v>ClinicoMolecular Triad Classification</v>
      </c>
      <c r="I1377" s="2" t="s">
        <v>18</v>
      </c>
      <c r="J1377" s="2" t="s">
        <v>19</v>
      </c>
      <c r="K1377" s="4" t="str">
        <f>HYPERLINK("https://www.cortellis.com/drugdiscovery/result/proxy/related-content/biomarkers/genestargets/38095","thioredoxin")</f>
        <v>thioredoxin</v>
      </c>
    </row>
    <row r="1378" spans="1:11" ht="60" customHeight="1" x14ac:dyDescent="0.2">
      <c r="A1378" s="2">
        <v>1375</v>
      </c>
      <c r="B1378" s="3" t="str">
        <f>HYPERLINK("https://portal.genego.com/cgi/entity_page.cgi?term=100&amp;id=-1823858437","Thioredoxin")</f>
        <v>Thioredoxin</v>
      </c>
      <c r="C1378" s="3" t="str">
        <f>HYPERLINK("https://portal.genego.com/cgi/entity_page.cgi?term=20&amp;id=-1596906781","TXN")</f>
        <v>TXN</v>
      </c>
      <c r="D1378" s="3" t="str">
        <f>HYPERLINK("https://portal.genego.com/cgi/entity_page.cgi?term=7&amp;id=1453927391","THIO_HUMAN")</f>
        <v>THIO_HUMAN</v>
      </c>
      <c r="E1378" s="2" t="s">
        <v>30</v>
      </c>
      <c r="F1378" s="3" t="str">
        <f>HYPERLINK("https://portal.genego.com/cgi/entity_page.cgi?term=100&amp;id=-1823858437","Thioredoxin")</f>
        <v>Thioredoxin</v>
      </c>
      <c r="G1378" s="4" t="str">
        <f>HYPERLINK("https://portal.genego.com/cgi/entity_page.cgi?term=7&amp;id=2043509908","PX12")</f>
        <v>PX12</v>
      </c>
      <c r="H1378" s="3" t="str">
        <f>HYPERLINK("https://www.cortellis.com/drugdiscovery/entity/biomarkers/63218","3-protein cholangiocarcinoma panel")</f>
        <v>3-protein cholangiocarcinoma panel</v>
      </c>
      <c r="I1378" s="2" t="s">
        <v>23</v>
      </c>
      <c r="J1378" s="2" t="s">
        <v>17</v>
      </c>
      <c r="K1378" s="4" t="str">
        <f>HYPERLINK("https://www.cortellis.com/drugdiscovery/result/proxy/related-content/biomarkers/genestargets/63218","thioredoxin")</f>
        <v>thioredoxin</v>
      </c>
    </row>
    <row r="1379" spans="1:11" ht="60" customHeight="1" x14ac:dyDescent="0.2">
      <c r="A1379" s="2">
        <v>1376</v>
      </c>
      <c r="B1379" s="3" t="str">
        <f t="shared" ref="B1379:B1395" si="216">HYPERLINK("https://portal.genego.com/cgi/entity_page.cgi?term=100&amp;id=4588","Tissue factor")</f>
        <v>Tissue factor</v>
      </c>
      <c r="C1379" s="3" t="str">
        <f t="shared" ref="C1379:C1395" si="217">HYPERLINK("https://portal.genego.com/cgi/entity_page.cgi?term=20&amp;id=958858101","F3")</f>
        <v>F3</v>
      </c>
      <c r="D1379" s="3" t="str">
        <f t="shared" ref="D1379:D1395" si="218">HYPERLINK("https://portal.genego.com/cgi/entity_page.cgi?term=7&amp;id=-431622346","TF_HUMAN")</f>
        <v>TF_HUMAN</v>
      </c>
      <c r="E1379" s="2" t="s">
        <v>13</v>
      </c>
      <c r="F1379" s="3" t="str">
        <f t="shared" ref="F1379:F1395" si="219">HYPERLINK("https://portal.genego.com/cgi/entity_page.cgi?term=100&amp;id=4588","Tissue factor")</f>
        <v>Tissue factor</v>
      </c>
      <c r="G1379" s="4"/>
      <c r="H1379" s="3" t="str">
        <f>HYPERLINK("https://www.cortellis.com/drugdiscovery/entity/biomarkers/481","Tissue factor")</f>
        <v>Tissue factor</v>
      </c>
      <c r="I1379" s="2" t="s">
        <v>56</v>
      </c>
      <c r="J1379" s="2" t="s">
        <v>15</v>
      </c>
      <c r="K1379" s="4" t="str">
        <f>HYPERLINK("https://www.cortellis.com/drugdiscovery/result/proxy/related-content/biomarkers/genestargets/481","coagulation factor III, tissue factor")</f>
        <v>coagulation factor III, tissue factor</v>
      </c>
    </row>
    <row r="1380" spans="1:11" ht="60" customHeight="1" x14ac:dyDescent="0.2">
      <c r="A1380" s="2">
        <v>1377</v>
      </c>
      <c r="B1380" s="3" t="str">
        <f t="shared" si="216"/>
        <v>Tissue factor</v>
      </c>
      <c r="C1380" s="3" t="str">
        <f t="shared" si="217"/>
        <v>F3</v>
      </c>
      <c r="D1380" s="3" t="str">
        <f t="shared" si="218"/>
        <v>TF_HUMAN</v>
      </c>
      <c r="E1380" s="2" t="s">
        <v>13</v>
      </c>
      <c r="F1380" s="3" t="str">
        <f t="shared" si="219"/>
        <v>Tissue factor</v>
      </c>
      <c r="G1380" s="4"/>
      <c r="H1380" s="3" t="str">
        <f>HYPERLINK("https://www.cortellis.com/drugdiscovery/entity/biomarkers/25837","374-gene expression breast cancer panel")</f>
        <v>374-gene expression breast cancer panel</v>
      </c>
      <c r="I1380" s="2" t="s">
        <v>25</v>
      </c>
      <c r="J1380" s="2" t="s">
        <v>19</v>
      </c>
      <c r="K1380" s="4" t="str">
        <f>HYPERLINK("https://www.cortellis.com/drugdiscovery/result/proxy/related-content/biomarkers/genestargets/25837","CD44 molecule (Indian blood group); coagulation factor III, tissue factor; cyclin D1")</f>
        <v>CD44 molecule (Indian blood group); coagulation factor III, tissue factor; cyclin D1</v>
      </c>
    </row>
    <row r="1381" spans="1:11" ht="60" customHeight="1" x14ac:dyDescent="0.2">
      <c r="A1381" s="2">
        <v>1378</v>
      </c>
      <c r="B1381" s="3" t="str">
        <f t="shared" si="216"/>
        <v>Tissue factor</v>
      </c>
      <c r="C1381" s="3" t="str">
        <f t="shared" si="217"/>
        <v>F3</v>
      </c>
      <c r="D1381" s="3" t="str">
        <f t="shared" si="218"/>
        <v>TF_HUMAN</v>
      </c>
      <c r="E1381" s="2" t="s">
        <v>13</v>
      </c>
      <c r="F1381" s="3" t="str">
        <f t="shared" si="219"/>
        <v>Tissue factor</v>
      </c>
      <c r="G1381" s="4"/>
      <c r="H1381" s="3" t="str">
        <f>HYPERLINK("https://www.cortellis.com/drugdiscovery/entity/biomarkers/26071","442-gene expression breast cancer panel")</f>
        <v>442-gene expression breast cancer panel</v>
      </c>
      <c r="I1381" s="2" t="s">
        <v>25</v>
      </c>
      <c r="J1381" s="2" t="s">
        <v>19</v>
      </c>
      <c r="K1381" s="4" t="str">
        <f>HYPERLINK("https://www.cortellis.com/drugdiscovery/result/proxy/related-content/biomarkers/genestargets/26071","coagulation factor III, tissue factor")</f>
        <v>coagulation factor III, tissue factor</v>
      </c>
    </row>
    <row r="1382" spans="1:11" ht="60" customHeight="1" x14ac:dyDescent="0.2">
      <c r="A1382" s="2">
        <v>1379</v>
      </c>
      <c r="B1382" s="3" t="str">
        <f t="shared" si="216"/>
        <v>Tissue factor</v>
      </c>
      <c r="C1382" s="3" t="str">
        <f t="shared" si="217"/>
        <v>F3</v>
      </c>
      <c r="D1382" s="3" t="str">
        <f t="shared" si="218"/>
        <v>TF_HUMAN</v>
      </c>
      <c r="E1382" s="2" t="s">
        <v>13</v>
      </c>
      <c r="F1382" s="3" t="str">
        <f t="shared" si="219"/>
        <v>Tissue factor</v>
      </c>
      <c r="G1382" s="4"/>
      <c r="H1382" s="3" t="str">
        <f>HYPERLINK("https://www.cortellis.com/drugdiscovery/entity/biomarkers/27598","89-protein neurological alzheimer's panel")</f>
        <v>89-protein neurological alzheimer's panel</v>
      </c>
      <c r="I1382" s="2" t="s">
        <v>23</v>
      </c>
      <c r="J1382" s="2" t="s">
        <v>17</v>
      </c>
      <c r="K1382"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383" spans="1:11" ht="60" customHeight="1" x14ac:dyDescent="0.2">
      <c r="A1383" s="2">
        <v>1380</v>
      </c>
      <c r="B1383" s="3" t="str">
        <f t="shared" si="216"/>
        <v>Tissue factor</v>
      </c>
      <c r="C1383" s="3" t="str">
        <f t="shared" si="217"/>
        <v>F3</v>
      </c>
      <c r="D1383" s="3" t="str">
        <f t="shared" si="218"/>
        <v>TF_HUMAN</v>
      </c>
      <c r="E1383" s="2" t="s">
        <v>13</v>
      </c>
      <c r="F1383" s="3" t="str">
        <f t="shared" si="219"/>
        <v>Tissue factor</v>
      </c>
      <c r="G1383" s="4"/>
      <c r="H1383" s="3" t="str">
        <f>HYPERLINK("https://www.cortellis.com/drugdiscovery/entity/biomarkers/28219","54-gene expression colorectal cancer panel")</f>
        <v>54-gene expression colorectal cancer panel</v>
      </c>
      <c r="I1383" s="2" t="s">
        <v>25</v>
      </c>
      <c r="J1383" s="2" t="s">
        <v>19</v>
      </c>
      <c r="K1383" s="4" t="str">
        <f>HYPERLINK("https://www.cortellis.com/drugdiscovery/result/proxy/related-content/biomarkers/genestargets/28219","coagulation factor III, tissue factor")</f>
        <v>coagulation factor III, tissue factor</v>
      </c>
    </row>
    <row r="1384" spans="1:11" ht="60" customHeight="1" x14ac:dyDescent="0.2">
      <c r="A1384" s="2">
        <v>1381</v>
      </c>
      <c r="B1384" s="3" t="str">
        <f t="shared" si="216"/>
        <v>Tissue factor</v>
      </c>
      <c r="C1384" s="3" t="str">
        <f t="shared" si="217"/>
        <v>F3</v>
      </c>
      <c r="D1384" s="3" t="str">
        <f t="shared" si="218"/>
        <v>TF_HUMAN</v>
      </c>
      <c r="E1384" s="2" t="s">
        <v>13</v>
      </c>
      <c r="F1384" s="3" t="str">
        <f t="shared" si="219"/>
        <v>Tissue factor</v>
      </c>
      <c r="G1384" s="4"/>
      <c r="H1384" s="3" t="str">
        <f>HYPERLINK("https://www.cortellis.com/drugdiscovery/entity/biomarkers/31652","786-gene expression cancer panel")</f>
        <v>786-gene expression cancer panel</v>
      </c>
      <c r="I1384" s="2" t="s">
        <v>23</v>
      </c>
      <c r="J1384" s="2" t="s">
        <v>19</v>
      </c>
      <c r="K1384" s="4" t="str">
        <f>HYPERLINK("https://www.cortellis.com/drugdiscovery/result/proxy/related-content/biomarkers/genestargets/31652","C-C motif chemokine ligand 2; coagulation factor III, tissue factor; tenascin C")</f>
        <v>C-C motif chemokine ligand 2; coagulation factor III, tissue factor; tenascin C</v>
      </c>
    </row>
    <row r="1385" spans="1:11" ht="60" customHeight="1" x14ac:dyDescent="0.2">
      <c r="A1385" s="2">
        <v>1382</v>
      </c>
      <c r="B1385" s="3" t="str">
        <f t="shared" si="216"/>
        <v>Tissue factor</v>
      </c>
      <c r="C1385" s="3" t="str">
        <f t="shared" si="217"/>
        <v>F3</v>
      </c>
      <c r="D1385" s="3" t="str">
        <f t="shared" si="218"/>
        <v>TF_HUMAN</v>
      </c>
      <c r="E1385" s="2" t="s">
        <v>13</v>
      </c>
      <c r="F1385" s="3" t="str">
        <f t="shared" si="219"/>
        <v>Tissue factor</v>
      </c>
      <c r="G1385" s="4"/>
      <c r="H1385" s="3" t="str">
        <f>HYPERLINK("https://www.cortellis.com/drugdiscovery/entity/biomarkers/38576","788-gene expression esophageal cancer panel")</f>
        <v>788-gene expression esophageal cancer panel</v>
      </c>
      <c r="I1385" s="2" t="s">
        <v>23</v>
      </c>
      <c r="J1385" s="2" t="s">
        <v>19</v>
      </c>
      <c r="K1385" s="4" t="str">
        <f>HYPERLINK("https://www.cortellis.com/drugdiscovery/result/proxy/related-content/biomarkers/genestargets/38576","coagulation factor III, tissue factor; tenascin C")</f>
        <v>coagulation factor III, tissue factor; tenascin C</v>
      </c>
    </row>
    <row r="1386" spans="1:11" ht="60" customHeight="1" x14ac:dyDescent="0.2">
      <c r="A1386" s="2">
        <v>1383</v>
      </c>
      <c r="B1386" s="3" t="str">
        <f t="shared" si="216"/>
        <v>Tissue factor</v>
      </c>
      <c r="C1386" s="3" t="str">
        <f t="shared" si="217"/>
        <v>F3</v>
      </c>
      <c r="D1386" s="3" t="str">
        <f t="shared" si="218"/>
        <v>TF_HUMAN</v>
      </c>
      <c r="E1386" s="2" t="s">
        <v>13</v>
      </c>
      <c r="F1386" s="3" t="str">
        <f t="shared" si="219"/>
        <v>Tissue factor</v>
      </c>
      <c r="G1386" s="4"/>
      <c r="H1386" s="3" t="str">
        <f>HYPERLINK("https://www.cortellis.com/drugdiscovery/entity/biomarkers/39096","94-gene expression lung cancer panel")</f>
        <v>94-gene expression lung cancer panel</v>
      </c>
      <c r="I1386" s="2" t="s">
        <v>18</v>
      </c>
      <c r="J1386" s="2" t="s">
        <v>19</v>
      </c>
      <c r="K1386" s="4" t="str">
        <f>HYPERLINK("https://www.cortellis.com/drugdiscovery/result/proxy/related-content/biomarkers/genestargets/39096","coagulation factor III, tissue factor")</f>
        <v>coagulation factor III, tissue factor</v>
      </c>
    </row>
    <row r="1387" spans="1:11" ht="60" customHeight="1" x14ac:dyDescent="0.2">
      <c r="A1387" s="2">
        <v>1384</v>
      </c>
      <c r="B1387" s="3" t="str">
        <f t="shared" si="216"/>
        <v>Tissue factor</v>
      </c>
      <c r="C1387" s="3" t="str">
        <f t="shared" si="217"/>
        <v>F3</v>
      </c>
      <c r="D1387" s="3" t="str">
        <f t="shared" si="218"/>
        <v>TF_HUMAN</v>
      </c>
      <c r="E1387" s="2" t="s">
        <v>13</v>
      </c>
      <c r="F1387" s="3" t="str">
        <f t="shared" si="219"/>
        <v>Tissue factor</v>
      </c>
      <c r="G1387" s="4"/>
      <c r="H1387" s="3" t="str">
        <f>HYPERLINK("https://www.cortellis.com/drugdiscovery/entity/biomarkers/39384","31-gene polymorphism venous thrombosis panel")</f>
        <v>31-gene polymorphism venous thrombosis panel</v>
      </c>
      <c r="I1387" s="2" t="s">
        <v>29</v>
      </c>
      <c r="J1387" s="2" t="s">
        <v>19</v>
      </c>
      <c r="K1387" s="4" t="str">
        <f>HYPERLINK("https://www.cortellis.com/drugdiscovery/result/proxy/related-content/biomarkers/genestargets/39384","coagulation factor III, tissue factor; tissue factor pathway inhibitor")</f>
        <v>coagulation factor III, tissue factor; tissue factor pathway inhibitor</v>
      </c>
    </row>
    <row r="1388" spans="1:11" ht="60" customHeight="1" x14ac:dyDescent="0.2">
      <c r="A1388" s="2">
        <v>1385</v>
      </c>
      <c r="B1388" s="3" t="str">
        <f t="shared" si="216"/>
        <v>Tissue factor</v>
      </c>
      <c r="C1388" s="3" t="str">
        <f t="shared" si="217"/>
        <v>F3</v>
      </c>
      <c r="D1388" s="3" t="str">
        <f t="shared" si="218"/>
        <v>TF_HUMAN</v>
      </c>
      <c r="E1388" s="2" t="s">
        <v>13</v>
      </c>
      <c r="F1388" s="3" t="str">
        <f t="shared" si="219"/>
        <v>Tissue factor</v>
      </c>
      <c r="G1388" s="4"/>
      <c r="H1388" s="3" t="str">
        <f>HYPERLINK("https://www.cortellis.com/drugdiscovery/entity/biomarkers/39915","3-gene expression prostate cancer panel")</f>
        <v>3-gene expression prostate cancer panel</v>
      </c>
      <c r="I1388" s="2" t="s">
        <v>18</v>
      </c>
      <c r="J1388" s="2" t="s">
        <v>19</v>
      </c>
      <c r="K1388" s="4" t="str">
        <f>HYPERLINK("https://www.cortellis.com/drugdiscovery/result/proxy/related-content/biomarkers/genestargets/39915","coagulation factor III, tissue factor")</f>
        <v>coagulation factor III, tissue factor</v>
      </c>
    </row>
    <row r="1389" spans="1:11" ht="60" customHeight="1" x14ac:dyDescent="0.2">
      <c r="A1389" s="2">
        <v>1386</v>
      </c>
      <c r="B1389" s="3" t="str">
        <f t="shared" si="216"/>
        <v>Tissue factor</v>
      </c>
      <c r="C1389" s="3" t="str">
        <f t="shared" si="217"/>
        <v>F3</v>
      </c>
      <c r="D1389" s="3" t="str">
        <f t="shared" si="218"/>
        <v>TF_HUMAN</v>
      </c>
      <c r="E1389" s="2" t="s">
        <v>13</v>
      </c>
      <c r="F1389" s="3" t="str">
        <f t="shared" si="219"/>
        <v>Tissue factor</v>
      </c>
      <c r="G1389" s="4"/>
      <c r="H1389" s="3" t="str">
        <f>HYPERLINK("https://www.cortellis.com/drugdiscovery/entity/biomarkers/40025","EoE diagnostic panel")</f>
        <v>EoE diagnostic panel</v>
      </c>
      <c r="I1389" s="2" t="s">
        <v>23</v>
      </c>
      <c r="J1389" s="2" t="s">
        <v>19</v>
      </c>
      <c r="K1389" s="4" t="str">
        <f>HYPERLINK("https://www.cortellis.com/drugdiscovery/result/proxy/related-content/biomarkers/genestargets/40025","coagulation factor III, tissue factor; interleukin 15")</f>
        <v>coagulation factor III, tissue factor; interleukin 15</v>
      </c>
    </row>
    <row r="1390" spans="1:11" ht="60" customHeight="1" x14ac:dyDescent="0.2">
      <c r="A1390" s="2">
        <v>1387</v>
      </c>
      <c r="B1390" s="3" t="str">
        <f t="shared" si="216"/>
        <v>Tissue factor</v>
      </c>
      <c r="C1390" s="3" t="str">
        <f t="shared" si="217"/>
        <v>F3</v>
      </c>
      <c r="D1390" s="3" t="str">
        <f t="shared" si="218"/>
        <v>TF_HUMAN</v>
      </c>
      <c r="E1390" s="2" t="s">
        <v>13</v>
      </c>
      <c r="F1390" s="3" t="str">
        <f t="shared" si="219"/>
        <v>Tissue factor</v>
      </c>
      <c r="G1390" s="4"/>
      <c r="H1390" s="3" t="str">
        <f>HYPERLINK("https://www.cortellis.com/drugdiscovery/entity/biomarkers/40303","65-gene expression hepatocellular cancer panel")</f>
        <v>65-gene expression hepatocellular cancer panel</v>
      </c>
      <c r="I1390" s="2" t="s">
        <v>25</v>
      </c>
      <c r="J1390" s="2" t="s">
        <v>19</v>
      </c>
      <c r="K1390" s="4" t="str">
        <f>HYPERLINK("https://www.cortellis.com/drugdiscovery/result/proxy/related-content/biomarkers/genestargets/40303","coagulation factor III, tissue factor")</f>
        <v>coagulation factor III, tissue factor</v>
      </c>
    </row>
    <row r="1391" spans="1:11" ht="60" customHeight="1" x14ac:dyDescent="0.2">
      <c r="A1391" s="2">
        <v>1388</v>
      </c>
      <c r="B1391" s="3" t="str">
        <f t="shared" si="216"/>
        <v>Tissue factor</v>
      </c>
      <c r="C1391" s="3" t="str">
        <f t="shared" si="217"/>
        <v>F3</v>
      </c>
      <c r="D1391" s="3" t="str">
        <f t="shared" si="218"/>
        <v>TF_HUMAN</v>
      </c>
      <c r="E1391" s="2" t="s">
        <v>13</v>
      </c>
      <c r="F1391" s="3" t="str">
        <f t="shared" si="219"/>
        <v>Tissue factor</v>
      </c>
      <c r="G1391" s="4"/>
      <c r="H1391" s="3" t="str">
        <f>HYPERLINK("https://www.cortellis.com/drugdiscovery/entity/biomarkers/40551","3-gene expression prostate cancer panel")</f>
        <v>3-gene expression prostate cancer panel</v>
      </c>
      <c r="I1391" s="2" t="s">
        <v>66</v>
      </c>
      <c r="J1391" s="2" t="s">
        <v>19</v>
      </c>
      <c r="K1391" s="4" t="str">
        <f>HYPERLINK("https://www.cortellis.com/drugdiscovery/result/proxy/related-content/biomarkers/genestargets/40551","coagulation factor III, tissue factor")</f>
        <v>coagulation factor III, tissue factor</v>
      </c>
    </row>
    <row r="1392" spans="1:11" ht="60" customHeight="1" x14ac:dyDescent="0.2">
      <c r="A1392" s="2">
        <v>1389</v>
      </c>
      <c r="B1392" s="3" t="str">
        <f t="shared" si="216"/>
        <v>Tissue factor</v>
      </c>
      <c r="C1392" s="3" t="str">
        <f t="shared" si="217"/>
        <v>F3</v>
      </c>
      <c r="D1392" s="3" t="str">
        <f t="shared" si="218"/>
        <v>TF_HUMAN</v>
      </c>
      <c r="E1392" s="2" t="s">
        <v>13</v>
      </c>
      <c r="F1392" s="3" t="str">
        <f t="shared" si="219"/>
        <v>Tissue factor</v>
      </c>
      <c r="G1392" s="4"/>
      <c r="H1392" s="3" t="str">
        <f>HYPERLINK("https://www.cortellis.com/drugdiscovery/entity/biomarkers/43136","3-gene expression prostate cancer panel")</f>
        <v>3-gene expression prostate cancer panel</v>
      </c>
      <c r="I1392" s="2" t="s">
        <v>18</v>
      </c>
      <c r="J1392" s="2" t="s">
        <v>19</v>
      </c>
      <c r="K1392" s="4" t="str">
        <f>HYPERLINK("https://www.cortellis.com/drugdiscovery/result/proxy/related-content/biomarkers/genestargets/43136","coagulation factor III, tissue factor")</f>
        <v>coagulation factor III, tissue factor</v>
      </c>
    </row>
    <row r="1393" spans="1:11" ht="60" customHeight="1" x14ac:dyDescent="0.2">
      <c r="A1393" s="2">
        <v>1390</v>
      </c>
      <c r="B1393" s="3" t="str">
        <f t="shared" si="216"/>
        <v>Tissue factor</v>
      </c>
      <c r="C1393" s="3" t="str">
        <f t="shared" si="217"/>
        <v>F3</v>
      </c>
      <c r="D1393" s="3" t="str">
        <f t="shared" si="218"/>
        <v>TF_HUMAN</v>
      </c>
      <c r="E1393" s="2" t="s">
        <v>13</v>
      </c>
      <c r="F1393" s="3" t="str">
        <f t="shared" si="219"/>
        <v>Tissue factor</v>
      </c>
      <c r="G1393" s="4"/>
      <c r="H1393" s="3" t="str">
        <f>HYPERLINK("https://www.cortellis.com/drugdiscovery/entity/biomarkers/44132","3-gene expression prostate cancer panel")</f>
        <v>3-gene expression prostate cancer panel</v>
      </c>
      <c r="I1393" s="2" t="s">
        <v>25</v>
      </c>
      <c r="J1393" s="2" t="s">
        <v>19</v>
      </c>
      <c r="K1393" s="4" t="str">
        <f>HYPERLINK("https://www.cortellis.com/drugdiscovery/result/proxy/related-content/biomarkers/genestargets/44132","coagulation factor III, tissue factor")</f>
        <v>coagulation factor III, tissue factor</v>
      </c>
    </row>
    <row r="1394" spans="1:11" ht="60" customHeight="1" x14ac:dyDescent="0.2">
      <c r="A1394" s="2">
        <v>1391</v>
      </c>
      <c r="B1394" s="3" t="str">
        <f t="shared" si="216"/>
        <v>Tissue factor</v>
      </c>
      <c r="C1394" s="3" t="str">
        <f t="shared" si="217"/>
        <v>F3</v>
      </c>
      <c r="D1394" s="3" t="str">
        <f t="shared" si="218"/>
        <v>TF_HUMAN</v>
      </c>
      <c r="E1394" s="2" t="s">
        <v>13</v>
      </c>
      <c r="F1394" s="3" t="str">
        <f t="shared" si="219"/>
        <v>Tissue factor</v>
      </c>
      <c r="G1394" s="4"/>
      <c r="H1394" s="3" t="str">
        <f>HYPERLINK("https://www.cortellis.com/drugdiscovery/entity/biomarkers/59163","3-gene expression prostate cancer panel")</f>
        <v>3-gene expression prostate cancer panel</v>
      </c>
      <c r="I1394" s="2" t="s">
        <v>25</v>
      </c>
      <c r="J1394" s="2" t="s">
        <v>19</v>
      </c>
      <c r="K1394" s="4" t="str">
        <f>HYPERLINK("https://www.cortellis.com/drugdiscovery/result/proxy/related-content/biomarkers/genestargets/59163","coagulation factor III, tissue factor")</f>
        <v>coagulation factor III, tissue factor</v>
      </c>
    </row>
    <row r="1395" spans="1:11" ht="60" customHeight="1" x14ac:dyDescent="0.2">
      <c r="A1395" s="2">
        <v>1392</v>
      </c>
      <c r="B1395" s="3" t="str">
        <f t="shared" si="216"/>
        <v>Tissue factor</v>
      </c>
      <c r="C1395" s="3" t="str">
        <f t="shared" si="217"/>
        <v>F3</v>
      </c>
      <c r="D1395" s="3" t="str">
        <f t="shared" si="218"/>
        <v>TF_HUMAN</v>
      </c>
      <c r="E1395" s="2" t="s">
        <v>13</v>
      </c>
      <c r="F1395" s="3" t="str">
        <f t="shared" si="219"/>
        <v>Tissue factor</v>
      </c>
      <c r="G1395" s="4"/>
      <c r="H1395" s="3" t="str">
        <f>HYPERLINK("https://www.cortellis.com/drugdiscovery/entity/biomarkers/63755","7-protein chronic liver disease panel")</f>
        <v>7-protein chronic liver disease panel</v>
      </c>
      <c r="I1395" s="2" t="s">
        <v>71</v>
      </c>
      <c r="J1395" s="2" t="s">
        <v>17</v>
      </c>
      <c r="K1395" s="4" t="str">
        <f>HYPERLINK("https://www.cortellis.com/drugdiscovery/result/proxy/related-content/biomarkers/genestargets/63755","coagulation factor III, tissue factor")</f>
        <v>coagulation factor III, tissue factor</v>
      </c>
    </row>
    <row r="1396" spans="1:11" ht="60" customHeight="1" x14ac:dyDescent="0.2">
      <c r="A1396" s="2">
        <v>1393</v>
      </c>
      <c r="B1396" s="3" t="str">
        <f t="shared" ref="B1396:B1414" si="220">HYPERLINK("https://portal.genego.com/cgi/entity_page.cgi?term=100&amp;id=-828179843","miR-1-3p")</f>
        <v>miR-1-3p</v>
      </c>
      <c r="C1396" s="3" t="str">
        <f t="shared" ref="C1396:C1405" si="221">HYPERLINK("https://portal.genego.com/cgi/entity_page.cgi?term=20&amp;id=-1487577337","MIR1-1")</f>
        <v>MIR1-1</v>
      </c>
      <c r="D1396" s="3" t="str">
        <f t="shared" ref="D1396:D1414" si="222">HYPERLINK("https://portal.genego.com/cgi/entity_page.cgi?term=7&amp;id=-1743296706","hsa-miR-1-3p")</f>
        <v>hsa-miR-1-3p</v>
      </c>
      <c r="E1396" s="2" t="s">
        <v>72</v>
      </c>
      <c r="F1396" s="3" t="str">
        <f t="shared" ref="F1396:F1414" si="223">HYPERLINK("https://portal.genego.com/cgi/entity_page.cgi?term=100&amp;id=-828179843","Mature microRNA-1-3p")</f>
        <v>Mature microRNA-1-3p</v>
      </c>
      <c r="G1396" s="4"/>
      <c r="H1396" s="3" t="str">
        <f>HYPERLINK("https://www.cortellis.com/drugdiscovery/entity/biomarkers/7491","microRNA 1-1")</f>
        <v>microRNA 1-1</v>
      </c>
      <c r="I1396" s="2" t="s">
        <v>73</v>
      </c>
      <c r="J1396" s="2" t="s">
        <v>19</v>
      </c>
      <c r="K1396" s="4" t="str">
        <f>HYPERLINK("https://www.cortellis.com/drugdiscovery/result/proxy/related-content/biomarkers/genestargets/7491","microRNA 1-1")</f>
        <v>microRNA 1-1</v>
      </c>
    </row>
    <row r="1397" spans="1:11" ht="60" customHeight="1" x14ac:dyDescent="0.2">
      <c r="A1397" s="2">
        <v>1394</v>
      </c>
      <c r="B1397" s="3" t="str">
        <f t="shared" si="220"/>
        <v>miR-1-3p</v>
      </c>
      <c r="C1397" s="3" t="str">
        <f t="shared" si="221"/>
        <v>MIR1-1</v>
      </c>
      <c r="D1397" s="3" t="str">
        <f t="shared" si="222"/>
        <v>hsa-miR-1-3p</v>
      </c>
      <c r="E1397" s="2" t="s">
        <v>72</v>
      </c>
      <c r="F1397" s="3" t="str">
        <f t="shared" si="223"/>
        <v>Mature microRNA-1-3p</v>
      </c>
      <c r="G1397" s="4"/>
      <c r="H1397" s="3" t="str">
        <f>HYPERLINK("https://www.cortellis.com/drugdiscovery/entity/biomarkers/8906","microRNA 1")</f>
        <v>microRNA 1</v>
      </c>
      <c r="I1397" s="2" t="s">
        <v>74</v>
      </c>
      <c r="J1397" s="2" t="s">
        <v>19</v>
      </c>
      <c r="K1397" s="4" t="str">
        <f>HYPERLINK("https://www.cortellis.com/drugdiscovery/result/proxy/related-content/biomarkers/genestargets/8906","microRNA 1-1; microRNA 1-2")</f>
        <v>microRNA 1-1; microRNA 1-2</v>
      </c>
    </row>
    <row r="1398" spans="1:11" ht="60" customHeight="1" x14ac:dyDescent="0.2">
      <c r="A1398" s="2">
        <v>1395</v>
      </c>
      <c r="B1398" s="3" t="str">
        <f t="shared" si="220"/>
        <v>miR-1-3p</v>
      </c>
      <c r="C1398" s="3" t="str">
        <f t="shared" si="221"/>
        <v>MIR1-1</v>
      </c>
      <c r="D1398" s="3" t="str">
        <f t="shared" si="222"/>
        <v>hsa-miR-1-3p</v>
      </c>
      <c r="E1398" s="2" t="s">
        <v>72</v>
      </c>
      <c r="F1398" s="3" t="str">
        <f t="shared" si="223"/>
        <v>Mature microRNA-1-3p</v>
      </c>
      <c r="G1398" s="4"/>
      <c r="H1398" s="3" t="str">
        <f>HYPERLINK("https://www.cortellis.com/drugdiscovery/entity/biomarkers/24381","5-microRNA gastric cancer panel")</f>
        <v>5-microRNA gastric cancer panel</v>
      </c>
      <c r="I1398" s="2" t="s">
        <v>75</v>
      </c>
      <c r="J1398" s="2" t="s">
        <v>19</v>
      </c>
      <c r="K1398" s="4" t="str">
        <f>HYPERLINK("https://www.cortellis.com/drugdiscovery/result/proxy/related-content/biomarkers/genestargets/24381","microRNA 1-1; microRNA 1-2")</f>
        <v>microRNA 1-1; microRNA 1-2</v>
      </c>
    </row>
    <row r="1399" spans="1:11" ht="60" customHeight="1" x14ac:dyDescent="0.2">
      <c r="A1399" s="2">
        <v>1396</v>
      </c>
      <c r="B1399" s="3" t="str">
        <f t="shared" si="220"/>
        <v>miR-1-3p</v>
      </c>
      <c r="C1399" s="3" t="str">
        <f t="shared" si="221"/>
        <v>MIR1-1</v>
      </c>
      <c r="D1399" s="3" t="str">
        <f t="shared" si="222"/>
        <v>hsa-miR-1-3p</v>
      </c>
      <c r="E1399" s="2" t="s">
        <v>72</v>
      </c>
      <c r="F1399" s="3" t="str">
        <f t="shared" si="223"/>
        <v>Mature microRNA-1-3p</v>
      </c>
      <c r="G1399" s="4"/>
      <c r="H1399" s="3" t="str">
        <f>HYPERLINK("https://www.cortellis.com/drugdiscovery/entity/biomarkers/27376","4-microRNA lung cancer panel")</f>
        <v>4-microRNA lung cancer panel</v>
      </c>
      <c r="I1399" s="2" t="s">
        <v>25</v>
      </c>
      <c r="J1399" s="2" t="s">
        <v>19</v>
      </c>
      <c r="K1399" s="4" t="str">
        <f>HYPERLINK("https://www.cortellis.com/drugdiscovery/result/proxy/related-content/biomarkers/genestargets/27376","microRNA 1-1; microRNA 1-2")</f>
        <v>microRNA 1-1; microRNA 1-2</v>
      </c>
    </row>
    <row r="1400" spans="1:11" ht="60" customHeight="1" x14ac:dyDescent="0.2">
      <c r="A1400" s="2">
        <v>1397</v>
      </c>
      <c r="B1400" s="3" t="str">
        <f t="shared" si="220"/>
        <v>miR-1-3p</v>
      </c>
      <c r="C1400" s="3" t="str">
        <f t="shared" si="221"/>
        <v>MIR1-1</v>
      </c>
      <c r="D1400" s="3" t="str">
        <f t="shared" si="222"/>
        <v>hsa-miR-1-3p</v>
      </c>
      <c r="E1400" s="2" t="s">
        <v>72</v>
      </c>
      <c r="F1400" s="3" t="str">
        <f t="shared" si="223"/>
        <v>Mature microRNA-1-3p</v>
      </c>
      <c r="G1400" s="4"/>
      <c r="H1400" s="3" t="str">
        <f>HYPERLINK("https://www.cortellis.com/drugdiscovery/entity/biomarkers/28458","23-microRNA prostate cancer panel")</f>
        <v>23-microRNA prostate cancer panel</v>
      </c>
      <c r="I1400" s="2" t="s">
        <v>23</v>
      </c>
      <c r="J1400" s="2" t="s">
        <v>19</v>
      </c>
      <c r="K1400" s="4" t="str">
        <f>HYPERLINK("https://www.cortellis.com/drugdiscovery/result/proxy/related-content/biomarkers/genestargets/28458","microRNA 1-1; microRNA 1-2; microRNA 133a-1; microRNA 133a-2")</f>
        <v>microRNA 1-1; microRNA 1-2; microRNA 133a-1; microRNA 133a-2</v>
      </c>
    </row>
    <row r="1401" spans="1:11" ht="60" customHeight="1" x14ac:dyDescent="0.2">
      <c r="A1401" s="2">
        <v>1398</v>
      </c>
      <c r="B1401" s="3" t="str">
        <f t="shared" si="220"/>
        <v>miR-1-3p</v>
      </c>
      <c r="C1401" s="3" t="str">
        <f t="shared" si="221"/>
        <v>MIR1-1</v>
      </c>
      <c r="D1401" s="3" t="str">
        <f t="shared" si="222"/>
        <v>hsa-miR-1-3p</v>
      </c>
      <c r="E1401" s="2" t="s">
        <v>72</v>
      </c>
      <c r="F1401" s="3" t="str">
        <f t="shared" si="223"/>
        <v>Mature microRNA-1-3p</v>
      </c>
      <c r="G1401" s="4"/>
      <c r="H1401" s="3" t="str">
        <f>HYPERLINK("https://www.cortellis.com/drugdiscovery/entity/biomarkers/51306","microRNA 1-3p")</f>
        <v>microRNA 1-3p</v>
      </c>
      <c r="I1401" s="2" t="s">
        <v>76</v>
      </c>
      <c r="J1401" s="2" t="s">
        <v>19</v>
      </c>
      <c r="K1401" s="4" t="str">
        <f>HYPERLINK("https://www.cortellis.com/drugdiscovery/result/proxy/related-content/biomarkers/genestargets/51306","microRNA 1-1; microRNA 1-2")</f>
        <v>microRNA 1-1; microRNA 1-2</v>
      </c>
    </row>
    <row r="1402" spans="1:11" ht="60" customHeight="1" x14ac:dyDescent="0.2">
      <c r="A1402" s="2">
        <v>1399</v>
      </c>
      <c r="B1402" s="3" t="str">
        <f t="shared" si="220"/>
        <v>miR-1-3p</v>
      </c>
      <c r="C1402" s="3" t="str">
        <f t="shared" si="221"/>
        <v>MIR1-1</v>
      </c>
      <c r="D1402" s="3" t="str">
        <f t="shared" si="222"/>
        <v>hsa-miR-1-3p</v>
      </c>
      <c r="E1402" s="2" t="s">
        <v>72</v>
      </c>
      <c r="F1402" s="3" t="str">
        <f t="shared" si="223"/>
        <v>Mature microRNA-1-3p</v>
      </c>
      <c r="G1402" s="4"/>
      <c r="H1402" s="3" t="str">
        <f>HYPERLINK("https://www.cortellis.com/drugdiscovery/entity/biomarkers/57005","microRNA 1-5p")</f>
        <v>microRNA 1-5p</v>
      </c>
      <c r="I1402" s="2" t="s">
        <v>34</v>
      </c>
      <c r="J1402" s="2" t="s">
        <v>19</v>
      </c>
      <c r="K1402" s="4" t="str">
        <f>HYPERLINK("https://www.cortellis.com/drugdiscovery/result/proxy/related-content/biomarkers/genestargets/57005","microRNA 1-1")</f>
        <v>microRNA 1-1</v>
      </c>
    </row>
    <row r="1403" spans="1:11" ht="60" customHeight="1" x14ac:dyDescent="0.2">
      <c r="A1403" s="2">
        <v>1400</v>
      </c>
      <c r="B1403" s="3" t="str">
        <f t="shared" si="220"/>
        <v>miR-1-3p</v>
      </c>
      <c r="C1403" s="3" t="str">
        <f t="shared" si="221"/>
        <v>MIR1-1</v>
      </c>
      <c r="D1403" s="3" t="str">
        <f t="shared" si="222"/>
        <v>hsa-miR-1-3p</v>
      </c>
      <c r="E1403" s="2" t="s">
        <v>72</v>
      </c>
      <c r="F1403" s="3" t="str">
        <f t="shared" si="223"/>
        <v>Mature microRNA-1-3p</v>
      </c>
      <c r="G1403" s="4"/>
      <c r="H1403" s="3" t="str">
        <f>HYPERLINK("https://www.cortellis.com/drugdiscovery/entity/biomarkers/65103","5-microRNA non-small-cell lung cancer panel")</f>
        <v>5-microRNA non-small-cell lung cancer panel</v>
      </c>
      <c r="I1403" s="2" t="s">
        <v>75</v>
      </c>
      <c r="J1403" s="2" t="s">
        <v>19</v>
      </c>
      <c r="K1403" s="4" t="str">
        <f>HYPERLINK("https://www.cortellis.com/drugdiscovery/result/proxy/related-content/biomarkers/genestargets/65103","microRNA 1-1; microRNA 1-2; microRNA 214")</f>
        <v>microRNA 1-1; microRNA 1-2; microRNA 214</v>
      </c>
    </row>
    <row r="1404" spans="1:11" ht="60" customHeight="1" x14ac:dyDescent="0.2">
      <c r="A1404" s="2">
        <v>1401</v>
      </c>
      <c r="B1404" s="3" t="str">
        <f t="shared" si="220"/>
        <v>miR-1-3p</v>
      </c>
      <c r="C1404" s="3" t="str">
        <f t="shared" si="221"/>
        <v>MIR1-1</v>
      </c>
      <c r="D1404" s="3" t="str">
        <f t="shared" si="222"/>
        <v>hsa-miR-1-3p</v>
      </c>
      <c r="E1404" s="2" t="s">
        <v>72</v>
      </c>
      <c r="F1404" s="3" t="str">
        <f t="shared" si="223"/>
        <v>Mature microRNA-1-3p</v>
      </c>
      <c r="G1404" s="4"/>
      <c r="H1404" s="3" t="str">
        <f>HYPERLINK("https://www.cortellis.com/drugdiscovery/entity/biomarkers/65163","4-microRNA gastric cancer panel")</f>
        <v>4-microRNA gastric cancer panel</v>
      </c>
      <c r="I1404" s="2" t="s">
        <v>23</v>
      </c>
      <c r="J1404" s="2" t="s">
        <v>19</v>
      </c>
      <c r="K1404" s="4" t="str">
        <f>HYPERLINK("https://www.cortellis.com/drugdiscovery/result/proxy/related-content/biomarkers/genestargets/65163","microRNA 1-1; microRNA 1-2")</f>
        <v>microRNA 1-1; microRNA 1-2</v>
      </c>
    </row>
    <row r="1405" spans="1:11" ht="60" customHeight="1" x14ac:dyDescent="0.2">
      <c r="A1405" s="2">
        <v>1402</v>
      </c>
      <c r="B1405" s="3" t="str">
        <f t="shared" si="220"/>
        <v>miR-1-3p</v>
      </c>
      <c r="C1405" s="3" t="str">
        <f t="shared" si="221"/>
        <v>MIR1-1</v>
      </c>
      <c r="D1405" s="3" t="str">
        <f t="shared" si="222"/>
        <v>hsa-miR-1-3p</v>
      </c>
      <c r="E1405" s="2" t="s">
        <v>72</v>
      </c>
      <c r="F1405" s="3" t="str">
        <f t="shared" si="223"/>
        <v>Mature microRNA-1-3p</v>
      </c>
      <c r="G1405" s="4"/>
      <c r="H1405" s="3" t="str">
        <f>HYPERLINK("https://www.cortellis.com/drugdiscovery/entity/biomarkers/65724","microRNA 1-1-3p")</f>
        <v>microRNA 1-1-3p</v>
      </c>
      <c r="I1405" s="2" t="s">
        <v>28</v>
      </c>
      <c r="J1405" s="2" t="s">
        <v>19</v>
      </c>
      <c r="K1405" s="4" t="str">
        <f>HYPERLINK("https://www.cortellis.com/drugdiscovery/result/proxy/related-content/biomarkers/genestargets/65724","microRNA 1-1")</f>
        <v>microRNA 1-1</v>
      </c>
    </row>
    <row r="1406" spans="1:11" ht="60" customHeight="1" x14ac:dyDescent="0.2">
      <c r="A1406" s="2">
        <v>1403</v>
      </c>
      <c r="B1406" s="3" t="str">
        <f t="shared" si="220"/>
        <v>miR-1-3p</v>
      </c>
      <c r="C1406" s="3" t="str">
        <f t="shared" ref="C1406:C1414" si="224">HYPERLINK("https://portal.genego.com/cgi/entity_page.cgi?term=20&amp;id=-948256790","MIR1-2")</f>
        <v>MIR1-2</v>
      </c>
      <c r="D1406" s="3" t="str">
        <f t="shared" si="222"/>
        <v>hsa-miR-1-3p</v>
      </c>
      <c r="E1406" s="2" t="s">
        <v>72</v>
      </c>
      <c r="F1406" s="3" t="str">
        <f t="shared" si="223"/>
        <v>Mature microRNA-1-3p</v>
      </c>
      <c r="G1406" s="4"/>
      <c r="H1406" s="3" t="str">
        <f>HYPERLINK("https://www.cortellis.com/drugdiscovery/entity/biomarkers/7489","microRNA 1-2")</f>
        <v>microRNA 1-2</v>
      </c>
      <c r="I1406" s="2" t="s">
        <v>77</v>
      </c>
      <c r="J1406" s="2" t="s">
        <v>19</v>
      </c>
      <c r="K1406" s="4" t="str">
        <f>HYPERLINK("https://www.cortellis.com/drugdiscovery/result/proxy/related-content/biomarkers/genestargets/7489","microRNA 1-2")</f>
        <v>microRNA 1-2</v>
      </c>
    </row>
    <row r="1407" spans="1:11" ht="60" customHeight="1" x14ac:dyDescent="0.2">
      <c r="A1407" s="2">
        <v>1404</v>
      </c>
      <c r="B1407" s="3" t="str">
        <f t="shared" si="220"/>
        <v>miR-1-3p</v>
      </c>
      <c r="C1407" s="3" t="str">
        <f t="shared" si="224"/>
        <v>MIR1-2</v>
      </c>
      <c r="D1407" s="3" t="str">
        <f t="shared" si="222"/>
        <v>hsa-miR-1-3p</v>
      </c>
      <c r="E1407" s="2" t="s">
        <v>72</v>
      </c>
      <c r="F1407" s="3" t="str">
        <f t="shared" si="223"/>
        <v>Mature microRNA-1-3p</v>
      </c>
      <c r="G1407" s="4"/>
      <c r="H1407" s="3" t="str">
        <f>HYPERLINK("https://www.cortellis.com/drugdiscovery/entity/biomarkers/8906","microRNA 1")</f>
        <v>microRNA 1</v>
      </c>
      <c r="I1407" s="2" t="s">
        <v>74</v>
      </c>
      <c r="J1407" s="2" t="s">
        <v>19</v>
      </c>
      <c r="K1407" s="4" t="str">
        <f>HYPERLINK("https://www.cortellis.com/drugdiscovery/result/proxy/related-content/biomarkers/genestargets/8906","microRNA 1-1; microRNA 1-2")</f>
        <v>microRNA 1-1; microRNA 1-2</v>
      </c>
    </row>
    <row r="1408" spans="1:11" ht="60" customHeight="1" x14ac:dyDescent="0.2">
      <c r="A1408" s="2">
        <v>1405</v>
      </c>
      <c r="B1408" s="3" t="str">
        <f t="shared" si="220"/>
        <v>miR-1-3p</v>
      </c>
      <c r="C1408" s="3" t="str">
        <f t="shared" si="224"/>
        <v>MIR1-2</v>
      </c>
      <c r="D1408" s="3" t="str">
        <f t="shared" si="222"/>
        <v>hsa-miR-1-3p</v>
      </c>
      <c r="E1408" s="2" t="s">
        <v>72</v>
      </c>
      <c r="F1408" s="3" t="str">
        <f t="shared" si="223"/>
        <v>Mature microRNA-1-3p</v>
      </c>
      <c r="G1408" s="4"/>
      <c r="H1408" s="3" t="str">
        <f>HYPERLINK("https://www.cortellis.com/drugdiscovery/entity/biomarkers/24381","5-microRNA gastric cancer panel")</f>
        <v>5-microRNA gastric cancer panel</v>
      </c>
      <c r="I1408" s="2" t="s">
        <v>75</v>
      </c>
      <c r="J1408" s="2" t="s">
        <v>19</v>
      </c>
      <c r="K1408" s="4" t="str">
        <f>HYPERLINK("https://www.cortellis.com/drugdiscovery/result/proxy/related-content/biomarkers/genestargets/24381","microRNA 1-1; microRNA 1-2")</f>
        <v>microRNA 1-1; microRNA 1-2</v>
      </c>
    </row>
    <row r="1409" spans="1:11" ht="60" customHeight="1" x14ac:dyDescent="0.2">
      <c r="A1409" s="2">
        <v>1406</v>
      </c>
      <c r="B1409" s="3" t="str">
        <f t="shared" si="220"/>
        <v>miR-1-3p</v>
      </c>
      <c r="C1409" s="3" t="str">
        <f t="shared" si="224"/>
        <v>MIR1-2</v>
      </c>
      <c r="D1409" s="3" t="str">
        <f t="shared" si="222"/>
        <v>hsa-miR-1-3p</v>
      </c>
      <c r="E1409" s="2" t="s">
        <v>72</v>
      </c>
      <c r="F1409" s="3" t="str">
        <f t="shared" si="223"/>
        <v>Mature microRNA-1-3p</v>
      </c>
      <c r="G1409" s="4"/>
      <c r="H1409" s="3" t="str">
        <f>HYPERLINK("https://www.cortellis.com/drugdiscovery/entity/biomarkers/27376","4-microRNA lung cancer panel")</f>
        <v>4-microRNA lung cancer panel</v>
      </c>
      <c r="I1409" s="2" t="s">
        <v>25</v>
      </c>
      <c r="J1409" s="2" t="s">
        <v>19</v>
      </c>
      <c r="K1409" s="4" t="str">
        <f>HYPERLINK("https://www.cortellis.com/drugdiscovery/result/proxy/related-content/biomarkers/genestargets/27376","microRNA 1-1; microRNA 1-2")</f>
        <v>microRNA 1-1; microRNA 1-2</v>
      </c>
    </row>
    <row r="1410" spans="1:11" ht="60" customHeight="1" x14ac:dyDescent="0.2">
      <c r="A1410" s="2">
        <v>1407</v>
      </c>
      <c r="B1410" s="3" t="str">
        <f t="shared" si="220"/>
        <v>miR-1-3p</v>
      </c>
      <c r="C1410" s="3" t="str">
        <f t="shared" si="224"/>
        <v>MIR1-2</v>
      </c>
      <c r="D1410" s="3" t="str">
        <f t="shared" si="222"/>
        <v>hsa-miR-1-3p</v>
      </c>
      <c r="E1410" s="2" t="s">
        <v>72</v>
      </c>
      <c r="F1410" s="3" t="str">
        <f t="shared" si="223"/>
        <v>Mature microRNA-1-3p</v>
      </c>
      <c r="G1410" s="4"/>
      <c r="H1410" s="3" t="str">
        <f>HYPERLINK("https://www.cortellis.com/drugdiscovery/entity/biomarkers/28162","20-microRNA liver cancer panel")</f>
        <v>20-microRNA liver cancer panel</v>
      </c>
      <c r="I1410" s="2" t="s">
        <v>25</v>
      </c>
      <c r="J1410" s="2" t="s">
        <v>19</v>
      </c>
      <c r="K1410" s="4" t="str">
        <f>HYPERLINK("https://www.cortellis.com/drugdiscovery/result/proxy/related-content/biomarkers/genestargets/28162","microRNA 1-2")</f>
        <v>microRNA 1-2</v>
      </c>
    </row>
    <row r="1411" spans="1:11" ht="60" customHeight="1" x14ac:dyDescent="0.2">
      <c r="A1411" s="2">
        <v>1408</v>
      </c>
      <c r="B1411" s="3" t="str">
        <f t="shared" si="220"/>
        <v>miR-1-3p</v>
      </c>
      <c r="C1411" s="3" t="str">
        <f t="shared" si="224"/>
        <v>MIR1-2</v>
      </c>
      <c r="D1411" s="3" t="str">
        <f t="shared" si="222"/>
        <v>hsa-miR-1-3p</v>
      </c>
      <c r="E1411" s="2" t="s">
        <v>72</v>
      </c>
      <c r="F1411" s="3" t="str">
        <f t="shared" si="223"/>
        <v>Mature microRNA-1-3p</v>
      </c>
      <c r="G1411" s="4"/>
      <c r="H1411" s="3" t="str">
        <f>HYPERLINK("https://www.cortellis.com/drugdiscovery/entity/biomarkers/28458","23-microRNA prostate cancer panel")</f>
        <v>23-microRNA prostate cancer panel</v>
      </c>
      <c r="I1411" s="2" t="s">
        <v>23</v>
      </c>
      <c r="J1411" s="2" t="s">
        <v>19</v>
      </c>
      <c r="K1411" s="4" t="str">
        <f>HYPERLINK("https://www.cortellis.com/drugdiscovery/result/proxy/related-content/biomarkers/genestargets/28458","microRNA 1-1; microRNA 1-2; microRNA 133a-1; microRNA 133a-2")</f>
        <v>microRNA 1-1; microRNA 1-2; microRNA 133a-1; microRNA 133a-2</v>
      </c>
    </row>
    <row r="1412" spans="1:11" ht="60" customHeight="1" x14ac:dyDescent="0.2">
      <c r="A1412" s="2">
        <v>1409</v>
      </c>
      <c r="B1412" s="3" t="str">
        <f t="shared" si="220"/>
        <v>miR-1-3p</v>
      </c>
      <c r="C1412" s="3" t="str">
        <f t="shared" si="224"/>
        <v>MIR1-2</v>
      </c>
      <c r="D1412" s="3" t="str">
        <f t="shared" si="222"/>
        <v>hsa-miR-1-3p</v>
      </c>
      <c r="E1412" s="2" t="s">
        <v>72</v>
      </c>
      <c r="F1412" s="3" t="str">
        <f t="shared" si="223"/>
        <v>Mature microRNA-1-3p</v>
      </c>
      <c r="G1412" s="4"/>
      <c r="H1412" s="3" t="str">
        <f>HYPERLINK("https://www.cortellis.com/drugdiscovery/entity/biomarkers/51306","microRNA 1-3p")</f>
        <v>microRNA 1-3p</v>
      </c>
      <c r="I1412" s="2" t="s">
        <v>76</v>
      </c>
      <c r="J1412" s="2" t="s">
        <v>19</v>
      </c>
      <c r="K1412" s="4" t="str">
        <f>HYPERLINK("https://www.cortellis.com/drugdiscovery/result/proxy/related-content/biomarkers/genestargets/51306","microRNA 1-1; microRNA 1-2")</f>
        <v>microRNA 1-1; microRNA 1-2</v>
      </c>
    </row>
    <row r="1413" spans="1:11" ht="60" customHeight="1" x14ac:dyDescent="0.2">
      <c r="A1413" s="2">
        <v>1410</v>
      </c>
      <c r="B1413" s="3" t="str">
        <f t="shared" si="220"/>
        <v>miR-1-3p</v>
      </c>
      <c r="C1413" s="3" t="str">
        <f t="shared" si="224"/>
        <v>MIR1-2</v>
      </c>
      <c r="D1413" s="3" t="str">
        <f t="shared" si="222"/>
        <v>hsa-miR-1-3p</v>
      </c>
      <c r="E1413" s="2" t="s">
        <v>72</v>
      </c>
      <c r="F1413" s="3" t="str">
        <f t="shared" si="223"/>
        <v>Mature microRNA-1-3p</v>
      </c>
      <c r="G1413" s="4"/>
      <c r="H1413" s="3" t="str">
        <f>HYPERLINK("https://www.cortellis.com/drugdiscovery/entity/biomarkers/65103","5-microRNA non-small-cell lung cancer panel")</f>
        <v>5-microRNA non-small-cell lung cancer panel</v>
      </c>
      <c r="I1413" s="2" t="s">
        <v>75</v>
      </c>
      <c r="J1413" s="2" t="s">
        <v>19</v>
      </c>
      <c r="K1413" s="4" t="str">
        <f>HYPERLINK("https://www.cortellis.com/drugdiscovery/result/proxy/related-content/biomarkers/genestargets/65103","microRNA 1-1; microRNA 1-2; microRNA 214")</f>
        <v>microRNA 1-1; microRNA 1-2; microRNA 214</v>
      </c>
    </row>
    <row r="1414" spans="1:11" ht="60" customHeight="1" x14ac:dyDescent="0.2">
      <c r="A1414" s="2">
        <v>1411</v>
      </c>
      <c r="B1414" s="3" t="str">
        <f t="shared" si="220"/>
        <v>miR-1-3p</v>
      </c>
      <c r="C1414" s="3" t="str">
        <f t="shared" si="224"/>
        <v>MIR1-2</v>
      </c>
      <c r="D1414" s="3" t="str">
        <f t="shared" si="222"/>
        <v>hsa-miR-1-3p</v>
      </c>
      <c r="E1414" s="2" t="s">
        <v>72</v>
      </c>
      <c r="F1414" s="3" t="str">
        <f t="shared" si="223"/>
        <v>Mature microRNA-1-3p</v>
      </c>
      <c r="G1414" s="4"/>
      <c r="H1414" s="3" t="str">
        <f>HYPERLINK("https://www.cortellis.com/drugdiscovery/entity/biomarkers/65163","4-microRNA gastric cancer panel")</f>
        <v>4-microRNA gastric cancer panel</v>
      </c>
      <c r="I1414" s="2" t="s">
        <v>23</v>
      </c>
      <c r="J1414" s="2" t="s">
        <v>19</v>
      </c>
      <c r="K1414" s="4" t="str">
        <f>HYPERLINK("https://www.cortellis.com/drugdiscovery/result/proxy/related-content/biomarkers/genestargets/65163","microRNA 1-1; microRNA 1-2")</f>
        <v>microRNA 1-1; microRNA 1-2</v>
      </c>
    </row>
    <row r="1415" spans="1:11" ht="60" customHeight="1" x14ac:dyDescent="0.2">
      <c r="A1415" s="2">
        <v>1412</v>
      </c>
      <c r="B1415" s="3" t="str">
        <f t="shared" ref="B1415:B1439" si="225">HYPERLINK("https://portal.genego.com/cgi/entity_page.cgi?term=100&amp;id=-909984869","miR-133a-3p")</f>
        <v>miR-133a-3p</v>
      </c>
      <c r="C1415" s="3" t="str">
        <f t="shared" ref="C1415:C1427" si="226">HYPERLINK("https://portal.genego.com/cgi/entity_page.cgi?term=20&amp;id=-625281362","MIR133A1")</f>
        <v>MIR133A1</v>
      </c>
      <c r="D1415" s="3" t="str">
        <f t="shared" ref="D1415:D1439" si="227">HYPERLINK("https://portal.genego.com/cgi/entity_page.cgi?term=7&amp;id=-102656016","hsa-miR-133a-3p")</f>
        <v>hsa-miR-133a-3p</v>
      </c>
      <c r="E1415" s="2" t="s">
        <v>72</v>
      </c>
      <c r="F1415" s="3" t="str">
        <f t="shared" ref="F1415:F1439" si="228">HYPERLINK("https://portal.genego.com/cgi/entity_page.cgi?term=100&amp;id=-909984869","Mature microRNA-133a-3p")</f>
        <v>Mature microRNA-133a-3p</v>
      </c>
      <c r="G1415" s="4"/>
      <c r="H1415" s="3" t="str">
        <f>HYPERLINK("https://www.cortellis.com/drugdiscovery/entity/biomarkers/7206","microRNA 133a-1")</f>
        <v>microRNA 133a-1</v>
      </c>
      <c r="I1415" s="2" t="s">
        <v>78</v>
      </c>
      <c r="J1415" s="2" t="s">
        <v>19</v>
      </c>
      <c r="K1415" s="4" t="str">
        <f>HYPERLINK("https://www.cortellis.com/drugdiscovery/result/proxy/related-content/biomarkers/genestargets/7206","microRNA 133a-1")</f>
        <v>microRNA 133a-1</v>
      </c>
    </row>
    <row r="1416" spans="1:11" ht="60" customHeight="1" x14ac:dyDescent="0.2">
      <c r="A1416" s="2">
        <v>1413</v>
      </c>
      <c r="B1416" s="3" t="str">
        <f t="shared" si="225"/>
        <v>miR-133a-3p</v>
      </c>
      <c r="C1416" s="3" t="str">
        <f t="shared" si="226"/>
        <v>MIR133A1</v>
      </c>
      <c r="D1416" s="3" t="str">
        <f t="shared" si="227"/>
        <v>hsa-miR-133a-3p</v>
      </c>
      <c r="E1416" s="2" t="s">
        <v>72</v>
      </c>
      <c r="F1416" s="3" t="str">
        <f t="shared" si="228"/>
        <v>Mature microRNA-133a-3p</v>
      </c>
      <c r="G1416" s="4"/>
      <c r="H1416" s="3" t="str">
        <f>HYPERLINK("https://www.cortellis.com/drugdiscovery/entity/biomarkers/12348","microRNA 133")</f>
        <v>microRNA 133</v>
      </c>
      <c r="I1416" s="2" t="s">
        <v>79</v>
      </c>
      <c r="J1416" s="2" t="s">
        <v>19</v>
      </c>
      <c r="K1416" s="4" t="str">
        <f>HYPERLINK("https://www.cortellis.com/drugdiscovery/result/proxy/related-content/biomarkers/genestargets/12348","microRNA 133a-1; microRNA 133a-2; microRNA 133b")</f>
        <v>microRNA 133a-1; microRNA 133a-2; microRNA 133b</v>
      </c>
    </row>
    <row r="1417" spans="1:11" ht="60" customHeight="1" x14ac:dyDescent="0.2">
      <c r="A1417" s="2">
        <v>1414</v>
      </c>
      <c r="B1417" s="3" t="str">
        <f t="shared" si="225"/>
        <v>miR-133a-3p</v>
      </c>
      <c r="C1417" s="3" t="str">
        <f t="shared" si="226"/>
        <v>MIR133A1</v>
      </c>
      <c r="D1417" s="3" t="str">
        <f t="shared" si="227"/>
        <v>hsa-miR-133a-3p</v>
      </c>
      <c r="E1417" s="2" t="s">
        <v>72</v>
      </c>
      <c r="F1417" s="3" t="str">
        <f t="shared" si="228"/>
        <v>Mature microRNA-133a-3p</v>
      </c>
      <c r="G1417" s="4"/>
      <c r="H1417" s="3" t="str">
        <f>HYPERLINK("https://www.cortellis.com/drugdiscovery/entity/biomarkers/13699","microRNA 133a")</f>
        <v>microRNA 133a</v>
      </c>
      <c r="I1417" s="2" t="s">
        <v>74</v>
      </c>
      <c r="J1417" s="2" t="s">
        <v>19</v>
      </c>
      <c r="K1417" s="4" t="str">
        <f>HYPERLINK("https://www.cortellis.com/drugdiscovery/result/proxy/related-content/biomarkers/genestargets/13699","microRNA 133a-1; microRNA 133a-2")</f>
        <v>microRNA 133a-1; microRNA 133a-2</v>
      </c>
    </row>
    <row r="1418" spans="1:11" ht="60" customHeight="1" x14ac:dyDescent="0.2">
      <c r="A1418" s="2">
        <v>1415</v>
      </c>
      <c r="B1418" s="3" t="str">
        <f t="shared" si="225"/>
        <v>miR-133a-3p</v>
      </c>
      <c r="C1418" s="3" t="str">
        <f t="shared" si="226"/>
        <v>MIR133A1</v>
      </c>
      <c r="D1418" s="3" t="str">
        <f t="shared" si="227"/>
        <v>hsa-miR-133a-3p</v>
      </c>
      <c r="E1418" s="2" t="s">
        <v>72</v>
      </c>
      <c r="F1418" s="3" t="str">
        <f t="shared" si="228"/>
        <v>Mature microRNA-133a-3p</v>
      </c>
      <c r="G1418" s="4"/>
      <c r="H1418" s="3" t="str">
        <f>HYPERLINK("https://www.cortellis.com/drugdiscovery/entity/biomarkers/24383","7-microRNA esophageal cancer panel")</f>
        <v>7-microRNA esophageal cancer panel</v>
      </c>
      <c r="I1418" s="2" t="s">
        <v>23</v>
      </c>
      <c r="J1418" s="2" t="s">
        <v>19</v>
      </c>
      <c r="K1418" s="4" t="str">
        <f>HYPERLINK("https://www.cortellis.com/drugdiscovery/result/proxy/related-content/biomarkers/genestargets/24383","microRNA 133a-1; microRNA 133a-2; microRNA 223")</f>
        <v>microRNA 133a-1; microRNA 133a-2; microRNA 223</v>
      </c>
    </row>
    <row r="1419" spans="1:11" ht="60" customHeight="1" x14ac:dyDescent="0.2">
      <c r="A1419" s="2">
        <v>1416</v>
      </c>
      <c r="B1419" s="3" t="str">
        <f t="shared" si="225"/>
        <v>miR-133a-3p</v>
      </c>
      <c r="C1419" s="3" t="str">
        <f t="shared" si="226"/>
        <v>MIR133A1</v>
      </c>
      <c r="D1419" s="3" t="str">
        <f t="shared" si="227"/>
        <v>hsa-miR-133a-3p</v>
      </c>
      <c r="E1419" s="2" t="s">
        <v>72</v>
      </c>
      <c r="F1419" s="3" t="str">
        <f t="shared" si="228"/>
        <v>Mature microRNA-133a-3p</v>
      </c>
      <c r="G1419" s="4"/>
      <c r="H1419" s="3" t="str">
        <f>HYPERLINK("https://www.cortellis.com/drugdiscovery/entity/biomarkers/28458","23-microRNA prostate cancer panel")</f>
        <v>23-microRNA prostate cancer panel</v>
      </c>
      <c r="I1419" s="2" t="s">
        <v>23</v>
      </c>
      <c r="J1419" s="2" t="s">
        <v>19</v>
      </c>
      <c r="K1419" s="4" t="str">
        <f>HYPERLINK("https://www.cortellis.com/drugdiscovery/result/proxy/related-content/biomarkers/genestargets/28458","microRNA 1-1; microRNA 1-2; microRNA 133a-1; microRNA 133a-2")</f>
        <v>microRNA 1-1; microRNA 1-2; microRNA 133a-1; microRNA 133a-2</v>
      </c>
    </row>
    <row r="1420" spans="1:11" ht="60" customHeight="1" x14ac:dyDescent="0.2">
      <c r="A1420" s="2">
        <v>1417</v>
      </c>
      <c r="B1420" s="3" t="str">
        <f t="shared" si="225"/>
        <v>miR-133a-3p</v>
      </c>
      <c r="C1420" s="3" t="str">
        <f t="shared" si="226"/>
        <v>MIR133A1</v>
      </c>
      <c r="D1420" s="3" t="str">
        <f t="shared" si="227"/>
        <v>hsa-miR-133a-3p</v>
      </c>
      <c r="E1420" s="2" t="s">
        <v>72</v>
      </c>
      <c r="F1420" s="3" t="str">
        <f t="shared" si="228"/>
        <v>Mature microRNA-133a-3p</v>
      </c>
      <c r="G1420" s="4"/>
      <c r="H1420" s="3" t="str">
        <f>HYPERLINK("https://www.cortellis.com/drugdiscovery/entity/biomarkers/34436","5-microRNA atherosclerosis panel")</f>
        <v>5-microRNA atherosclerosis panel</v>
      </c>
      <c r="I1420" s="2" t="s">
        <v>25</v>
      </c>
      <c r="J1420" s="2" t="s">
        <v>19</v>
      </c>
      <c r="K1420" s="4" t="str">
        <f>HYPERLINK("https://www.cortellis.com/drugdiscovery/result/proxy/related-content/biomarkers/genestargets/34436","microRNA 133a-1; microRNA 133a-2; microRNA 133b")</f>
        <v>microRNA 133a-1; microRNA 133a-2; microRNA 133b</v>
      </c>
    </row>
    <row r="1421" spans="1:11" ht="60" customHeight="1" x14ac:dyDescent="0.2">
      <c r="A1421" s="2">
        <v>1418</v>
      </c>
      <c r="B1421" s="3" t="str">
        <f t="shared" si="225"/>
        <v>miR-133a-3p</v>
      </c>
      <c r="C1421" s="3" t="str">
        <f t="shared" si="226"/>
        <v>MIR133A1</v>
      </c>
      <c r="D1421" s="3" t="str">
        <f t="shared" si="227"/>
        <v>hsa-miR-133a-3p</v>
      </c>
      <c r="E1421" s="2" t="s">
        <v>72</v>
      </c>
      <c r="F1421" s="3" t="str">
        <f t="shared" si="228"/>
        <v>Mature microRNA-133a-3p</v>
      </c>
      <c r="G1421" s="4"/>
      <c r="H1421" s="3" t="str">
        <f>HYPERLINK("https://www.cortellis.com/drugdiscovery/entity/biomarkers/45049","microRNA 133a-3p")</f>
        <v>microRNA 133a-3p</v>
      </c>
      <c r="I1421" s="2" t="s">
        <v>80</v>
      </c>
      <c r="J1421" s="2" t="s">
        <v>19</v>
      </c>
      <c r="K1421" s="4" t="str">
        <f>HYPERLINK("https://www.cortellis.com/drugdiscovery/result/proxy/related-content/biomarkers/genestargets/45049","microRNA 133a-1; microRNA 133a-2")</f>
        <v>microRNA 133a-1; microRNA 133a-2</v>
      </c>
    </row>
    <row r="1422" spans="1:11" ht="60" customHeight="1" x14ac:dyDescent="0.2">
      <c r="A1422" s="2">
        <v>1419</v>
      </c>
      <c r="B1422" s="3" t="str">
        <f t="shared" si="225"/>
        <v>miR-133a-3p</v>
      </c>
      <c r="C1422" s="3" t="str">
        <f t="shared" si="226"/>
        <v>MIR133A1</v>
      </c>
      <c r="D1422" s="3" t="str">
        <f t="shared" si="227"/>
        <v>hsa-miR-133a-3p</v>
      </c>
      <c r="E1422" s="2" t="s">
        <v>72</v>
      </c>
      <c r="F1422" s="3" t="str">
        <f t="shared" si="228"/>
        <v>Mature microRNA-133a-3p</v>
      </c>
      <c r="G1422" s="4"/>
      <c r="H1422" s="3" t="str">
        <f>HYPERLINK("https://www.cortellis.com/drugdiscovery/entity/biomarkers/45451","9-microRNA myotonic disorders panel ")</f>
        <v xml:space="preserve">9-microRNA myotonic disorders panel </v>
      </c>
      <c r="I1422" s="2" t="s">
        <v>23</v>
      </c>
      <c r="J1422" s="2" t="s">
        <v>19</v>
      </c>
      <c r="K1422" s="4" t="str">
        <f>HYPERLINK("https://www.cortellis.com/drugdiscovery/result/proxy/related-content/biomarkers/genestargets/45451","microRNA 133a-1; microRNA 133a-2")</f>
        <v>microRNA 133a-1; microRNA 133a-2</v>
      </c>
    </row>
    <row r="1423" spans="1:11" ht="60" customHeight="1" x14ac:dyDescent="0.2">
      <c r="A1423" s="2">
        <v>1420</v>
      </c>
      <c r="B1423" s="3" t="str">
        <f t="shared" si="225"/>
        <v>miR-133a-3p</v>
      </c>
      <c r="C1423" s="3" t="str">
        <f t="shared" si="226"/>
        <v>MIR133A1</v>
      </c>
      <c r="D1423" s="3" t="str">
        <f t="shared" si="227"/>
        <v>hsa-miR-133a-3p</v>
      </c>
      <c r="E1423" s="2" t="s">
        <v>72</v>
      </c>
      <c r="F1423" s="3" t="str">
        <f t="shared" si="228"/>
        <v>Mature microRNA-133a-3p</v>
      </c>
      <c r="G1423" s="4"/>
      <c r="H1423" s="3" t="str">
        <f>HYPERLINK("https://www.cortellis.com/drugdiscovery/entity/biomarkers/46660","9-microRNAs breast cancer panel")</f>
        <v>9-microRNAs breast cancer panel</v>
      </c>
      <c r="I1423" s="2" t="s">
        <v>81</v>
      </c>
      <c r="J1423" s="2" t="s">
        <v>19</v>
      </c>
      <c r="K1423" s="4" t="str">
        <f>HYPERLINK("https://www.cortellis.com/drugdiscovery/result/proxy/related-content/biomarkers/genestargets/46660","microRNA 133a-1; microRNA 133a-2")</f>
        <v>microRNA 133a-1; microRNA 133a-2</v>
      </c>
    </row>
    <row r="1424" spans="1:11" ht="60" customHeight="1" x14ac:dyDescent="0.2">
      <c r="A1424" s="2">
        <v>1421</v>
      </c>
      <c r="B1424" s="3" t="str">
        <f t="shared" si="225"/>
        <v>miR-133a-3p</v>
      </c>
      <c r="C1424" s="3" t="str">
        <f t="shared" si="226"/>
        <v>MIR133A1</v>
      </c>
      <c r="D1424" s="3" t="str">
        <f t="shared" si="227"/>
        <v>hsa-miR-133a-3p</v>
      </c>
      <c r="E1424" s="2" t="s">
        <v>72</v>
      </c>
      <c r="F1424" s="3" t="str">
        <f t="shared" si="228"/>
        <v>Mature microRNA-133a-3p</v>
      </c>
      <c r="G1424" s="4"/>
      <c r="H1424" s="3" t="str">
        <f>HYPERLINK("https://www.cortellis.com/drugdiscovery/entity/biomarkers/50826","7-microRNA hepatocellular carcinoma panel")</f>
        <v>7-microRNA hepatocellular carcinoma panel</v>
      </c>
      <c r="I1424" s="2" t="s">
        <v>23</v>
      </c>
      <c r="J1424" s="2" t="s">
        <v>19</v>
      </c>
      <c r="K1424" s="4" t="str">
        <f>HYPERLINK("https://www.cortellis.com/drugdiscovery/result/proxy/related-content/biomarkers/genestargets/50826","microRNA 133a-1; microRNA 133a-2")</f>
        <v>microRNA 133a-1; microRNA 133a-2</v>
      </c>
    </row>
    <row r="1425" spans="1:11" ht="60" customHeight="1" x14ac:dyDescent="0.2">
      <c r="A1425" s="2">
        <v>1422</v>
      </c>
      <c r="B1425" s="3" t="str">
        <f t="shared" si="225"/>
        <v>miR-133a-3p</v>
      </c>
      <c r="C1425" s="3" t="str">
        <f t="shared" si="226"/>
        <v>MIR133A1</v>
      </c>
      <c r="D1425" s="3" t="str">
        <f t="shared" si="227"/>
        <v>hsa-miR-133a-3p</v>
      </c>
      <c r="E1425" s="2" t="s">
        <v>72</v>
      </c>
      <c r="F1425" s="3" t="str">
        <f t="shared" si="228"/>
        <v>Mature microRNA-133a-3p</v>
      </c>
      <c r="G1425" s="4"/>
      <c r="H1425" s="3" t="str">
        <f>HYPERLINK("https://www.cortellis.com/drugdiscovery/entity/biomarkers/62628","24-microRNA lung cancer panel")</f>
        <v>24-microRNA lung cancer panel</v>
      </c>
      <c r="I1425" s="2" t="s">
        <v>18</v>
      </c>
      <c r="J1425" s="2" t="s">
        <v>19</v>
      </c>
      <c r="K1425" s="4" t="str">
        <f>HYPERLINK("https://www.cortellis.com/drugdiscovery/result/proxy/related-content/biomarkers/genestargets/62628","microRNA 133a-1; microRNA 133a-2")</f>
        <v>microRNA 133a-1; microRNA 133a-2</v>
      </c>
    </row>
    <row r="1426" spans="1:11" ht="60" customHeight="1" x14ac:dyDescent="0.2">
      <c r="A1426" s="2">
        <v>1423</v>
      </c>
      <c r="B1426" s="3" t="str">
        <f t="shared" si="225"/>
        <v>miR-133a-3p</v>
      </c>
      <c r="C1426" s="3" t="str">
        <f t="shared" si="226"/>
        <v>MIR133A1</v>
      </c>
      <c r="D1426" s="3" t="str">
        <f t="shared" si="227"/>
        <v>hsa-miR-133a-3p</v>
      </c>
      <c r="E1426" s="2" t="s">
        <v>72</v>
      </c>
      <c r="F1426" s="3" t="str">
        <f t="shared" si="228"/>
        <v>Mature microRNA-133a-3p</v>
      </c>
      <c r="G1426" s="4"/>
      <c r="H1426" s="3" t="str">
        <f>HYPERLINK("https://www.cortellis.com/drugdiscovery/entity/biomarkers/63397","9-microRNA 3-gene methylation prostate cancer panel")</f>
        <v>9-microRNA 3-gene methylation prostate cancer panel</v>
      </c>
      <c r="I1426" s="2" t="s">
        <v>25</v>
      </c>
      <c r="J1426" s="2" t="s">
        <v>19</v>
      </c>
      <c r="K1426" s="4" t="str">
        <f>HYPERLINK("https://www.cortellis.com/drugdiscovery/result/proxy/related-content/biomarkers/genestargets/63397","microRNA 133a-1; microRNA 133a-2")</f>
        <v>microRNA 133a-1; microRNA 133a-2</v>
      </c>
    </row>
    <row r="1427" spans="1:11" ht="60" customHeight="1" x14ac:dyDescent="0.2">
      <c r="A1427" s="2">
        <v>1424</v>
      </c>
      <c r="B1427" s="3" t="str">
        <f t="shared" si="225"/>
        <v>miR-133a-3p</v>
      </c>
      <c r="C1427" s="3" t="str">
        <f t="shared" si="226"/>
        <v>MIR133A1</v>
      </c>
      <c r="D1427" s="3" t="str">
        <f t="shared" si="227"/>
        <v>hsa-miR-133a-3p</v>
      </c>
      <c r="E1427" s="2" t="s">
        <v>72</v>
      </c>
      <c r="F1427" s="3" t="str">
        <f t="shared" si="228"/>
        <v>Mature microRNA-133a-3p</v>
      </c>
      <c r="G1427" s="4"/>
      <c r="H1427" s="3" t="str">
        <f>HYPERLINK("https://www.cortellis.com/drugdiscovery/entity/biomarkers/65718","microRNA 133a-1-3p")</f>
        <v>microRNA 133a-1-3p</v>
      </c>
      <c r="I1427" s="2" t="s">
        <v>28</v>
      </c>
      <c r="J1427" s="2" t="s">
        <v>19</v>
      </c>
      <c r="K1427" s="4" t="str">
        <f>HYPERLINK("https://www.cortellis.com/drugdiscovery/result/proxy/related-content/biomarkers/genestargets/65718","microRNA 133a-1")</f>
        <v>microRNA 133a-1</v>
      </c>
    </row>
    <row r="1428" spans="1:11" ht="60" customHeight="1" x14ac:dyDescent="0.2">
      <c r="A1428" s="2">
        <v>1425</v>
      </c>
      <c r="B1428" s="3" t="str">
        <f t="shared" si="225"/>
        <v>miR-133a-3p</v>
      </c>
      <c r="C1428" s="3" t="str">
        <f t="shared" ref="C1428:C1439" si="229">HYPERLINK("https://portal.genego.com/cgi/entity_page.cgi?term=20&amp;id=-1146695835","MIR133A2")</f>
        <v>MIR133A2</v>
      </c>
      <c r="D1428" s="3" t="str">
        <f t="shared" si="227"/>
        <v>hsa-miR-133a-3p</v>
      </c>
      <c r="E1428" s="2" t="s">
        <v>72</v>
      </c>
      <c r="F1428" s="3" t="str">
        <f t="shared" si="228"/>
        <v>Mature microRNA-133a-3p</v>
      </c>
      <c r="G1428" s="4"/>
      <c r="H1428" s="3" t="str">
        <f>HYPERLINK("https://www.cortellis.com/drugdiscovery/entity/biomarkers/7207","microRNA 133a-2")</f>
        <v>microRNA 133a-2</v>
      </c>
      <c r="I1428" s="2" t="s">
        <v>73</v>
      </c>
      <c r="J1428" s="2" t="s">
        <v>19</v>
      </c>
      <c r="K1428" s="4" t="str">
        <f>HYPERLINK("https://www.cortellis.com/drugdiscovery/result/proxy/related-content/biomarkers/genestargets/7207","microRNA 133a-2")</f>
        <v>microRNA 133a-2</v>
      </c>
    </row>
    <row r="1429" spans="1:11" ht="60" customHeight="1" x14ac:dyDescent="0.2">
      <c r="A1429" s="2">
        <v>1426</v>
      </c>
      <c r="B1429" s="3" t="str">
        <f t="shared" si="225"/>
        <v>miR-133a-3p</v>
      </c>
      <c r="C1429" s="3" t="str">
        <f t="shared" si="229"/>
        <v>MIR133A2</v>
      </c>
      <c r="D1429" s="3" t="str">
        <f t="shared" si="227"/>
        <v>hsa-miR-133a-3p</v>
      </c>
      <c r="E1429" s="2" t="s">
        <v>72</v>
      </c>
      <c r="F1429" s="3" t="str">
        <f t="shared" si="228"/>
        <v>Mature microRNA-133a-3p</v>
      </c>
      <c r="G1429" s="4"/>
      <c r="H1429" s="3" t="str">
        <f>HYPERLINK("https://www.cortellis.com/drugdiscovery/entity/biomarkers/12348","microRNA 133")</f>
        <v>microRNA 133</v>
      </c>
      <c r="I1429" s="2" t="s">
        <v>79</v>
      </c>
      <c r="J1429" s="2" t="s">
        <v>19</v>
      </c>
      <c r="K1429" s="4" t="str">
        <f>HYPERLINK("https://www.cortellis.com/drugdiscovery/result/proxy/related-content/biomarkers/genestargets/12348","microRNA 133a-1; microRNA 133a-2; microRNA 133b")</f>
        <v>microRNA 133a-1; microRNA 133a-2; microRNA 133b</v>
      </c>
    </row>
    <row r="1430" spans="1:11" ht="60" customHeight="1" x14ac:dyDescent="0.2">
      <c r="A1430" s="2">
        <v>1427</v>
      </c>
      <c r="B1430" s="3" t="str">
        <f t="shared" si="225"/>
        <v>miR-133a-3p</v>
      </c>
      <c r="C1430" s="3" t="str">
        <f t="shared" si="229"/>
        <v>MIR133A2</v>
      </c>
      <c r="D1430" s="3" t="str">
        <f t="shared" si="227"/>
        <v>hsa-miR-133a-3p</v>
      </c>
      <c r="E1430" s="2" t="s">
        <v>72</v>
      </c>
      <c r="F1430" s="3" t="str">
        <f t="shared" si="228"/>
        <v>Mature microRNA-133a-3p</v>
      </c>
      <c r="G1430" s="4"/>
      <c r="H1430" s="3" t="str">
        <f>HYPERLINK("https://www.cortellis.com/drugdiscovery/entity/biomarkers/13699","microRNA 133a")</f>
        <v>microRNA 133a</v>
      </c>
      <c r="I1430" s="2" t="s">
        <v>74</v>
      </c>
      <c r="J1430" s="2" t="s">
        <v>19</v>
      </c>
      <c r="K1430" s="4" t="str">
        <f>HYPERLINK("https://www.cortellis.com/drugdiscovery/result/proxy/related-content/biomarkers/genestargets/13699","microRNA 133a-1; microRNA 133a-2")</f>
        <v>microRNA 133a-1; microRNA 133a-2</v>
      </c>
    </row>
    <row r="1431" spans="1:11" ht="60" customHeight="1" x14ac:dyDescent="0.2">
      <c r="A1431" s="2">
        <v>1428</v>
      </c>
      <c r="B1431" s="3" t="str">
        <f t="shared" si="225"/>
        <v>miR-133a-3p</v>
      </c>
      <c r="C1431" s="3" t="str">
        <f t="shared" si="229"/>
        <v>MIR133A2</v>
      </c>
      <c r="D1431" s="3" t="str">
        <f t="shared" si="227"/>
        <v>hsa-miR-133a-3p</v>
      </c>
      <c r="E1431" s="2" t="s">
        <v>72</v>
      </c>
      <c r="F1431" s="3" t="str">
        <f t="shared" si="228"/>
        <v>Mature microRNA-133a-3p</v>
      </c>
      <c r="G1431" s="4"/>
      <c r="H1431" s="3" t="str">
        <f>HYPERLINK("https://www.cortellis.com/drugdiscovery/entity/biomarkers/24383","7-microRNA esophageal cancer panel")</f>
        <v>7-microRNA esophageal cancer panel</v>
      </c>
      <c r="I1431" s="2" t="s">
        <v>23</v>
      </c>
      <c r="J1431" s="2" t="s">
        <v>19</v>
      </c>
      <c r="K1431" s="4" t="str">
        <f>HYPERLINK("https://www.cortellis.com/drugdiscovery/result/proxy/related-content/biomarkers/genestargets/24383","microRNA 133a-1; microRNA 133a-2; microRNA 223")</f>
        <v>microRNA 133a-1; microRNA 133a-2; microRNA 223</v>
      </c>
    </row>
    <row r="1432" spans="1:11" ht="60" customHeight="1" x14ac:dyDescent="0.2">
      <c r="A1432" s="2">
        <v>1429</v>
      </c>
      <c r="B1432" s="3" t="str">
        <f t="shared" si="225"/>
        <v>miR-133a-3p</v>
      </c>
      <c r="C1432" s="3" t="str">
        <f t="shared" si="229"/>
        <v>MIR133A2</v>
      </c>
      <c r="D1432" s="3" t="str">
        <f t="shared" si="227"/>
        <v>hsa-miR-133a-3p</v>
      </c>
      <c r="E1432" s="2" t="s">
        <v>72</v>
      </c>
      <c r="F1432" s="3" t="str">
        <f t="shared" si="228"/>
        <v>Mature microRNA-133a-3p</v>
      </c>
      <c r="G1432" s="4"/>
      <c r="H1432" s="3" t="str">
        <f>HYPERLINK("https://www.cortellis.com/drugdiscovery/entity/biomarkers/28458","23-microRNA prostate cancer panel")</f>
        <v>23-microRNA prostate cancer panel</v>
      </c>
      <c r="I1432" s="2" t="s">
        <v>23</v>
      </c>
      <c r="J1432" s="2" t="s">
        <v>19</v>
      </c>
      <c r="K1432" s="4" t="str">
        <f>HYPERLINK("https://www.cortellis.com/drugdiscovery/result/proxy/related-content/biomarkers/genestargets/28458","microRNA 1-1; microRNA 1-2; microRNA 133a-1; microRNA 133a-2")</f>
        <v>microRNA 1-1; microRNA 1-2; microRNA 133a-1; microRNA 133a-2</v>
      </c>
    </row>
    <row r="1433" spans="1:11" ht="60" customHeight="1" x14ac:dyDescent="0.2">
      <c r="A1433" s="2">
        <v>1430</v>
      </c>
      <c r="B1433" s="3" t="str">
        <f t="shared" si="225"/>
        <v>miR-133a-3p</v>
      </c>
      <c r="C1433" s="3" t="str">
        <f t="shared" si="229"/>
        <v>MIR133A2</v>
      </c>
      <c r="D1433" s="3" t="str">
        <f t="shared" si="227"/>
        <v>hsa-miR-133a-3p</v>
      </c>
      <c r="E1433" s="2" t="s">
        <v>72</v>
      </c>
      <c r="F1433" s="3" t="str">
        <f t="shared" si="228"/>
        <v>Mature microRNA-133a-3p</v>
      </c>
      <c r="G1433" s="4"/>
      <c r="H1433" s="3" t="str">
        <f>HYPERLINK("https://www.cortellis.com/drugdiscovery/entity/biomarkers/34436","5-microRNA atherosclerosis panel")</f>
        <v>5-microRNA atherosclerosis panel</v>
      </c>
      <c r="I1433" s="2" t="s">
        <v>25</v>
      </c>
      <c r="J1433" s="2" t="s">
        <v>19</v>
      </c>
      <c r="K1433" s="4" t="str">
        <f>HYPERLINK("https://www.cortellis.com/drugdiscovery/result/proxy/related-content/biomarkers/genestargets/34436","microRNA 133a-1; microRNA 133a-2; microRNA 133b")</f>
        <v>microRNA 133a-1; microRNA 133a-2; microRNA 133b</v>
      </c>
    </row>
    <row r="1434" spans="1:11" ht="60" customHeight="1" x14ac:dyDescent="0.2">
      <c r="A1434" s="2">
        <v>1431</v>
      </c>
      <c r="B1434" s="3" t="str">
        <f t="shared" si="225"/>
        <v>miR-133a-3p</v>
      </c>
      <c r="C1434" s="3" t="str">
        <f t="shared" si="229"/>
        <v>MIR133A2</v>
      </c>
      <c r="D1434" s="3" t="str">
        <f t="shared" si="227"/>
        <v>hsa-miR-133a-3p</v>
      </c>
      <c r="E1434" s="2" t="s">
        <v>72</v>
      </c>
      <c r="F1434" s="3" t="str">
        <f t="shared" si="228"/>
        <v>Mature microRNA-133a-3p</v>
      </c>
      <c r="G1434" s="4"/>
      <c r="H1434" s="3" t="str">
        <f>HYPERLINK("https://www.cortellis.com/drugdiscovery/entity/biomarkers/45049","microRNA 133a-3p")</f>
        <v>microRNA 133a-3p</v>
      </c>
      <c r="I1434" s="2" t="s">
        <v>80</v>
      </c>
      <c r="J1434" s="2" t="s">
        <v>19</v>
      </c>
      <c r="K1434" s="4" t="str">
        <f>HYPERLINK("https://www.cortellis.com/drugdiscovery/result/proxy/related-content/biomarkers/genestargets/45049","microRNA 133a-1; microRNA 133a-2")</f>
        <v>microRNA 133a-1; microRNA 133a-2</v>
      </c>
    </row>
    <row r="1435" spans="1:11" ht="60" customHeight="1" x14ac:dyDescent="0.2">
      <c r="A1435" s="2">
        <v>1432</v>
      </c>
      <c r="B1435" s="3" t="str">
        <f t="shared" si="225"/>
        <v>miR-133a-3p</v>
      </c>
      <c r="C1435" s="3" t="str">
        <f t="shared" si="229"/>
        <v>MIR133A2</v>
      </c>
      <c r="D1435" s="3" t="str">
        <f t="shared" si="227"/>
        <v>hsa-miR-133a-3p</v>
      </c>
      <c r="E1435" s="2" t="s">
        <v>72</v>
      </c>
      <c r="F1435" s="3" t="str">
        <f t="shared" si="228"/>
        <v>Mature microRNA-133a-3p</v>
      </c>
      <c r="G1435" s="4"/>
      <c r="H1435" s="3" t="str">
        <f>HYPERLINK("https://www.cortellis.com/drugdiscovery/entity/biomarkers/45451","9-microRNA myotonic disorders panel ")</f>
        <v xml:space="preserve">9-microRNA myotonic disorders panel </v>
      </c>
      <c r="I1435" s="2" t="s">
        <v>23</v>
      </c>
      <c r="J1435" s="2" t="s">
        <v>19</v>
      </c>
      <c r="K1435" s="4" t="str">
        <f>HYPERLINK("https://www.cortellis.com/drugdiscovery/result/proxy/related-content/biomarkers/genestargets/45451","microRNA 133a-1; microRNA 133a-2")</f>
        <v>microRNA 133a-1; microRNA 133a-2</v>
      </c>
    </row>
    <row r="1436" spans="1:11" ht="60" customHeight="1" x14ac:dyDescent="0.2">
      <c r="A1436" s="2">
        <v>1433</v>
      </c>
      <c r="B1436" s="3" t="str">
        <f t="shared" si="225"/>
        <v>miR-133a-3p</v>
      </c>
      <c r="C1436" s="3" t="str">
        <f t="shared" si="229"/>
        <v>MIR133A2</v>
      </c>
      <c r="D1436" s="3" t="str">
        <f t="shared" si="227"/>
        <v>hsa-miR-133a-3p</v>
      </c>
      <c r="E1436" s="2" t="s">
        <v>72</v>
      </c>
      <c r="F1436" s="3" t="str">
        <f t="shared" si="228"/>
        <v>Mature microRNA-133a-3p</v>
      </c>
      <c r="G1436" s="4"/>
      <c r="H1436" s="3" t="str">
        <f>HYPERLINK("https://www.cortellis.com/drugdiscovery/entity/biomarkers/46660","9-microRNAs breast cancer panel")</f>
        <v>9-microRNAs breast cancer panel</v>
      </c>
      <c r="I1436" s="2" t="s">
        <v>81</v>
      </c>
      <c r="J1436" s="2" t="s">
        <v>19</v>
      </c>
      <c r="K1436" s="4" t="str">
        <f>HYPERLINK("https://www.cortellis.com/drugdiscovery/result/proxy/related-content/biomarkers/genestargets/46660","microRNA 133a-1; microRNA 133a-2")</f>
        <v>microRNA 133a-1; microRNA 133a-2</v>
      </c>
    </row>
    <row r="1437" spans="1:11" ht="60" customHeight="1" x14ac:dyDescent="0.2">
      <c r="A1437" s="2">
        <v>1434</v>
      </c>
      <c r="B1437" s="3" t="str">
        <f t="shared" si="225"/>
        <v>miR-133a-3p</v>
      </c>
      <c r="C1437" s="3" t="str">
        <f t="shared" si="229"/>
        <v>MIR133A2</v>
      </c>
      <c r="D1437" s="3" t="str">
        <f t="shared" si="227"/>
        <v>hsa-miR-133a-3p</v>
      </c>
      <c r="E1437" s="2" t="s">
        <v>72</v>
      </c>
      <c r="F1437" s="3" t="str">
        <f t="shared" si="228"/>
        <v>Mature microRNA-133a-3p</v>
      </c>
      <c r="G1437" s="4"/>
      <c r="H1437" s="3" t="str">
        <f>HYPERLINK("https://www.cortellis.com/drugdiscovery/entity/biomarkers/50826","7-microRNA hepatocellular carcinoma panel")</f>
        <v>7-microRNA hepatocellular carcinoma panel</v>
      </c>
      <c r="I1437" s="2" t="s">
        <v>23</v>
      </c>
      <c r="J1437" s="2" t="s">
        <v>19</v>
      </c>
      <c r="K1437" s="4" t="str">
        <f>HYPERLINK("https://www.cortellis.com/drugdiscovery/result/proxy/related-content/biomarkers/genestargets/50826","microRNA 133a-1; microRNA 133a-2")</f>
        <v>microRNA 133a-1; microRNA 133a-2</v>
      </c>
    </row>
    <row r="1438" spans="1:11" ht="60" customHeight="1" x14ac:dyDescent="0.2">
      <c r="A1438" s="2">
        <v>1435</v>
      </c>
      <c r="B1438" s="3" t="str">
        <f t="shared" si="225"/>
        <v>miR-133a-3p</v>
      </c>
      <c r="C1438" s="3" t="str">
        <f t="shared" si="229"/>
        <v>MIR133A2</v>
      </c>
      <c r="D1438" s="3" t="str">
        <f t="shared" si="227"/>
        <v>hsa-miR-133a-3p</v>
      </c>
      <c r="E1438" s="2" t="s">
        <v>72</v>
      </c>
      <c r="F1438" s="3" t="str">
        <f t="shared" si="228"/>
        <v>Mature microRNA-133a-3p</v>
      </c>
      <c r="G1438" s="4"/>
      <c r="H1438" s="3" t="str">
        <f>HYPERLINK("https://www.cortellis.com/drugdiscovery/entity/biomarkers/62628","24-microRNA lung cancer panel")</f>
        <v>24-microRNA lung cancer panel</v>
      </c>
      <c r="I1438" s="2" t="s">
        <v>18</v>
      </c>
      <c r="J1438" s="2" t="s">
        <v>19</v>
      </c>
      <c r="K1438" s="4" t="str">
        <f>HYPERLINK("https://www.cortellis.com/drugdiscovery/result/proxy/related-content/biomarkers/genestargets/62628","microRNA 133a-1; microRNA 133a-2")</f>
        <v>microRNA 133a-1; microRNA 133a-2</v>
      </c>
    </row>
    <row r="1439" spans="1:11" ht="60" customHeight="1" x14ac:dyDescent="0.2">
      <c r="A1439" s="2">
        <v>1436</v>
      </c>
      <c r="B1439" s="3" t="str">
        <f t="shared" si="225"/>
        <v>miR-133a-3p</v>
      </c>
      <c r="C1439" s="3" t="str">
        <f t="shared" si="229"/>
        <v>MIR133A2</v>
      </c>
      <c r="D1439" s="3" t="str">
        <f t="shared" si="227"/>
        <v>hsa-miR-133a-3p</v>
      </c>
      <c r="E1439" s="2" t="s">
        <v>72</v>
      </c>
      <c r="F1439" s="3" t="str">
        <f t="shared" si="228"/>
        <v>Mature microRNA-133a-3p</v>
      </c>
      <c r="G1439" s="4"/>
      <c r="H1439" s="3" t="str">
        <f>HYPERLINK("https://www.cortellis.com/drugdiscovery/entity/biomarkers/63397","9-microRNA 3-gene methylation prostate cancer panel")</f>
        <v>9-microRNA 3-gene methylation prostate cancer panel</v>
      </c>
      <c r="I1439" s="2" t="s">
        <v>25</v>
      </c>
      <c r="J1439" s="2" t="s">
        <v>19</v>
      </c>
      <c r="K1439" s="4" t="str">
        <f>HYPERLINK("https://www.cortellis.com/drugdiscovery/result/proxy/related-content/biomarkers/genestargets/63397","microRNA 133a-1; microRNA 133a-2")</f>
        <v>microRNA 133a-1; microRNA 133a-2</v>
      </c>
    </row>
    <row r="1440" spans="1:11" ht="60" customHeight="1" x14ac:dyDescent="0.2">
      <c r="A1440" s="2">
        <v>1437</v>
      </c>
      <c r="B1440" s="3" t="str">
        <f t="shared" ref="B1440:B1464" si="230">HYPERLINK("https://portal.genego.com/cgi/entity_page.cgi?term=100&amp;id=-192260270","miR-133a-5p")</f>
        <v>miR-133a-5p</v>
      </c>
      <c r="C1440" s="3" t="str">
        <f t="shared" ref="C1440:C1452" si="231">HYPERLINK("https://portal.genego.com/cgi/entity_page.cgi?term=20&amp;id=-625281362","MIR133A1")</f>
        <v>MIR133A1</v>
      </c>
      <c r="D1440" s="3" t="str">
        <f t="shared" ref="D1440:D1464" si="232">HYPERLINK("https://portal.genego.com/cgi/entity_page.cgi?term=7&amp;id=-2120156199","hsa-miR-133a-5p")</f>
        <v>hsa-miR-133a-5p</v>
      </c>
      <c r="E1440" s="2" t="s">
        <v>72</v>
      </c>
      <c r="F1440" s="3" t="str">
        <f t="shared" ref="F1440:F1464" si="233">HYPERLINK("https://portal.genego.com/cgi/entity_page.cgi?term=100&amp;id=-192260270","Mature microRNA-133a-5p")</f>
        <v>Mature microRNA-133a-5p</v>
      </c>
      <c r="G1440" s="4"/>
      <c r="H1440" s="3" t="str">
        <f>HYPERLINK("https://www.cortellis.com/drugdiscovery/entity/biomarkers/7206","microRNA 133a-1")</f>
        <v>microRNA 133a-1</v>
      </c>
      <c r="I1440" s="2" t="s">
        <v>78</v>
      </c>
      <c r="J1440" s="2" t="s">
        <v>19</v>
      </c>
      <c r="K1440" s="4" t="str">
        <f>HYPERLINK("https://www.cortellis.com/drugdiscovery/result/proxy/related-content/biomarkers/genestargets/7206","microRNA 133a-1")</f>
        <v>microRNA 133a-1</v>
      </c>
    </row>
    <row r="1441" spans="1:11" ht="60" customHeight="1" x14ac:dyDescent="0.2">
      <c r="A1441" s="2">
        <v>1438</v>
      </c>
      <c r="B1441" s="3" t="str">
        <f t="shared" si="230"/>
        <v>miR-133a-5p</v>
      </c>
      <c r="C1441" s="3" t="str">
        <f t="shared" si="231"/>
        <v>MIR133A1</v>
      </c>
      <c r="D1441" s="3" t="str">
        <f t="shared" si="232"/>
        <v>hsa-miR-133a-5p</v>
      </c>
      <c r="E1441" s="2" t="s">
        <v>72</v>
      </c>
      <c r="F1441" s="3" t="str">
        <f t="shared" si="233"/>
        <v>Mature microRNA-133a-5p</v>
      </c>
      <c r="G1441" s="4"/>
      <c r="H1441" s="3" t="str">
        <f>HYPERLINK("https://www.cortellis.com/drugdiscovery/entity/biomarkers/12348","microRNA 133")</f>
        <v>microRNA 133</v>
      </c>
      <c r="I1441" s="2" t="s">
        <v>79</v>
      </c>
      <c r="J1441" s="2" t="s">
        <v>19</v>
      </c>
      <c r="K1441" s="4" t="str">
        <f>HYPERLINK("https://www.cortellis.com/drugdiscovery/result/proxy/related-content/biomarkers/genestargets/12348","microRNA 133a-1; microRNA 133a-2; microRNA 133b")</f>
        <v>microRNA 133a-1; microRNA 133a-2; microRNA 133b</v>
      </c>
    </row>
    <row r="1442" spans="1:11" ht="60" customHeight="1" x14ac:dyDescent="0.2">
      <c r="A1442" s="2">
        <v>1439</v>
      </c>
      <c r="B1442" s="3" t="str">
        <f t="shared" si="230"/>
        <v>miR-133a-5p</v>
      </c>
      <c r="C1442" s="3" t="str">
        <f t="shared" si="231"/>
        <v>MIR133A1</v>
      </c>
      <c r="D1442" s="3" t="str">
        <f t="shared" si="232"/>
        <v>hsa-miR-133a-5p</v>
      </c>
      <c r="E1442" s="2" t="s">
        <v>72</v>
      </c>
      <c r="F1442" s="3" t="str">
        <f t="shared" si="233"/>
        <v>Mature microRNA-133a-5p</v>
      </c>
      <c r="G1442" s="4"/>
      <c r="H1442" s="3" t="str">
        <f>HYPERLINK("https://www.cortellis.com/drugdiscovery/entity/biomarkers/13699","microRNA 133a")</f>
        <v>microRNA 133a</v>
      </c>
      <c r="I1442" s="2" t="s">
        <v>74</v>
      </c>
      <c r="J1442" s="2" t="s">
        <v>19</v>
      </c>
      <c r="K1442" s="4" t="str">
        <f>HYPERLINK("https://www.cortellis.com/drugdiscovery/result/proxy/related-content/biomarkers/genestargets/13699","microRNA 133a-1; microRNA 133a-2")</f>
        <v>microRNA 133a-1; microRNA 133a-2</v>
      </c>
    </row>
    <row r="1443" spans="1:11" ht="60" customHeight="1" x14ac:dyDescent="0.2">
      <c r="A1443" s="2">
        <v>1440</v>
      </c>
      <c r="B1443" s="3" t="str">
        <f t="shared" si="230"/>
        <v>miR-133a-5p</v>
      </c>
      <c r="C1443" s="3" t="str">
        <f t="shared" si="231"/>
        <v>MIR133A1</v>
      </c>
      <c r="D1443" s="3" t="str">
        <f t="shared" si="232"/>
        <v>hsa-miR-133a-5p</v>
      </c>
      <c r="E1443" s="2" t="s">
        <v>72</v>
      </c>
      <c r="F1443" s="3" t="str">
        <f t="shared" si="233"/>
        <v>Mature microRNA-133a-5p</v>
      </c>
      <c r="G1443" s="4"/>
      <c r="H1443" s="3" t="str">
        <f>HYPERLINK("https://www.cortellis.com/drugdiscovery/entity/biomarkers/24383","7-microRNA esophageal cancer panel")</f>
        <v>7-microRNA esophageal cancer panel</v>
      </c>
      <c r="I1443" s="2" t="s">
        <v>23</v>
      </c>
      <c r="J1443" s="2" t="s">
        <v>19</v>
      </c>
      <c r="K1443" s="4" t="str">
        <f>HYPERLINK("https://www.cortellis.com/drugdiscovery/result/proxy/related-content/biomarkers/genestargets/24383","microRNA 133a-1; microRNA 133a-2; microRNA 223")</f>
        <v>microRNA 133a-1; microRNA 133a-2; microRNA 223</v>
      </c>
    </row>
    <row r="1444" spans="1:11" ht="60" customHeight="1" x14ac:dyDescent="0.2">
      <c r="A1444" s="2">
        <v>1441</v>
      </c>
      <c r="B1444" s="3" t="str">
        <f t="shared" si="230"/>
        <v>miR-133a-5p</v>
      </c>
      <c r="C1444" s="3" t="str">
        <f t="shared" si="231"/>
        <v>MIR133A1</v>
      </c>
      <c r="D1444" s="3" t="str">
        <f t="shared" si="232"/>
        <v>hsa-miR-133a-5p</v>
      </c>
      <c r="E1444" s="2" t="s">
        <v>72</v>
      </c>
      <c r="F1444" s="3" t="str">
        <f t="shared" si="233"/>
        <v>Mature microRNA-133a-5p</v>
      </c>
      <c r="G1444" s="4"/>
      <c r="H1444" s="3" t="str">
        <f>HYPERLINK("https://www.cortellis.com/drugdiscovery/entity/biomarkers/28458","23-microRNA prostate cancer panel")</f>
        <v>23-microRNA prostate cancer panel</v>
      </c>
      <c r="I1444" s="2" t="s">
        <v>23</v>
      </c>
      <c r="J1444" s="2" t="s">
        <v>19</v>
      </c>
      <c r="K1444" s="4" t="str">
        <f>HYPERLINK("https://www.cortellis.com/drugdiscovery/result/proxy/related-content/biomarkers/genestargets/28458","microRNA 1-1; microRNA 1-2; microRNA 133a-1; microRNA 133a-2")</f>
        <v>microRNA 1-1; microRNA 1-2; microRNA 133a-1; microRNA 133a-2</v>
      </c>
    </row>
    <row r="1445" spans="1:11" ht="60" customHeight="1" x14ac:dyDescent="0.2">
      <c r="A1445" s="2">
        <v>1442</v>
      </c>
      <c r="B1445" s="3" t="str">
        <f t="shared" si="230"/>
        <v>miR-133a-5p</v>
      </c>
      <c r="C1445" s="3" t="str">
        <f t="shared" si="231"/>
        <v>MIR133A1</v>
      </c>
      <c r="D1445" s="3" t="str">
        <f t="shared" si="232"/>
        <v>hsa-miR-133a-5p</v>
      </c>
      <c r="E1445" s="2" t="s">
        <v>72</v>
      </c>
      <c r="F1445" s="3" t="str">
        <f t="shared" si="233"/>
        <v>Mature microRNA-133a-5p</v>
      </c>
      <c r="G1445" s="4"/>
      <c r="H1445" s="3" t="str">
        <f>HYPERLINK("https://www.cortellis.com/drugdiscovery/entity/biomarkers/34436","5-microRNA atherosclerosis panel")</f>
        <v>5-microRNA atherosclerosis panel</v>
      </c>
      <c r="I1445" s="2" t="s">
        <v>25</v>
      </c>
      <c r="J1445" s="2" t="s">
        <v>19</v>
      </c>
      <c r="K1445" s="4" t="str">
        <f>HYPERLINK("https://www.cortellis.com/drugdiscovery/result/proxy/related-content/biomarkers/genestargets/34436","microRNA 133a-1; microRNA 133a-2; microRNA 133b")</f>
        <v>microRNA 133a-1; microRNA 133a-2; microRNA 133b</v>
      </c>
    </row>
    <row r="1446" spans="1:11" ht="60" customHeight="1" x14ac:dyDescent="0.2">
      <c r="A1446" s="2">
        <v>1443</v>
      </c>
      <c r="B1446" s="3" t="str">
        <f t="shared" si="230"/>
        <v>miR-133a-5p</v>
      </c>
      <c r="C1446" s="3" t="str">
        <f t="shared" si="231"/>
        <v>MIR133A1</v>
      </c>
      <c r="D1446" s="3" t="str">
        <f t="shared" si="232"/>
        <v>hsa-miR-133a-5p</v>
      </c>
      <c r="E1446" s="2" t="s">
        <v>72</v>
      </c>
      <c r="F1446" s="3" t="str">
        <f t="shared" si="233"/>
        <v>Mature microRNA-133a-5p</v>
      </c>
      <c r="G1446" s="4"/>
      <c r="H1446" s="3" t="str">
        <f>HYPERLINK("https://www.cortellis.com/drugdiscovery/entity/biomarkers/45049","microRNA 133a-3p")</f>
        <v>microRNA 133a-3p</v>
      </c>
      <c r="I1446" s="2" t="s">
        <v>80</v>
      </c>
      <c r="J1446" s="2" t="s">
        <v>19</v>
      </c>
      <c r="K1446" s="4" t="str">
        <f>HYPERLINK("https://www.cortellis.com/drugdiscovery/result/proxy/related-content/biomarkers/genestargets/45049","microRNA 133a-1; microRNA 133a-2")</f>
        <v>microRNA 133a-1; microRNA 133a-2</v>
      </c>
    </row>
    <row r="1447" spans="1:11" ht="60" customHeight="1" x14ac:dyDescent="0.2">
      <c r="A1447" s="2">
        <v>1444</v>
      </c>
      <c r="B1447" s="3" t="str">
        <f t="shared" si="230"/>
        <v>miR-133a-5p</v>
      </c>
      <c r="C1447" s="3" t="str">
        <f t="shared" si="231"/>
        <v>MIR133A1</v>
      </c>
      <c r="D1447" s="3" t="str">
        <f t="shared" si="232"/>
        <v>hsa-miR-133a-5p</v>
      </c>
      <c r="E1447" s="2" t="s">
        <v>72</v>
      </c>
      <c r="F1447" s="3" t="str">
        <f t="shared" si="233"/>
        <v>Mature microRNA-133a-5p</v>
      </c>
      <c r="G1447" s="4"/>
      <c r="H1447" s="3" t="str">
        <f>HYPERLINK("https://www.cortellis.com/drugdiscovery/entity/biomarkers/45451","9-microRNA myotonic disorders panel ")</f>
        <v xml:space="preserve">9-microRNA myotonic disorders panel </v>
      </c>
      <c r="I1447" s="2" t="s">
        <v>23</v>
      </c>
      <c r="J1447" s="2" t="s">
        <v>19</v>
      </c>
      <c r="K1447" s="4" t="str">
        <f>HYPERLINK("https://www.cortellis.com/drugdiscovery/result/proxy/related-content/biomarkers/genestargets/45451","microRNA 133a-1; microRNA 133a-2")</f>
        <v>microRNA 133a-1; microRNA 133a-2</v>
      </c>
    </row>
    <row r="1448" spans="1:11" ht="60" customHeight="1" x14ac:dyDescent="0.2">
      <c r="A1448" s="2">
        <v>1445</v>
      </c>
      <c r="B1448" s="3" t="str">
        <f t="shared" si="230"/>
        <v>miR-133a-5p</v>
      </c>
      <c r="C1448" s="3" t="str">
        <f t="shared" si="231"/>
        <v>MIR133A1</v>
      </c>
      <c r="D1448" s="3" t="str">
        <f t="shared" si="232"/>
        <v>hsa-miR-133a-5p</v>
      </c>
      <c r="E1448" s="2" t="s">
        <v>72</v>
      </c>
      <c r="F1448" s="3" t="str">
        <f t="shared" si="233"/>
        <v>Mature microRNA-133a-5p</v>
      </c>
      <c r="G1448" s="4"/>
      <c r="H1448" s="3" t="str">
        <f>HYPERLINK("https://www.cortellis.com/drugdiscovery/entity/biomarkers/46660","9-microRNAs breast cancer panel")</f>
        <v>9-microRNAs breast cancer panel</v>
      </c>
      <c r="I1448" s="2" t="s">
        <v>81</v>
      </c>
      <c r="J1448" s="2" t="s">
        <v>19</v>
      </c>
      <c r="K1448" s="4" t="str">
        <f>HYPERLINK("https://www.cortellis.com/drugdiscovery/result/proxy/related-content/biomarkers/genestargets/46660","microRNA 133a-1; microRNA 133a-2")</f>
        <v>microRNA 133a-1; microRNA 133a-2</v>
      </c>
    </row>
    <row r="1449" spans="1:11" ht="60" customHeight="1" x14ac:dyDescent="0.2">
      <c r="A1449" s="2">
        <v>1446</v>
      </c>
      <c r="B1449" s="3" t="str">
        <f t="shared" si="230"/>
        <v>miR-133a-5p</v>
      </c>
      <c r="C1449" s="3" t="str">
        <f t="shared" si="231"/>
        <v>MIR133A1</v>
      </c>
      <c r="D1449" s="3" t="str">
        <f t="shared" si="232"/>
        <v>hsa-miR-133a-5p</v>
      </c>
      <c r="E1449" s="2" t="s">
        <v>72</v>
      </c>
      <c r="F1449" s="3" t="str">
        <f t="shared" si="233"/>
        <v>Mature microRNA-133a-5p</v>
      </c>
      <c r="G1449" s="4"/>
      <c r="H1449" s="3" t="str">
        <f>HYPERLINK("https://www.cortellis.com/drugdiscovery/entity/biomarkers/50826","7-microRNA hepatocellular carcinoma panel")</f>
        <v>7-microRNA hepatocellular carcinoma panel</v>
      </c>
      <c r="I1449" s="2" t="s">
        <v>23</v>
      </c>
      <c r="J1449" s="2" t="s">
        <v>19</v>
      </c>
      <c r="K1449" s="4" t="str">
        <f>HYPERLINK("https://www.cortellis.com/drugdiscovery/result/proxy/related-content/biomarkers/genestargets/50826","microRNA 133a-1; microRNA 133a-2")</f>
        <v>microRNA 133a-1; microRNA 133a-2</v>
      </c>
    </row>
    <row r="1450" spans="1:11" ht="60" customHeight="1" x14ac:dyDescent="0.2">
      <c r="A1450" s="2">
        <v>1447</v>
      </c>
      <c r="B1450" s="3" t="str">
        <f t="shared" si="230"/>
        <v>miR-133a-5p</v>
      </c>
      <c r="C1450" s="3" t="str">
        <f t="shared" si="231"/>
        <v>MIR133A1</v>
      </c>
      <c r="D1450" s="3" t="str">
        <f t="shared" si="232"/>
        <v>hsa-miR-133a-5p</v>
      </c>
      <c r="E1450" s="2" t="s">
        <v>72</v>
      </c>
      <c r="F1450" s="3" t="str">
        <f t="shared" si="233"/>
        <v>Mature microRNA-133a-5p</v>
      </c>
      <c r="G1450" s="4"/>
      <c r="H1450" s="3" t="str">
        <f>HYPERLINK("https://www.cortellis.com/drugdiscovery/entity/biomarkers/62628","24-microRNA lung cancer panel")</f>
        <v>24-microRNA lung cancer panel</v>
      </c>
      <c r="I1450" s="2" t="s">
        <v>18</v>
      </c>
      <c r="J1450" s="2" t="s">
        <v>19</v>
      </c>
      <c r="K1450" s="4" t="str">
        <f>HYPERLINK("https://www.cortellis.com/drugdiscovery/result/proxy/related-content/biomarkers/genestargets/62628","microRNA 133a-1; microRNA 133a-2")</f>
        <v>microRNA 133a-1; microRNA 133a-2</v>
      </c>
    </row>
    <row r="1451" spans="1:11" ht="60" customHeight="1" x14ac:dyDescent="0.2">
      <c r="A1451" s="2">
        <v>1448</v>
      </c>
      <c r="B1451" s="3" t="str">
        <f t="shared" si="230"/>
        <v>miR-133a-5p</v>
      </c>
      <c r="C1451" s="3" t="str">
        <f t="shared" si="231"/>
        <v>MIR133A1</v>
      </c>
      <c r="D1451" s="3" t="str">
        <f t="shared" si="232"/>
        <v>hsa-miR-133a-5p</v>
      </c>
      <c r="E1451" s="2" t="s">
        <v>72</v>
      </c>
      <c r="F1451" s="3" t="str">
        <f t="shared" si="233"/>
        <v>Mature microRNA-133a-5p</v>
      </c>
      <c r="G1451" s="4"/>
      <c r="H1451" s="3" t="str">
        <f>HYPERLINK("https://www.cortellis.com/drugdiscovery/entity/biomarkers/63397","9-microRNA 3-gene methylation prostate cancer panel")</f>
        <v>9-microRNA 3-gene methylation prostate cancer panel</v>
      </c>
      <c r="I1451" s="2" t="s">
        <v>25</v>
      </c>
      <c r="J1451" s="2" t="s">
        <v>19</v>
      </c>
      <c r="K1451" s="4" t="str">
        <f>HYPERLINK("https://www.cortellis.com/drugdiscovery/result/proxy/related-content/biomarkers/genestargets/63397","microRNA 133a-1; microRNA 133a-2")</f>
        <v>microRNA 133a-1; microRNA 133a-2</v>
      </c>
    </row>
    <row r="1452" spans="1:11" ht="60" customHeight="1" x14ac:dyDescent="0.2">
      <c r="A1452" s="2">
        <v>1449</v>
      </c>
      <c r="B1452" s="3" t="str">
        <f t="shared" si="230"/>
        <v>miR-133a-5p</v>
      </c>
      <c r="C1452" s="3" t="str">
        <f t="shared" si="231"/>
        <v>MIR133A1</v>
      </c>
      <c r="D1452" s="3" t="str">
        <f t="shared" si="232"/>
        <v>hsa-miR-133a-5p</v>
      </c>
      <c r="E1452" s="2" t="s">
        <v>72</v>
      </c>
      <c r="F1452" s="3" t="str">
        <f t="shared" si="233"/>
        <v>Mature microRNA-133a-5p</v>
      </c>
      <c r="G1452" s="4"/>
      <c r="H1452" s="3" t="str">
        <f>HYPERLINK("https://www.cortellis.com/drugdiscovery/entity/biomarkers/65718","microRNA 133a-1-3p")</f>
        <v>microRNA 133a-1-3p</v>
      </c>
      <c r="I1452" s="2" t="s">
        <v>28</v>
      </c>
      <c r="J1452" s="2" t="s">
        <v>19</v>
      </c>
      <c r="K1452" s="4" t="str">
        <f>HYPERLINK("https://www.cortellis.com/drugdiscovery/result/proxy/related-content/biomarkers/genestargets/65718","microRNA 133a-1")</f>
        <v>microRNA 133a-1</v>
      </c>
    </row>
    <row r="1453" spans="1:11" ht="60" customHeight="1" x14ac:dyDescent="0.2">
      <c r="A1453" s="2">
        <v>1450</v>
      </c>
      <c r="B1453" s="3" t="str">
        <f t="shared" si="230"/>
        <v>miR-133a-5p</v>
      </c>
      <c r="C1453" s="3" t="str">
        <f t="shared" ref="C1453:C1464" si="234">HYPERLINK("https://portal.genego.com/cgi/entity_page.cgi?term=20&amp;id=-1146695835","MIR133A2")</f>
        <v>MIR133A2</v>
      </c>
      <c r="D1453" s="3" t="str">
        <f t="shared" si="232"/>
        <v>hsa-miR-133a-5p</v>
      </c>
      <c r="E1453" s="2" t="s">
        <v>72</v>
      </c>
      <c r="F1453" s="3" t="str">
        <f t="shared" si="233"/>
        <v>Mature microRNA-133a-5p</v>
      </c>
      <c r="G1453" s="4"/>
      <c r="H1453" s="3" t="str">
        <f>HYPERLINK("https://www.cortellis.com/drugdiscovery/entity/biomarkers/7207","microRNA 133a-2")</f>
        <v>microRNA 133a-2</v>
      </c>
      <c r="I1453" s="2" t="s">
        <v>73</v>
      </c>
      <c r="J1453" s="2" t="s">
        <v>19</v>
      </c>
      <c r="K1453" s="4" t="str">
        <f>HYPERLINK("https://www.cortellis.com/drugdiscovery/result/proxy/related-content/biomarkers/genestargets/7207","microRNA 133a-2")</f>
        <v>microRNA 133a-2</v>
      </c>
    </row>
    <row r="1454" spans="1:11" ht="60" customHeight="1" x14ac:dyDescent="0.2">
      <c r="A1454" s="2">
        <v>1451</v>
      </c>
      <c r="B1454" s="3" t="str">
        <f t="shared" si="230"/>
        <v>miR-133a-5p</v>
      </c>
      <c r="C1454" s="3" t="str">
        <f t="shared" si="234"/>
        <v>MIR133A2</v>
      </c>
      <c r="D1454" s="3" t="str">
        <f t="shared" si="232"/>
        <v>hsa-miR-133a-5p</v>
      </c>
      <c r="E1454" s="2" t="s">
        <v>72</v>
      </c>
      <c r="F1454" s="3" t="str">
        <f t="shared" si="233"/>
        <v>Mature microRNA-133a-5p</v>
      </c>
      <c r="G1454" s="4"/>
      <c r="H1454" s="3" t="str">
        <f>HYPERLINK("https://www.cortellis.com/drugdiscovery/entity/biomarkers/12348","microRNA 133")</f>
        <v>microRNA 133</v>
      </c>
      <c r="I1454" s="2" t="s">
        <v>79</v>
      </c>
      <c r="J1454" s="2" t="s">
        <v>19</v>
      </c>
      <c r="K1454" s="4" t="str">
        <f>HYPERLINK("https://www.cortellis.com/drugdiscovery/result/proxy/related-content/biomarkers/genestargets/12348","microRNA 133a-1; microRNA 133a-2; microRNA 133b")</f>
        <v>microRNA 133a-1; microRNA 133a-2; microRNA 133b</v>
      </c>
    </row>
    <row r="1455" spans="1:11" ht="60" customHeight="1" x14ac:dyDescent="0.2">
      <c r="A1455" s="2">
        <v>1452</v>
      </c>
      <c r="B1455" s="3" t="str">
        <f t="shared" si="230"/>
        <v>miR-133a-5p</v>
      </c>
      <c r="C1455" s="3" t="str">
        <f t="shared" si="234"/>
        <v>MIR133A2</v>
      </c>
      <c r="D1455" s="3" t="str">
        <f t="shared" si="232"/>
        <v>hsa-miR-133a-5p</v>
      </c>
      <c r="E1455" s="2" t="s">
        <v>72</v>
      </c>
      <c r="F1455" s="3" t="str">
        <f t="shared" si="233"/>
        <v>Mature microRNA-133a-5p</v>
      </c>
      <c r="G1455" s="4"/>
      <c r="H1455" s="3" t="str">
        <f>HYPERLINK("https://www.cortellis.com/drugdiscovery/entity/biomarkers/13699","microRNA 133a")</f>
        <v>microRNA 133a</v>
      </c>
      <c r="I1455" s="2" t="s">
        <v>74</v>
      </c>
      <c r="J1455" s="2" t="s">
        <v>19</v>
      </c>
      <c r="K1455" s="4" t="str">
        <f>HYPERLINK("https://www.cortellis.com/drugdiscovery/result/proxy/related-content/biomarkers/genestargets/13699","microRNA 133a-1; microRNA 133a-2")</f>
        <v>microRNA 133a-1; microRNA 133a-2</v>
      </c>
    </row>
    <row r="1456" spans="1:11" ht="60" customHeight="1" x14ac:dyDescent="0.2">
      <c r="A1456" s="2">
        <v>1453</v>
      </c>
      <c r="B1456" s="3" t="str">
        <f t="shared" si="230"/>
        <v>miR-133a-5p</v>
      </c>
      <c r="C1456" s="3" t="str">
        <f t="shared" si="234"/>
        <v>MIR133A2</v>
      </c>
      <c r="D1456" s="3" t="str">
        <f t="shared" si="232"/>
        <v>hsa-miR-133a-5p</v>
      </c>
      <c r="E1456" s="2" t="s">
        <v>72</v>
      </c>
      <c r="F1456" s="3" t="str">
        <f t="shared" si="233"/>
        <v>Mature microRNA-133a-5p</v>
      </c>
      <c r="G1456" s="4"/>
      <c r="H1456" s="3" t="str">
        <f>HYPERLINK("https://www.cortellis.com/drugdiscovery/entity/biomarkers/24383","7-microRNA esophageal cancer panel")</f>
        <v>7-microRNA esophageal cancer panel</v>
      </c>
      <c r="I1456" s="2" t="s">
        <v>23</v>
      </c>
      <c r="J1456" s="2" t="s">
        <v>19</v>
      </c>
      <c r="K1456" s="4" t="str">
        <f>HYPERLINK("https://www.cortellis.com/drugdiscovery/result/proxy/related-content/biomarkers/genestargets/24383","microRNA 133a-1; microRNA 133a-2; microRNA 223")</f>
        <v>microRNA 133a-1; microRNA 133a-2; microRNA 223</v>
      </c>
    </row>
    <row r="1457" spans="1:11" ht="60" customHeight="1" x14ac:dyDescent="0.2">
      <c r="A1457" s="2">
        <v>1454</v>
      </c>
      <c r="B1457" s="3" t="str">
        <f t="shared" si="230"/>
        <v>miR-133a-5p</v>
      </c>
      <c r="C1457" s="3" t="str">
        <f t="shared" si="234"/>
        <v>MIR133A2</v>
      </c>
      <c r="D1457" s="3" t="str">
        <f t="shared" si="232"/>
        <v>hsa-miR-133a-5p</v>
      </c>
      <c r="E1457" s="2" t="s">
        <v>72</v>
      </c>
      <c r="F1457" s="3" t="str">
        <f t="shared" si="233"/>
        <v>Mature microRNA-133a-5p</v>
      </c>
      <c r="G1457" s="4"/>
      <c r="H1457" s="3" t="str">
        <f>HYPERLINK("https://www.cortellis.com/drugdiscovery/entity/biomarkers/28458","23-microRNA prostate cancer panel")</f>
        <v>23-microRNA prostate cancer panel</v>
      </c>
      <c r="I1457" s="2" t="s">
        <v>23</v>
      </c>
      <c r="J1457" s="2" t="s">
        <v>19</v>
      </c>
      <c r="K1457" s="4" t="str">
        <f>HYPERLINK("https://www.cortellis.com/drugdiscovery/result/proxy/related-content/biomarkers/genestargets/28458","microRNA 1-1; microRNA 1-2; microRNA 133a-1; microRNA 133a-2")</f>
        <v>microRNA 1-1; microRNA 1-2; microRNA 133a-1; microRNA 133a-2</v>
      </c>
    </row>
    <row r="1458" spans="1:11" ht="60" customHeight="1" x14ac:dyDescent="0.2">
      <c r="A1458" s="2">
        <v>1455</v>
      </c>
      <c r="B1458" s="3" t="str">
        <f t="shared" si="230"/>
        <v>miR-133a-5p</v>
      </c>
      <c r="C1458" s="3" t="str">
        <f t="shared" si="234"/>
        <v>MIR133A2</v>
      </c>
      <c r="D1458" s="3" t="str">
        <f t="shared" si="232"/>
        <v>hsa-miR-133a-5p</v>
      </c>
      <c r="E1458" s="2" t="s">
        <v>72</v>
      </c>
      <c r="F1458" s="3" t="str">
        <f t="shared" si="233"/>
        <v>Mature microRNA-133a-5p</v>
      </c>
      <c r="G1458" s="4"/>
      <c r="H1458" s="3" t="str">
        <f>HYPERLINK("https://www.cortellis.com/drugdiscovery/entity/biomarkers/34436","5-microRNA atherosclerosis panel")</f>
        <v>5-microRNA atherosclerosis panel</v>
      </c>
      <c r="I1458" s="2" t="s">
        <v>25</v>
      </c>
      <c r="J1458" s="2" t="s">
        <v>19</v>
      </c>
      <c r="K1458" s="4" t="str">
        <f>HYPERLINK("https://www.cortellis.com/drugdiscovery/result/proxy/related-content/biomarkers/genestargets/34436","microRNA 133a-1; microRNA 133a-2; microRNA 133b")</f>
        <v>microRNA 133a-1; microRNA 133a-2; microRNA 133b</v>
      </c>
    </row>
    <row r="1459" spans="1:11" ht="60" customHeight="1" x14ac:dyDescent="0.2">
      <c r="A1459" s="2">
        <v>1456</v>
      </c>
      <c r="B1459" s="3" t="str">
        <f t="shared" si="230"/>
        <v>miR-133a-5p</v>
      </c>
      <c r="C1459" s="3" t="str">
        <f t="shared" si="234"/>
        <v>MIR133A2</v>
      </c>
      <c r="D1459" s="3" t="str">
        <f t="shared" si="232"/>
        <v>hsa-miR-133a-5p</v>
      </c>
      <c r="E1459" s="2" t="s">
        <v>72</v>
      </c>
      <c r="F1459" s="3" t="str">
        <f t="shared" si="233"/>
        <v>Mature microRNA-133a-5p</v>
      </c>
      <c r="G1459" s="4"/>
      <c r="H1459" s="3" t="str">
        <f>HYPERLINK("https://www.cortellis.com/drugdiscovery/entity/biomarkers/45049","microRNA 133a-3p")</f>
        <v>microRNA 133a-3p</v>
      </c>
      <c r="I1459" s="2" t="s">
        <v>80</v>
      </c>
      <c r="J1459" s="2" t="s">
        <v>19</v>
      </c>
      <c r="K1459" s="4" t="str">
        <f>HYPERLINK("https://www.cortellis.com/drugdiscovery/result/proxy/related-content/biomarkers/genestargets/45049","microRNA 133a-1; microRNA 133a-2")</f>
        <v>microRNA 133a-1; microRNA 133a-2</v>
      </c>
    </row>
    <row r="1460" spans="1:11" ht="60" customHeight="1" x14ac:dyDescent="0.2">
      <c r="A1460" s="2">
        <v>1457</v>
      </c>
      <c r="B1460" s="3" t="str">
        <f t="shared" si="230"/>
        <v>miR-133a-5p</v>
      </c>
      <c r="C1460" s="3" t="str">
        <f t="shared" si="234"/>
        <v>MIR133A2</v>
      </c>
      <c r="D1460" s="3" t="str">
        <f t="shared" si="232"/>
        <v>hsa-miR-133a-5p</v>
      </c>
      <c r="E1460" s="2" t="s">
        <v>72</v>
      </c>
      <c r="F1460" s="3" t="str">
        <f t="shared" si="233"/>
        <v>Mature microRNA-133a-5p</v>
      </c>
      <c r="G1460" s="4"/>
      <c r="H1460" s="3" t="str">
        <f>HYPERLINK("https://www.cortellis.com/drugdiscovery/entity/biomarkers/45451","9-microRNA myotonic disorders panel ")</f>
        <v xml:space="preserve">9-microRNA myotonic disorders panel </v>
      </c>
      <c r="I1460" s="2" t="s">
        <v>23</v>
      </c>
      <c r="J1460" s="2" t="s">
        <v>19</v>
      </c>
      <c r="K1460" s="4" t="str">
        <f>HYPERLINK("https://www.cortellis.com/drugdiscovery/result/proxy/related-content/biomarkers/genestargets/45451","microRNA 133a-1; microRNA 133a-2")</f>
        <v>microRNA 133a-1; microRNA 133a-2</v>
      </c>
    </row>
    <row r="1461" spans="1:11" ht="60" customHeight="1" x14ac:dyDescent="0.2">
      <c r="A1461" s="2">
        <v>1458</v>
      </c>
      <c r="B1461" s="3" t="str">
        <f t="shared" si="230"/>
        <v>miR-133a-5p</v>
      </c>
      <c r="C1461" s="3" t="str">
        <f t="shared" si="234"/>
        <v>MIR133A2</v>
      </c>
      <c r="D1461" s="3" t="str">
        <f t="shared" si="232"/>
        <v>hsa-miR-133a-5p</v>
      </c>
      <c r="E1461" s="2" t="s">
        <v>72</v>
      </c>
      <c r="F1461" s="3" t="str">
        <f t="shared" si="233"/>
        <v>Mature microRNA-133a-5p</v>
      </c>
      <c r="G1461" s="4"/>
      <c r="H1461" s="3" t="str">
        <f>HYPERLINK("https://www.cortellis.com/drugdiscovery/entity/biomarkers/46660","9-microRNAs breast cancer panel")</f>
        <v>9-microRNAs breast cancer panel</v>
      </c>
      <c r="I1461" s="2" t="s">
        <v>81</v>
      </c>
      <c r="J1461" s="2" t="s">
        <v>19</v>
      </c>
      <c r="K1461" s="4" t="str">
        <f>HYPERLINK("https://www.cortellis.com/drugdiscovery/result/proxy/related-content/biomarkers/genestargets/46660","microRNA 133a-1; microRNA 133a-2")</f>
        <v>microRNA 133a-1; microRNA 133a-2</v>
      </c>
    </row>
    <row r="1462" spans="1:11" ht="60" customHeight="1" x14ac:dyDescent="0.2">
      <c r="A1462" s="2">
        <v>1459</v>
      </c>
      <c r="B1462" s="3" t="str">
        <f t="shared" si="230"/>
        <v>miR-133a-5p</v>
      </c>
      <c r="C1462" s="3" t="str">
        <f t="shared" si="234"/>
        <v>MIR133A2</v>
      </c>
      <c r="D1462" s="3" t="str">
        <f t="shared" si="232"/>
        <v>hsa-miR-133a-5p</v>
      </c>
      <c r="E1462" s="2" t="s">
        <v>72</v>
      </c>
      <c r="F1462" s="3" t="str">
        <f t="shared" si="233"/>
        <v>Mature microRNA-133a-5p</v>
      </c>
      <c r="G1462" s="4"/>
      <c r="H1462" s="3" t="str">
        <f>HYPERLINK("https://www.cortellis.com/drugdiscovery/entity/biomarkers/50826","7-microRNA hepatocellular carcinoma panel")</f>
        <v>7-microRNA hepatocellular carcinoma panel</v>
      </c>
      <c r="I1462" s="2" t="s">
        <v>23</v>
      </c>
      <c r="J1462" s="2" t="s">
        <v>19</v>
      </c>
      <c r="K1462" s="4" t="str">
        <f>HYPERLINK("https://www.cortellis.com/drugdiscovery/result/proxy/related-content/biomarkers/genestargets/50826","microRNA 133a-1; microRNA 133a-2")</f>
        <v>microRNA 133a-1; microRNA 133a-2</v>
      </c>
    </row>
    <row r="1463" spans="1:11" ht="60" customHeight="1" x14ac:dyDescent="0.2">
      <c r="A1463" s="2">
        <v>1460</v>
      </c>
      <c r="B1463" s="3" t="str">
        <f t="shared" si="230"/>
        <v>miR-133a-5p</v>
      </c>
      <c r="C1463" s="3" t="str">
        <f t="shared" si="234"/>
        <v>MIR133A2</v>
      </c>
      <c r="D1463" s="3" t="str">
        <f t="shared" si="232"/>
        <v>hsa-miR-133a-5p</v>
      </c>
      <c r="E1463" s="2" t="s">
        <v>72</v>
      </c>
      <c r="F1463" s="3" t="str">
        <f t="shared" si="233"/>
        <v>Mature microRNA-133a-5p</v>
      </c>
      <c r="G1463" s="4"/>
      <c r="H1463" s="3" t="str">
        <f>HYPERLINK("https://www.cortellis.com/drugdiscovery/entity/biomarkers/62628","24-microRNA lung cancer panel")</f>
        <v>24-microRNA lung cancer panel</v>
      </c>
      <c r="I1463" s="2" t="s">
        <v>18</v>
      </c>
      <c r="J1463" s="2" t="s">
        <v>19</v>
      </c>
      <c r="K1463" s="4" t="str">
        <f>HYPERLINK("https://www.cortellis.com/drugdiscovery/result/proxy/related-content/biomarkers/genestargets/62628","microRNA 133a-1; microRNA 133a-2")</f>
        <v>microRNA 133a-1; microRNA 133a-2</v>
      </c>
    </row>
    <row r="1464" spans="1:11" ht="60" customHeight="1" x14ac:dyDescent="0.2">
      <c r="A1464" s="2">
        <v>1461</v>
      </c>
      <c r="B1464" s="3" t="str">
        <f t="shared" si="230"/>
        <v>miR-133a-5p</v>
      </c>
      <c r="C1464" s="3" t="str">
        <f t="shared" si="234"/>
        <v>MIR133A2</v>
      </c>
      <c r="D1464" s="3" t="str">
        <f t="shared" si="232"/>
        <v>hsa-miR-133a-5p</v>
      </c>
      <c r="E1464" s="2" t="s">
        <v>72</v>
      </c>
      <c r="F1464" s="3" t="str">
        <f t="shared" si="233"/>
        <v>Mature microRNA-133a-5p</v>
      </c>
      <c r="G1464" s="4"/>
      <c r="H1464" s="3" t="str">
        <f>HYPERLINK("https://www.cortellis.com/drugdiscovery/entity/biomarkers/63397","9-microRNA 3-gene methylation prostate cancer panel")</f>
        <v>9-microRNA 3-gene methylation prostate cancer panel</v>
      </c>
      <c r="I1464" s="2" t="s">
        <v>25</v>
      </c>
      <c r="J1464" s="2" t="s">
        <v>19</v>
      </c>
      <c r="K1464" s="4" t="str">
        <f>HYPERLINK("https://www.cortellis.com/drugdiscovery/result/proxy/related-content/biomarkers/genestargets/63397","microRNA 133a-1; microRNA 133a-2")</f>
        <v>microRNA 133a-1; microRNA 133a-2</v>
      </c>
    </row>
    <row r="1465" spans="1:11" ht="60" customHeight="1" x14ac:dyDescent="0.2">
      <c r="A1465" s="2">
        <v>1462</v>
      </c>
      <c r="B1465" s="3" t="str">
        <f>HYPERLINK("https://portal.genego.com/cgi/entity_page.cgi?term=100&amp;id=-2003138939","miR-133b-3p")</f>
        <v>miR-133b-3p</v>
      </c>
      <c r="C1465" s="3" t="str">
        <f>HYPERLINK("https://portal.genego.com/cgi/entity_page.cgi?term=20&amp;id=-946320102","MIR133B")</f>
        <v>MIR133B</v>
      </c>
      <c r="D1465" s="3" t="str">
        <f>HYPERLINK("https://portal.genego.com/cgi/entity_page.cgi?term=7&amp;id=-463178376","hsa-miR-133b")</f>
        <v>hsa-miR-133b</v>
      </c>
      <c r="E1465" s="2" t="s">
        <v>72</v>
      </c>
      <c r="F1465" s="3" t="str">
        <f>HYPERLINK("https://portal.genego.com/cgi/entity_page.cgi?term=100&amp;id=-2003138939","Mature microRNA-133b")</f>
        <v>Mature microRNA-133b</v>
      </c>
      <c r="G1465" s="4"/>
      <c r="H1465" s="3" t="str">
        <f>HYPERLINK("https://www.cortellis.com/drugdiscovery/entity/biomarkers/7208","microRNA 133b")</f>
        <v>microRNA 133b</v>
      </c>
      <c r="I1465" s="2" t="s">
        <v>82</v>
      </c>
      <c r="J1465" s="2" t="s">
        <v>19</v>
      </c>
      <c r="K1465" s="4" t="str">
        <f>HYPERLINK("https://www.cortellis.com/drugdiscovery/result/proxy/related-content/biomarkers/genestargets/7208","microRNA 133b")</f>
        <v>microRNA 133b</v>
      </c>
    </row>
    <row r="1466" spans="1:11" ht="60" customHeight="1" x14ac:dyDescent="0.2">
      <c r="A1466" s="2">
        <v>1463</v>
      </c>
      <c r="B1466" s="3" t="str">
        <f>HYPERLINK("https://portal.genego.com/cgi/entity_page.cgi?term=100&amp;id=-2003138939","miR-133b-3p")</f>
        <v>miR-133b-3p</v>
      </c>
      <c r="C1466" s="3" t="str">
        <f>HYPERLINK("https://portal.genego.com/cgi/entity_page.cgi?term=20&amp;id=-946320102","MIR133B")</f>
        <v>MIR133B</v>
      </c>
      <c r="D1466" s="3" t="str">
        <f>HYPERLINK("https://portal.genego.com/cgi/entity_page.cgi?term=7&amp;id=-463178376","hsa-miR-133b")</f>
        <v>hsa-miR-133b</v>
      </c>
      <c r="E1466" s="2" t="s">
        <v>72</v>
      </c>
      <c r="F1466" s="3" t="str">
        <f>HYPERLINK("https://portal.genego.com/cgi/entity_page.cgi?term=100&amp;id=-2003138939","Mature microRNA-133b")</f>
        <v>Mature microRNA-133b</v>
      </c>
      <c r="G1466" s="4"/>
      <c r="H1466" s="3" t="str">
        <f>HYPERLINK("https://www.cortellis.com/drugdiscovery/entity/biomarkers/12348","microRNA 133")</f>
        <v>microRNA 133</v>
      </c>
      <c r="I1466" s="2" t="s">
        <v>79</v>
      </c>
      <c r="J1466" s="2" t="s">
        <v>19</v>
      </c>
      <c r="K1466" s="4" t="str">
        <f>HYPERLINK("https://www.cortellis.com/drugdiscovery/result/proxy/related-content/biomarkers/genestargets/12348","microRNA 133a-1; microRNA 133a-2; microRNA 133b")</f>
        <v>microRNA 133a-1; microRNA 133a-2; microRNA 133b</v>
      </c>
    </row>
    <row r="1467" spans="1:11" ht="60" customHeight="1" x14ac:dyDescent="0.2">
      <c r="A1467" s="2">
        <v>1464</v>
      </c>
      <c r="B1467" s="3" t="str">
        <f>HYPERLINK("https://portal.genego.com/cgi/entity_page.cgi?term=100&amp;id=-2003138939","miR-133b-3p")</f>
        <v>miR-133b-3p</v>
      </c>
      <c r="C1467" s="3" t="str">
        <f>HYPERLINK("https://portal.genego.com/cgi/entity_page.cgi?term=20&amp;id=-946320102","MIR133B")</f>
        <v>MIR133B</v>
      </c>
      <c r="D1467" s="3" t="str">
        <f>HYPERLINK("https://portal.genego.com/cgi/entity_page.cgi?term=7&amp;id=-463178376","hsa-miR-133b")</f>
        <v>hsa-miR-133b</v>
      </c>
      <c r="E1467" s="2" t="s">
        <v>72</v>
      </c>
      <c r="F1467" s="3" t="str">
        <f>HYPERLINK("https://portal.genego.com/cgi/entity_page.cgi?term=100&amp;id=-2003138939","Mature microRNA-133b")</f>
        <v>Mature microRNA-133b</v>
      </c>
      <c r="G1467" s="4"/>
      <c r="H1467" s="3" t="str">
        <f>HYPERLINK("https://www.cortellis.com/drugdiscovery/entity/biomarkers/34436","5-microRNA atherosclerosis panel")</f>
        <v>5-microRNA atherosclerosis panel</v>
      </c>
      <c r="I1467" s="2" t="s">
        <v>25</v>
      </c>
      <c r="J1467" s="2" t="s">
        <v>19</v>
      </c>
      <c r="K1467" s="4" t="str">
        <f>HYPERLINK("https://www.cortellis.com/drugdiscovery/result/proxy/related-content/biomarkers/genestargets/34436","microRNA 133a-1; microRNA 133a-2; microRNA 133b")</f>
        <v>microRNA 133a-1; microRNA 133a-2; microRNA 133b</v>
      </c>
    </row>
    <row r="1468" spans="1:11" ht="60" customHeight="1" x14ac:dyDescent="0.2">
      <c r="A1468" s="2">
        <v>1465</v>
      </c>
      <c r="B1468" s="3" t="str">
        <f>HYPERLINK("https://portal.genego.com/cgi/entity_page.cgi?term=100&amp;id=-2003138939","miR-133b-3p")</f>
        <v>miR-133b-3p</v>
      </c>
      <c r="C1468" s="3" t="str">
        <f>HYPERLINK("https://portal.genego.com/cgi/entity_page.cgi?term=20&amp;id=-946320102","MIR133B")</f>
        <v>MIR133B</v>
      </c>
      <c r="D1468" s="3" t="str">
        <f>HYPERLINK("https://portal.genego.com/cgi/entity_page.cgi?term=7&amp;id=-463178376","hsa-miR-133b")</f>
        <v>hsa-miR-133b</v>
      </c>
      <c r="E1468" s="2" t="s">
        <v>72</v>
      </c>
      <c r="F1468" s="3" t="str">
        <f>HYPERLINK("https://portal.genego.com/cgi/entity_page.cgi?term=100&amp;id=-2003138939","Mature microRNA-133b")</f>
        <v>Mature microRNA-133b</v>
      </c>
      <c r="G1468" s="4"/>
      <c r="H1468" s="3" t="str">
        <f>HYPERLINK("https://www.cortellis.com/drugdiscovery/entity/biomarkers/47226","4-microRNA cancer panel")</f>
        <v>4-microRNA cancer panel</v>
      </c>
      <c r="I1468" s="2" t="s">
        <v>28</v>
      </c>
      <c r="J1468" s="2" t="s">
        <v>19</v>
      </c>
      <c r="K1468" s="4" t="str">
        <f>HYPERLINK("https://www.cortellis.com/drugdiscovery/result/proxy/related-content/biomarkers/genestargets/47226","microRNA 133b")</f>
        <v>microRNA 133b</v>
      </c>
    </row>
    <row r="1469" spans="1:11" ht="60" customHeight="1" x14ac:dyDescent="0.2">
      <c r="A1469" s="2">
        <v>1466</v>
      </c>
      <c r="B1469" s="3" t="str">
        <f t="shared" ref="B1469:B1490" si="235">HYPERLINK("https://portal.genego.com/cgi/entity_page.cgi?term=100&amp;id=-1543871567","miR-146a-3p")</f>
        <v>miR-146a-3p</v>
      </c>
      <c r="C1469" s="3" t="str">
        <f t="shared" ref="C1469:C1512" si="236">HYPERLINK("https://portal.genego.com/cgi/entity_page.cgi?term=20&amp;id=-557394445","MIR146A")</f>
        <v>MIR146A</v>
      </c>
      <c r="D1469" s="3" t="str">
        <f t="shared" ref="D1469:D1490" si="237">HYPERLINK("https://portal.genego.com/cgi/entity_page.cgi?term=7&amp;id=-1879005154","hsa-miR-146a-3p")</f>
        <v>hsa-miR-146a-3p</v>
      </c>
      <c r="E1469" s="2" t="s">
        <v>72</v>
      </c>
      <c r="F1469" s="3" t="str">
        <f t="shared" ref="F1469:F1490" si="238">HYPERLINK("https://portal.genego.com/cgi/entity_page.cgi?term=100&amp;id=-1543871567","Mature microRNA-146a-3p")</f>
        <v>Mature microRNA-146a-3p</v>
      </c>
      <c r="G1469" s="4"/>
      <c r="H1469" s="3" t="str">
        <f>HYPERLINK("https://www.cortellis.com/drugdiscovery/entity/biomarkers/7210","microRNA 146a")</f>
        <v>microRNA 146a</v>
      </c>
      <c r="I1469" s="2" t="s">
        <v>31</v>
      </c>
      <c r="J1469" s="2" t="s">
        <v>19</v>
      </c>
      <c r="K1469" s="4" t="str">
        <f>HYPERLINK("https://www.cortellis.com/drugdiscovery/result/proxy/related-content/biomarkers/genestargets/7210","microRNA 146a")</f>
        <v>microRNA 146a</v>
      </c>
    </row>
    <row r="1470" spans="1:11" ht="60" customHeight="1" x14ac:dyDescent="0.2">
      <c r="A1470" s="2">
        <v>1467</v>
      </c>
      <c r="B1470" s="3" t="str">
        <f t="shared" si="235"/>
        <v>miR-146a-3p</v>
      </c>
      <c r="C1470" s="3" t="str">
        <f t="shared" si="236"/>
        <v>MIR146A</v>
      </c>
      <c r="D1470" s="3" t="str">
        <f t="shared" si="237"/>
        <v>hsa-miR-146a-3p</v>
      </c>
      <c r="E1470" s="2" t="s">
        <v>72</v>
      </c>
      <c r="F1470" s="3" t="str">
        <f t="shared" si="238"/>
        <v>Mature microRNA-146a-3p</v>
      </c>
      <c r="G1470" s="4"/>
      <c r="H1470" s="3" t="str">
        <f>HYPERLINK("https://www.cortellis.com/drugdiscovery/entity/biomarkers/13640","microRNA146")</f>
        <v>microRNA146</v>
      </c>
      <c r="I1470" s="2" t="s">
        <v>83</v>
      </c>
      <c r="J1470" s="2" t="s">
        <v>19</v>
      </c>
      <c r="K1470" s="4" t="str">
        <f>HYPERLINK("https://www.cortellis.com/drugdiscovery/result/proxy/related-content/biomarkers/genestargets/13640","microRNA 146a; microRNA 146b")</f>
        <v>microRNA 146a; microRNA 146b</v>
      </c>
    </row>
    <row r="1471" spans="1:11" ht="60" customHeight="1" x14ac:dyDescent="0.2">
      <c r="A1471" s="2">
        <v>1468</v>
      </c>
      <c r="B1471" s="3" t="str">
        <f t="shared" si="235"/>
        <v>miR-146a-3p</v>
      </c>
      <c r="C1471" s="3" t="str">
        <f t="shared" si="236"/>
        <v>MIR146A</v>
      </c>
      <c r="D1471" s="3" t="str">
        <f t="shared" si="237"/>
        <v>hsa-miR-146a-3p</v>
      </c>
      <c r="E1471" s="2" t="s">
        <v>72</v>
      </c>
      <c r="F1471" s="3" t="str">
        <f t="shared" si="238"/>
        <v>Mature microRNA-146a-3p</v>
      </c>
      <c r="G1471" s="4"/>
      <c r="H1471" s="3" t="str">
        <f>HYPERLINK("https://www.cortellis.com/drugdiscovery/entity/biomarkers/24189","miRview mets")</f>
        <v>miRview mets</v>
      </c>
      <c r="I1471" s="2" t="s">
        <v>23</v>
      </c>
      <c r="J1471" s="2" t="s">
        <v>19</v>
      </c>
      <c r="K1471" s="4" t="str">
        <f>HYPERLINK("https://www.cortellis.com/drugdiscovery/result/proxy/related-content/biomarkers/genestargets/24189","microRNA 146a; microRNA 214")</f>
        <v>microRNA 146a; microRNA 214</v>
      </c>
    </row>
    <row r="1472" spans="1:11" ht="60" customHeight="1" x14ac:dyDescent="0.2">
      <c r="A1472" s="2">
        <v>1469</v>
      </c>
      <c r="B1472" s="3" t="str">
        <f t="shared" si="235"/>
        <v>miR-146a-3p</v>
      </c>
      <c r="C1472" s="3" t="str">
        <f t="shared" si="236"/>
        <v>MIR146A</v>
      </c>
      <c r="D1472" s="3" t="str">
        <f t="shared" si="237"/>
        <v>hsa-miR-146a-3p</v>
      </c>
      <c r="E1472" s="2" t="s">
        <v>72</v>
      </c>
      <c r="F1472" s="3" t="str">
        <f t="shared" si="238"/>
        <v>Mature microRNA-146a-3p</v>
      </c>
      <c r="G1472" s="4"/>
      <c r="H1472" s="3" t="str">
        <f>HYPERLINK("https://www.cortellis.com/drugdiscovery/entity/biomarkers/25567","microRNA 146a-5p")</f>
        <v>microRNA 146a-5p</v>
      </c>
      <c r="I1472" s="2" t="s">
        <v>84</v>
      </c>
      <c r="J1472" s="2" t="s">
        <v>19</v>
      </c>
      <c r="K1472" s="4" t="str">
        <f>HYPERLINK("https://www.cortellis.com/drugdiscovery/result/proxy/related-content/biomarkers/genestargets/25567","microRNA 146a")</f>
        <v>microRNA 146a</v>
      </c>
    </row>
    <row r="1473" spans="1:11" ht="60" customHeight="1" x14ac:dyDescent="0.2">
      <c r="A1473" s="2">
        <v>1470</v>
      </c>
      <c r="B1473" s="3" t="str">
        <f t="shared" si="235"/>
        <v>miR-146a-3p</v>
      </c>
      <c r="C1473" s="3" t="str">
        <f t="shared" si="236"/>
        <v>MIR146A</v>
      </c>
      <c r="D1473" s="3" t="str">
        <f t="shared" si="237"/>
        <v>hsa-miR-146a-3p</v>
      </c>
      <c r="E1473" s="2" t="s">
        <v>72</v>
      </c>
      <c r="F1473" s="3" t="str">
        <f t="shared" si="238"/>
        <v>Mature microRNA-146a-3p</v>
      </c>
      <c r="G1473" s="4"/>
      <c r="H1473" s="3" t="str">
        <f>HYPERLINK("https://www.cortellis.com/drugdiscovery/entity/biomarkers/27309","57-microRNA mouth cancer panel")</f>
        <v>57-microRNA mouth cancer panel</v>
      </c>
      <c r="I1473" s="2" t="s">
        <v>23</v>
      </c>
      <c r="J1473" s="2" t="s">
        <v>19</v>
      </c>
      <c r="K1473" s="4" t="str">
        <f>HYPERLINK("https://www.cortellis.com/drugdiscovery/result/proxy/related-content/biomarkers/genestargets/27309","microRNA 146a; microRNA 155; microRNA 214; microRNA 223")</f>
        <v>microRNA 146a; microRNA 155; microRNA 214; microRNA 223</v>
      </c>
    </row>
    <row r="1474" spans="1:11" ht="60" customHeight="1" x14ac:dyDescent="0.2">
      <c r="A1474" s="2">
        <v>1471</v>
      </c>
      <c r="B1474" s="3" t="str">
        <f t="shared" si="235"/>
        <v>miR-146a-3p</v>
      </c>
      <c r="C1474" s="3" t="str">
        <f t="shared" si="236"/>
        <v>MIR146A</v>
      </c>
      <c r="D1474" s="3" t="str">
        <f t="shared" si="237"/>
        <v>hsa-miR-146a-3p</v>
      </c>
      <c r="E1474" s="2" t="s">
        <v>72</v>
      </c>
      <c r="F1474" s="3" t="str">
        <f t="shared" si="238"/>
        <v>Mature microRNA-146a-3p</v>
      </c>
      <c r="G1474" s="4"/>
      <c r="H1474" s="3" t="str">
        <f>HYPERLINK("https://www.cortellis.com/drugdiscovery/entity/biomarkers/33515","41-microRNA cancer panel")</f>
        <v>41-microRNA cancer panel</v>
      </c>
      <c r="I1474" s="2" t="s">
        <v>23</v>
      </c>
      <c r="J1474" s="2" t="s">
        <v>19</v>
      </c>
      <c r="K1474" s="4" t="str">
        <f>HYPERLINK("https://www.cortellis.com/drugdiscovery/result/proxy/related-content/biomarkers/genestargets/33515","microRNA 146a")</f>
        <v>microRNA 146a</v>
      </c>
    </row>
    <row r="1475" spans="1:11" ht="60" customHeight="1" x14ac:dyDescent="0.2">
      <c r="A1475" s="2">
        <v>1472</v>
      </c>
      <c r="B1475" s="3" t="str">
        <f t="shared" si="235"/>
        <v>miR-146a-3p</v>
      </c>
      <c r="C1475" s="3" t="str">
        <f t="shared" si="236"/>
        <v>MIR146A</v>
      </c>
      <c r="D1475" s="3" t="str">
        <f t="shared" si="237"/>
        <v>hsa-miR-146a-3p</v>
      </c>
      <c r="E1475" s="2" t="s">
        <v>72</v>
      </c>
      <c r="F1475" s="3" t="str">
        <f t="shared" si="238"/>
        <v>Mature microRNA-146a-3p</v>
      </c>
      <c r="G1475" s="4"/>
      <c r="H1475" s="3" t="str">
        <f>HYPERLINK("https://www.cortellis.com/drugdiscovery/entity/biomarkers/34964","6-microRNA neurological panel")</f>
        <v>6-microRNA neurological panel</v>
      </c>
      <c r="I1475" s="2" t="s">
        <v>29</v>
      </c>
      <c r="J1475" s="2" t="s">
        <v>19</v>
      </c>
      <c r="K1475" s="4" t="str">
        <f>HYPERLINK("https://www.cortellis.com/drugdiscovery/result/proxy/related-content/biomarkers/genestargets/34964","microRNA 146a")</f>
        <v>microRNA 146a</v>
      </c>
    </row>
    <row r="1476" spans="1:11" ht="60" customHeight="1" x14ac:dyDescent="0.2">
      <c r="A1476" s="2">
        <v>1473</v>
      </c>
      <c r="B1476" s="3" t="str">
        <f t="shared" si="235"/>
        <v>miR-146a-3p</v>
      </c>
      <c r="C1476" s="3" t="str">
        <f t="shared" si="236"/>
        <v>MIR146A</v>
      </c>
      <c r="D1476" s="3" t="str">
        <f t="shared" si="237"/>
        <v>hsa-miR-146a-3p</v>
      </c>
      <c r="E1476" s="2" t="s">
        <v>72</v>
      </c>
      <c r="F1476" s="3" t="str">
        <f t="shared" si="238"/>
        <v>Mature microRNA-146a-3p</v>
      </c>
      <c r="G1476" s="4"/>
      <c r="H1476" s="3" t="str">
        <f>HYPERLINK("https://www.cortellis.com/drugdiscovery/entity/biomarkers/40306","6-microRNA expression oropharyngeal squamous cell carcinoma panel")</f>
        <v>6-microRNA expression oropharyngeal squamous cell carcinoma panel</v>
      </c>
      <c r="I1476" s="2" t="s">
        <v>18</v>
      </c>
      <c r="J1476" s="2" t="s">
        <v>19</v>
      </c>
      <c r="K1476" s="4" t="str">
        <f>HYPERLINK("https://www.cortellis.com/drugdiscovery/result/proxy/related-content/biomarkers/genestargets/40306","microRNA 146a")</f>
        <v>microRNA 146a</v>
      </c>
    </row>
    <row r="1477" spans="1:11" ht="60" customHeight="1" x14ac:dyDescent="0.2">
      <c r="A1477" s="2">
        <v>1474</v>
      </c>
      <c r="B1477" s="3" t="str">
        <f t="shared" si="235"/>
        <v>miR-146a-3p</v>
      </c>
      <c r="C1477" s="3" t="str">
        <f t="shared" si="236"/>
        <v>MIR146A</v>
      </c>
      <c r="D1477" s="3" t="str">
        <f t="shared" si="237"/>
        <v>hsa-miR-146a-3p</v>
      </c>
      <c r="E1477" s="2" t="s">
        <v>72</v>
      </c>
      <c r="F1477" s="3" t="str">
        <f t="shared" si="238"/>
        <v>Mature microRNA-146a-3p</v>
      </c>
      <c r="G1477" s="4"/>
      <c r="H1477" s="3" t="str">
        <f>HYPERLINK("https://www.cortellis.com/drugdiscovery/entity/biomarkers/40697","7-miRNA expression anapalstic large cell lymphoma")</f>
        <v>7-miRNA expression anapalstic large cell lymphoma</v>
      </c>
      <c r="I1477" s="2" t="s">
        <v>23</v>
      </c>
      <c r="J1477" s="2" t="s">
        <v>19</v>
      </c>
      <c r="K1477" s="4" t="str">
        <f>HYPERLINK("https://www.cortellis.com/drugdiscovery/result/proxy/related-content/biomarkers/genestargets/40697","microRNA 146a; microRNA 155")</f>
        <v>microRNA 146a; microRNA 155</v>
      </c>
    </row>
    <row r="1478" spans="1:11" ht="60" customHeight="1" x14ac:dyDescent="0.2">
      <c r="A1478" s="2">
        <v>1475</v>
      </c>
      <c r="B1478" s="3" t="str">
        <f t="shared" si="235"/>
        <v>miR-146a-3p</v>
      </c>
      <c r="C1478" s="3" t="str">
        <f t="shared" si="236"/>
        <v>MIR146A</v>
      </c>
      <c r="D1478" s="3" t="str">
        <f t="shared" si="237"/>
        <v>hsa-miR-146a-3p</v>
      </c>
      <c r="E1478" s="2" t="s">
        <v>72</v>
      </c>
      <c r="F1478" s="3" t="str">
        <f t="shared" si="238"/>
        <v>Mature microRNA-146a-3p</v>
      </c>
      <c r="G1478" s="4"/>
      <c r="H1478" s="3" t="str">
        <f>HYPERLINK("https://www.cortellis.com/drugdiscovery/entity/biomarkers/40698","11-microRNA lympoma panel")</f>
        <v>11-microRNA lympoma panel</v>
      </c>
      <c r="I1478" s="2" t="s">
        <v>28</v>
      </c>
      <c r="J1478" s="2" t="s">
        <v>19</v>
      </c>
      <c r="K1478" s="4" t="str">
        <f>HYPERLINK("https://www.cortellis.com/drugdiscovery/result/proxy/related-content/biomarkers/genestargets/40698","microRNA 146a")</f>
        <v>microRNA 146a</v>
      </c>
    </row>
    <row r="1479" spans="1:11" ht="60" customHeight="1" x14ac:dyDescent="0.2">
      <c r="A1479" s="2">
        <v>1476</v>
      </c>
      <c r="B1479" s="3" t="str">
        <f t="shared" si="235"/>
        <v>miR-146a-3p</v>
      </c>
      <c r="C1479" s="3" t="str">
        <f t="shared" si="236"/>
        <v>MIR146A</v>
      </c>
      <c r="D1479" s="3" t="str">
        <f t="shared" si="237"/>
        <v>hsa-miR-146a-3p</v>
      </c>
      <c r="E1479" s="2" t="s">
        <v>72</v>
      </c>
      <c r="F1479" s="3" t="str">
        <f t="shared" si="238"/>
        <v>Mature microRNA-146a-3p</v>
      </c>
      <c r="G1479" s="4"/>
      <c r="H1479" s="3" t="str">
        <f>HYPERLINK("https://www.cortellis.com/drugdiscovery/entity/biomarkers/43209","15-microRNA pulmonary tuberculosis panel")</f>
        <v>15-microRNA pulmonary tuberculosis panel</v>
      </c>
      <c r="I1479" s="2" t="s">
        <v>34</v>
      </c>
      <c r="J1479" s="2" t="s">
        <v>19</v>
      </c>
      <c r="K1479" s="4" t="str">
        <f>HYPERLINK("https://www.cortellis.com/drugdiscovery/result/proxy/related-content/biomarkers/genestargets/43209","microRNA 146a; microRNA 223")</f>
        <v>microRNA 146a; microRNA 223</v>
      </c>
    </row>
    <row r="1480" spans="1:11" ht="60" customHeight="1" x14ac:dyDescent="0.2">
      <c r="A1480" s="2">
        <v>1477</v>
      </c>
      <c r="B1480" s="3" t="str">
        <f t="shared" si="235"/>
        <v>miR-146a-3p</v>
      </c>
      <c r="C1480" s="3" t="str">
        <f t="shared" si="236"/>
        <v>MIR146A</v>
      </c>
      <c r="D1480" s="3" t="str">
        <f t="shared" si="237"/>
        <v>hsa-miR-146a-3p</v>
      </c>
      <c r="E1480" s="2" t="s">
        <v>72</v>
      </c>
      <c r="F1480" s="3" t="str">
        <f t="shared" si="238"/>
        <v>Mature microRNA-146a-3p</v>
      </c>
      <c r="G1480" s="4"/>
      <c r="H1480" s="3" t="str">
        <f>HYPERLINK("https://www.cortellis.com/drugdiscovery/entity/biomarkers/44381","microRNA 146-5p")</f>
        <v>microRNA 146-5p</v>
      </c>
      <c r="I1480" s="2" t="s">
        <v>85</v>
      </c>
      <c r="J1480" s="2" t="s">
        <v>19</v>
      </c>
      <c r="K1480" s="4" t="str">
        <f>HYPERLINK("https://www.cortellis.com/drugdiscovery/result/proxy/related-content/biomarkers/genestargets/44381","microRNA 146a; microRNA 146b")</f>
        <v>microRNA 146a; microRNA 146b</v>
      </c>
    </row>
    <row r="1481" spans="1:11" ht="60" customHeight="1" x14ac:dyDescent="0.2">
      <c r="A1481" s="2">
        <v>1478</v>
      </c>
      <c r="B1481" s="3" t="str">
        <f t="shared" si="235"/>
        <v>miR-146a-3p</v>
      </c>
      <c r="C1481" s="3" t="str">
        <f t="shared" si="236"/>
        <v>MIR146A</v>
      </c>
      <c r="D1481" s="3" t="str">
        <f t="shared" si="237"/>
        <v>hsa-miR-146a-3p</v>
      </c>
      <c r="E1481" s="2" t="s">
        <v>72</v>
      </c>
      <c r="F1481" s="3" t="str">
        <f t="shared" si="238"/>
        <v>Mature microRNA-146a-3p</v>
      </c>
      <c r="G1481" s="4"/>
      <c r="H1481" s="3" t="str">
        <f>HYPERLINK("https://www.cortellis.com/drugdiscovery/entity/biomarkers/46997","6-microRNA oropharynx cancer panel")</f>
        <v>6-microRNA oropharynx cancer panel</v>
      </c>
      <c r="I1481" s="2" t="s">
        <v>25</v>
      </c>
      <c r="J1481" s="2" t="s">
        <v>19</v>
      </c>
      <c r="K1481" s="4" t="str">
        <f>HYPERLINK("https://www.cortellis.com/drugdiscovery/result/proxy/related-content/biomarkers/genestargets/46997","microRNA 146a")</f>
        <v>microRNA 146a</v>
      </c>
    </row>
    <row r="1482" spans="1:11" ht="60" customHeight="1" x14ac:dyDescent="0.2">
      <c r="A1482" s="2">
        <v>1479</v>
      </c>
      <c r="B1482" s="3" t="str">
        <f t="shared" si="235"/>
        <v>miR-146a-3p</v>
      </c>
      <c r="C1482" s="3" t="str">
        <f t="shared" si="236"/>
        <v>MIR146A</v>
      </c>
      <c r="D1482" s="3" t="str">
        <f t="shared" si="237"/>
        <v>hsa-miR-146a-3p</v>
      </c>
      <c r="E1482" s="2" t="s">
        <v>72</v>
      </c>
      <c r="F1482" s="3" t="str">
        <f t="shared" si="238"/>
        <v>Mature microRNA-146a-3p</v>
      </c>
      <c r="G1482" s="4"/>
      <c r="H1482" s="3" t="str">
        <f>HYPERLINK("https://www.cortellis.com/drugdiscovery/entity/biomarkers/49249","microRNA 146a-3p")</f>
        <v>microRNA 146a-3p</v>
      </c>
      <c r="I1482" s="2" t="s">
        <v>86</v>
      </c>
      <c r="J1482" s="2" t="s">
        <v>19</v>
      </c>
      <c r="K1482" s="4" t="str">
        <f>HYPERLINK("https://www.cortellis.com/drugdiscovery/result/proxy/related-content/biomarkers/genestargets/49249","microRNA 146a")</f>
        <v>microRNA 146a</v>
      </c>
    </row>
    <row r="1483" spans="1:11" ht="60" customHeight="1" x14ac:dyDescent="0.2">
      <c r="A1483" s="2">
        <v>1480</v>
      </c>
      <c r="B1483" s="3" t="str">
        <f t="shared" si="235"/>
        <v>miR-146a-3p</v>
      </c>
      <c r="C1483" s="3" t="str">
        <f t="shared" si="236"/>
        <v>MIR146A</v>
      </c>
      <c r="D1483" s="3" t="str">
        <f t="shared" si="237"/>
        <v>hsa-miR-146a-3p</v>
      </c>
      <c r="E1483" s="2" t="s">
        <v>72</v>
      </c>
      <c r="F1483" s="3" t="str">
        <f t="shared" si="238"/>
        <v>Mature microRNA-146a-3p</v>
      </c>
      <c r="G1483" s="4"/>
      <c r="H1483" s="3" t="str">
        <f>HYPERLINK("https://www.cortellis.com/drugdiscovery/entity/biomarkers/49743","30-microRNA pancreatic intraductal papillary mucinous cancer panel")</f>
        <v>30-microRNA pancreatic intraductal papillary mucinous cancer panel</v>
      </c>
      <c r="I1483" s="2" t="s">
        <v>23</v>
      </c>
      <c r="J1483" s="2" t="s">
        <v>19</v>
      </c>
      <c r="K1483" s="4" t="str">
        <f>HYPERLINK("https://www.cortellis.com/drugdiscovery/result/proxy/related-content/biomarkers/genestargets/49743","microRNA 146a")</f>
        <v>microRNA 146a</v>
      </c>
    </row>
    <row r="1484" spans="1:11" ht="60" customHeight="1" x14ac:dyDescent="0.2">
      <c r="A1484" s="2">
        <v>1481</v>
      </c>
      <c r="B1484" s="3" t="str">
        <f t="shared" si="235"/>
        <v>miR-146a-3p</v>
      </c>
      <c r="C1484" s="3" t="str">
        <f t="shared" si="236"/>
        <v>MIR146A</v>
      </c>
      <c r="D1484" s="3" t="str">
        <f t="shared" si="237"/>
        <v>hsa-miR-146a-3p</v>
      </c>
      <c r="E1484" s="2" t="s">
        <v>72</v>
      </c>
      <c r="F1484" s="3" t="str">
        <f t="shared" si="238"/>
        <v>Mature microRNA-146a-3p</v>
      </c>
      <c r="G1484" s="4"/>
      <c r="H1484" s="3" t="str">
        <f>HYPERLINK("https://www.cortellis.com/drugdiscovery/entity/biomarkers/50477","4-microRNA expression neurological disorders panel")</f>
        <v>4-microRNA expression neurological disorders panel</v>
      </c>
      <c r="I1484" s="2" t="s">
        <v>23</v>
      </c>
      <c r="J1484" s="2" t="s">
        <v>19</v>
      </c>
      <c r="K1484" s="4" t="str">
        <f>HYPERLINK("https://www.cortellis.com/drugdiscovery/result/proxy/related-content/biomarkers/genestargets/50477","microRNA 146a")</f>
        <v>microRNA 146a</v>
      </c>
    </row>
    <row r="1485" spans="1:11" ht="60" customHeight="1" x14ac:dyDescent="0.2">
      <c r="A1485" s="2">
        <v>1482</v>
      </c>
      <c r="B1485" s="3" t="str">
        <f t="shared" si="235"/>
        <v>miR-146a-3p</v>
      </c>
      <c r="C1485" s="3" t="str">
        <f t="shared" si="236"/>
        <v>MIR146A</v>
      </c>
      <c r="D1485" s="3" t="str">
        <f t="shared" si="237"/>
        <v>hsa-miR-146a-3p</v>
      </c>
      <c r="E1485" s="2" t="s">
        <v>72</v>
      </c>
      <c r="F1485" s="3" t="str">
        <f t="shared" si="238"/>
        <v>Mature microRNA-146a-3p</v>
      </c>
      <c r="G1485" s="4"/>
      <c r="H1485" s="3" t="str">
        <f>HYPERLINK("https://www.cortellis.com/drugdiscovery/entity/biomarkers/55839","2-microRNA seizure disorder panel")</f>
        <v>2-microRNA seizure disorder panel</v>
      </c>
      <c r="I1485" s="2" t="s">
        <v>23</v>
      </c>
      <c r="J1485" s="2" t="s">
        <v>19</v>
      </c>
      <c r="K1485" s="4" t="str">
        <f>HYPERLINK("https://www.cortellis.com/drugdiscovery/result/proxy/related-content/biomarkers/genestargets/55839","microRNA 146a")</f>
        <v>microRNA 146a</v>
      </c>
    </row>
    <row r="1486" spans="1:11" ht="60" customHeight="1" x14ac:dyDescent="0.2">
      <c r="A1486" s="2">
        <v>1483</v>
      </c>
      <c r="B1486" s="3" t="str">
        <f t="shared" si="235"/>
        <v>miR-146a-3p</v>
      </c>
      <c r="C1486" s="3" t="str">
        <f t="shared" si="236"/>
        <v>MIR146A</v>
      </c>
      <c r="D1486" s="3" t="str">
        <f t="shared" si="237"/>
        <v>hsa-miR-146a-3p</v>
      </c>
      <c r="E1486" s="2" t="s">
        <v>72</v>
      </c>
      <c r="F1486" s="3" t="str">
        <f t="shared" si="238"/>
        <v>Mature microRNA-146a-3p</v>
      </c>
      <c r="G1486" s="4"/>
      <c r="H1486" s="3" t="str">
        <f>HYPERLINK("https://www.cortellis.com/drugdiscovery/entity/biomarkers/57434","16-microRNA colon cancer panel")</f>
        <v>16-microRNA colon cancer panel</v>
      </c>
      <c r="I1486" s="2" t="s">
        <v>41</v>
      </c>
      <c r="J1486" s="2" t="s">
        <v>19</v>
      </c>
      <c r="K1486" s="4" t="str">
        <f>HYPERLINK("https://www.cortellis.com/drugdiscovery/result/proxy/related-content/biomarkers/genestargets/57434","microRNA 146a; microRNA 150; microRNA 223")</f>
        <v>microRNA 146a; microRNA 150; microRNA 223</v>
      </c>
    </row>
    <row r="1487" spans="1:11" ht="60" customHeight="1" x14ac:dyDescent="0.2">
      <c r="A1487" s="2">
        <v>1484</v>
      </c>
      <c r="B1487" s="3" t="str">
        <f t="shared" si="235"/>
        <v>miR-146a-3p</v>
      </c>
      <c r="C1487" s="3" t="str">
        <f t="shared" si="236"/>
        <v>MIR146A</v>
      </c>
      <c r="D1487" s="3" t="str">
        <f t="shared" si="237"/>
        <v>hsa-miR-146a-3p</v>
      </c>
      <c r="E1487" s="2" t="s">
        <v>72</v>
      </c>
      <c r="F1487" s="3" t="str">
        <f t="shared" si="238"/>
        <v>Mature microRNA-146a-3p</v>
      </c>
      <c r="G1487" s="4"/>
      <c r="H1487" s="3" t="str">
        <f>HYPERLINK("https://www.cortellis.com/drugdiscovery/entity/biomarkers/58959","6-microRNA ankylosing spondylitis panel")</f>
        <v>6-microRNA ankylosing spondylitis panel</v>
      </c>
      <c r="I1487" s="2" t="s">
        <v>23</v>
      </c>
      <c r="J1487" s="2" t="s">
        <v>19</v>
      </c>
      <c r="K1487" s="4" t="str">
        <f>HYPERLINK("https://www.cortellis.com/drugdiscovery/result/proxy/related-content/biomarkers/genestargets/58959","microRNA 146a; microRNA 150")</f>
        <v>microRNA 146a; microRNA 150</v>
      </c>
    </row>
    <row r="1488" spans="1:11" ht="60" customHeight="1" x14ac:dyDescent="0.2">
      <c r="A1488" s="2">
        <v>1485</v>
      </c>
      <c r="B1488" s="3" t="str">
        <f t="shared" si="235"/>
        <v>miR-146a-3p</v>
      </c>
      <c r="C1488" s="3" t="str">
        <f t="shared" si="236"/>
        <v>MIR146A</v>
      </c>
      <c r="D1488" s="3" t="str">
        <f t="shared" si="237"/>
        <v>hsa-miR-146a-3p</v>
      </c>
      <c r="E1488" s="2" t="s">
        <v>72</v>
      </c>
      <c r="F1488" s="3" t="str">
        <f t="shared" si="238"/>
        <v>Mature microRNA-146a-3p</v>
      </c>
      <c r="G1488" s="4"/>
      <c r="H1488" s="3" t="str">
        <f>HYPERLINK("https://www.cortellis.com/drugdiscovery/entity/biomarkers/59966","6-microRNA esophageal adenocarcinoma panel")</f>
        <v>6-microRNA esophageal adenocarcinoma panel</v>
      </c>
      <c r="I1488" s="2" t="s">
        <v>23</v>
      </c>
      <c r="J1488" s="2" t="s">
        <v>19</v>
      </c>
      <c r="K1488" s="4" t="str">
        <f>HYPERLINK("https://www.cortellis.com/drugdiscovery/result/proxy/related-content/biomarkers/genestargets/59966","microRNA 146a")</f>
        <v>microRNA 146a</v>
      </c>
    </row>
    <row r="1489" spans="1:11" ht="60" customHeight="1" x14ac:dyDescent="0.2">
      <c r="A1489" s="2">
        <v>1486</v>
      </c>
      <c r="B1489" s="3" t="str">
        <f t="shared" si="235"/>
        <v>miR-146a-3p</v>
      </c>
      <c r="C1489" s="3" t="str">
        <f t="shared" si="236"/>
        <v>MIR146A</v>
      </c>
      <c r="D1489" s="3" t="str">
        <f t="shared" si="237"/>
        <v>hsa-miR-146a-3p</v>
      </c>
      <c r="E1489" s="2" t="s">
        <v>72</v>
      </c>
      <c r="F1489" s="3" t="str">
        <f t="shared" si="238"/>
        <v>Mature microRNA-146a-3p</v>
      </c>
      <c r="G1489" s="4"/>
      <c r="H1489" s="3" t="str">
        <f>HYPERLINK("https://www.cortellis.com/drugdiscovery/entity/biomarkers/61500","5-microRNA pulmonary tuberculosis panel")</f>
        <v>5-microRNA pulmonary tuberculosis panel</v>
      </c>
      <c r="I1489" s="2" t="s">
        <v>23</v>
      </c>
      <c r="J1489" s="2" t="s">
        <v>19</v>
      </c>
      <c r="K1489" s="4" t="str">
        <f>HYPERLINK("https://www.cortellis.com/drugdiscovery/result/proxy/related-content/biomarkers/genestargets/61500","microRNA 146a")</f>
        <v>microRNA 146a</v>
      </c>
    </row>
    <row r="1490" spans="1:11" ht="60" customHeight="1" x14ac:dyDescent="0.2">
      <c r="A1490" s="2">
        <v>1487</v>
      </c>
      <c r="B1490" s="3" t="str">
        <f t="shared" si="235"/>
        <v>miR-146a-3p</v>
      </c>
      <c r="C1490" s="3" t="str">
        <f t="shared" si="236"/>
        <v>MIR146A</v>
      </c>
      <c r="D1490" s="3" t="str">
        <f t="shared" si="237"/>
        <v>hsa-miR-146a-3p</v>
      </c>
      <c r="E1490" s="2" t="s">
        <v>72</v>
      </c>
      <c r="F1490" s="3" t="str">
        <f t="shared" si="238"/>
        <v>Mature microRNA-146a-3p</v>
      </c>
      <c r="G1490" s="4"/>
      <c r="H1490" s="3" t="str">
        <f>HYPERLINK("https://www.cortellis.com/drugdiscovery/entity/biomarkers/65208","3-microRNAs colorectal cancer panel")</f>
        <v>3-microRNAs colorectal cancer panel</v>
      </c>
      <c r="I1490" s="2" t="s">
        <v>23</v>
      </c>
      <c r="J1490" s="2" t="s">
        <v>19</v>
      </c>
      <c r="K1490" s="4" t="str">
        <f>HYPERLINK("https://www.cortellis.com/drugdiscovery/result/proxy/related-content/biomarkers/genestargets/65208","microRNA 146a")</f>
        <v>microRNA 146a</v>
      </c>
    </row>
    <row r="1491" spans="1:11" ht="60" customHeight="1" x14ac:dyDescent="0.2">
      <c r="A1491" s="2">
        <v>1488</v>
      </c>
      <c r="B1491" s="3" t="str">
        <f t="shared" ref="B1491:B1512" si="239">HYPERLINK("https://portal.genego.com/cgi/entity_page.cgi?term=100&amp;id=-283150762","miR-146a-5p")</f>
        <v>miR-146a-5p</v>
      </c>
      <c r="C1491" s="3" t="str">
        <f t="shared" si="236"/>
        <v>MIR146A</v>
      </c>
      <c r="D1491" s="3" t="str">
        <f t="shared" ref="D1491:D1512" si="240">HYPERLINK("https://portal.genego.com/cgi/entity_page.cgi?term=7&amp;id=-1433817484","hsa-miR-146a-5p")</f>
        <v>hsa-miR-146a-5p</v>
      </c>
      <c r="E1491" s="2" t="s">
        <v>72</v>
      </c>
      <c r="F1491" s="3" t="str">
        <f t="shared" ref="F1491:F1512" si="241">HYPERLINK("https://portal.genego.com/cgi/entity_page.cgi?term=100&amp;id=-283150762","Mature microRNA-146a-5p")</f>
        <v>Mature microRNA-146a-5p</v>
      </c>
      <c r="G1491" s="4"/>
      <c r="H1491" s="3" t="str">
        <f>HYPERLINK("https://www.cortellis.com/drugdiscovery/entity/biomarkers/7210","microRNA 146a")</f>
        <v>microRNA 146a</v>
      </c>
      <c r="I1491" s="2" t="s">
        <v>31</v>
      </c>
      <c r="J1491" s="2" t="s">
        <v>19</v>
      </c>
      <c r="K1491" s="4" t="str">
        <f>HYPERLINK("https://www.cortellis.com/drugdiscovery/result/proxy/related-content/biomarkers/genestargets/7210","microRNA 146a")</f>
        <v>microRNA 146a</v>
      </c>
    </row>
    <row r="1492" spans="1:11" ht="60" customHeight="1" x14ac:dyDescent="0.2">
      <c r="A1492" s="2">
        <v>1489</v>
      </c>
      <c r="B1492" s="3" t="str">
        <f t="shared" si="239"/>
        <v>miR-146a-5p</v>
      </c>
      <c r="C1492" s="3" t="str">
        <f t="shared" si="236"/>
        <v>MIR146A</v>
      </c>
      <c r="D1492" s="3" t="str">
        <f t="shared" si="240"/>
        <v>hsa-miR-146a-5p</v>
      </c>
      <c r="E1492" s="2" t="s">
        <v>72</v>
      </c>
      <c r="F1492" s="3" t="str">
        <f t="shared" si="241"/>
        <v>Mature microRNA-146a-5p</v>
      </c>
      <c r="G1492" s="4"/>
      <c r="H1492" s="3" t="str">
        <f>HYPERLINK("https://www.cortellis.com/drugdiscovery/entity/biomarkers/13640","microRNA146")</f>
        <v>microRNA146</v>
      </c>
      <c r="I1492" s="2" t="s">
        <v>83</v>
      </c>
      <c r="J1492" s="2" t="s">
        <v>19</v>
      </c>
      <c r="K1492" s="4" t="str">
        <f>HYPERLINK("https://www.cortellis.com/drugdiscovery/result/proxy/related-content/biomarkers/genestargets/13640","microRNA 146a; microRNA 146b")</f>
        <v>microRNA 146a; microRNA 146b</v>
      </c>
    </row>
    <row r="1493" spans="1:11" ht="60" customHeight="1" x14ac:dyDescent="0.2">
      <c r="A1493" s="2">
        <v>1490</v>
      </c>
      <c r="B1493" s="3" t="str">
        <f t="shared" si="239"/>
        <v>miR-146a-5p</v>
      </c>
      <c r="C1493" s="3" t="str">
        <f t="shared" si="236"/>
        <v>MIR146A</v>
      </c>
      <c r="D1493" s="3" t="str">
        <f t="shared" si="240"/>
        <v>hsa-miR-146a-5p</v>
      </c>
      <c r="E1493" s="2" t="s">
        <v>72</v>
      </c>
      <c r="F1493" s="3" t="str">
        <f t="shared" si="241"/>
        <v>Mature microRNA-146a-5p</v>
      </c>
      <c r="G1493" s="4"/>
      <c r="H1493" s="3" t="str">
        <f>HYPERLINK("https://www.cortellis.com/drugdiscovery/entity/biomarkers/24189","miRview mets")</f>
        <v>miRview mets</v>
      </c>
      <c r="I1493" s="2" t="s">
        <v>23</v>
      </c>
      <c r="J1493" s="2" t="s">
        <v>19</v>
      </c>
      <c r="K1493" s="4" t="str">
        <f>HYPERLINK("https://www.cortellis.com/drugdiscovery/result/proxy/related-content/biomarkers/genestargets/24189","microRNA 146a; microRNA 214")</f>
        <v>microRNA 146a; microRNA 214</v>
      </c>
    </row>
    <row r="1494" spans="1:11" ht="60" customHeight="1" x14ac:dyDescent="0.2">
      <c r="A1494" s="2">
        <v>1491</v>
      </c>
      <c r="B1494" s="3" t="str">
        <f t="shared" si="239"/>
        <v>miR-146a-5p</v>
      </c>
      <c r="C1494" s="3" t="str">
        <f t="shared" si="236"/>
        <v>MIR146A</v>
      </c>
      <c r="D1494" s="3" t="str">
        <f t="shared" si="240"/>
        <v>hsa-miR-146a-5p</v>
      </c>
      <c r="E1494" s="2" t="s">
        <v>72</v>
      </c>
      <c r="F1494" s="3" t="str">
        <f t="shared" si="241"/>
        <v>Mature microRNA-146a-5p</v>
      </c>
      <c r="G1494" s="4"/>
      <c r="H1494" s="3" t="str">
        <f>HYPERLINK("https://www.cortellis.com/drugdiscovery/entity/biomarkers/25567","microRNA 146a-5p")</f>
        <v>microRNA 146a-5p</v>
      </c>
      <c r="I1494" s="2" t="s">
        <v>84</v>
      </c>
      <c r="J1494" s="2" t="s">
        <v>19</v>
      </c>
      <c r="K1494" s="4" t="str">
        <f>HYPERLINK("https://www.cortellis.com/drugdiscovery/result/proxy/related-content/biomarkers/genestargets/25567","microRNA 146a")</f>
        <v>microRNA 146a</v>
      </c>
    </row>
    <row r="1495" spans="1:11" ht="60" customHeight="1" x14ac:dyDescent="0.2">
      <c r="A1495" s="2">
        <v>1492</v>
      </c>
      <c r="B1495" s="3" t="str">
        <f t="shared" si="239"/>
        <v>miR-146a-5p</v>
      </c>
      <c r="C1495" s="3" t="str">
        <f t="shared" si="236"/>
        <v>MIR146A</v>
      </c>
      <c r="D1495" s="3" t="str">
        <f t="shared" si="240"/>
        <v>hsa-miR-146a-5p</v>
      </c>
      <c r="E1495" s="2" t="s">
        <v>72</v>
      </c>
      <c r="F1495" s="3" t="str">
        <f t="shared" si="241"/>
        <v>Mature microRNA-146a-5p</v>
      </c>
      <c r="G1495" s="4"/>
      <c r="H1495" s="3" t="str">
        <f>HYPERLINK("https://www.cortellis.com/drugdiscovery/entity/biomarkers/27309","57-microRNA mouth cancer panel")</f>
        <v>57-microRNA mouth cancer panel</v>
      </c>
      <c r="I1495" s="2" t="s">
        <v>23</v>
      </c>
      <c r="J1495" s="2" t="s">
        <v>19</v>
      </c>
      <c r="K1495" s="4" t="str">
        <f>HYPERLINK("https://www.cortellis.com/drugdiscovery/result/proxy/related-content/biomarkers/genestargets/27309","microRNA 146a; microRNA 155; microRNA 214; microRNA 223")</f>
        <v>microRNA 146a; microRNA 155; microRNA 214; microRNA 223</v>
      </c>
    </row>
    <row r="1496" spans="1:11" ht="60" customHeight="1" x14ac:dyDescent="0.2">
      <c r="A1496" s="2">
        <v>1493</v>
      </c>
      <c r="B1496" s="3" t="str">
        <f t="shared" si="239"/>
        <v>miR-146a-5p</v>
      </c>
      <c r="C1496" s="3" t="str">
        <f t="shared" si="236"/>
        <v>MIR146A</v>
      </c>
      <c r="D1496" s="3" t="str">
        <f t="shared" si="240"/>
        <v>hsa-miR-146a-5p</v>
      </c>
      <c r="E1496" s="2" t="s">
        <v>72</v>
      </c>
      <c r="F1496" s="3" t="str">
        <f t="shared" si="241"/>
        <v>Mature microRNA-146a-5p</v>
      </c>
      <c r="G1496" s="4"/>
      <c r="H1496" s="3" t="str">
        <f>HYPERLINK("https://www.cortellis.com/drugdiscovery/entity/biomarkers/33515","41-microRNA cancer panel")</f>
        <v>41-microRNA cancer panel</v>
      </c>
      <c r="I1496" s="2" t="s">
        <v>23</v>
      </c>
      <c r="J1496" s="2" t="s">
        <v>19</v>
      </c>
      <c r="K1496" s="4" t="str">
        <f>HYPERLINK("https://www.cortellis.com/drugdiscovery/result/proxy/related-content/biomarkers/genestargets/33515","microRNA 146a")</f>
        <v>microRNA 146a</v>
      </c>
    </row>
    <row r="1497" spans="1:11" ht="60" customHeight="1" x14ac:dyDescent="0.2">
      <c r="A1497" s="2">
        <v>1494</v>
      </c>
      <c r="B1497" s="3" t="str">
        <f t="shared" si="239"/>
        <v>miR-146a-5p</v>
      </c>
      <c r="C1497" s="3" t="str">
        <f t="shared" si="236"/>
        <v>MIR146A</v>
      </c>
      <c r="D1497" s="3" t="str">
        <f t="shared" si="240"/>
        <v>hsa-miR-146a-5p</v>
      </c>
      <c r="E1497" s="2" t="s">
        <v>72</v>
      </c>
      <c r="F1497" s="3" t="str">
        <f t="shared" si="241"/>
        <v>Mature microRNA-146a-5p</v>
      </c>
      <c r="G1497" s="4"/>
      <c r="H1497" s="3" t="str">
        <f>HYPERLINK("https://www.cortellis.com/drugdiscovery/entity/biomarkers/34964","6-microRNA neurological panel")</f>
        <v>6-microRNA neurological panel</v>
      </c>
      <c r="I1497" s="2" t="s">
        <v>29</v>
      </c>
      <c r="J1497" s="2" t="s">
        <v>19</v>
      </c>
      <c r="K1497" s="4" t="str">
        <f>HYPERLINK("https://www.cortellis.com/drugdiscovery/result/proxy/related-content/biomarkers/genestargets/34964","microRNA 146a")</f>
        <v>microRNA 146a</v>
      </c>
    </row>
    <row r="1498" spans="1:11" ht="60" customHeight="1" x14ac:dyDescent="0.2">
      <c r="A1498" s="2">
        <v>1495</v>
      </c>
      <c r="B1498" s="3" t="str">
        <f t="shared" si="239"/>
        <v>miR-146a-5p</v>
      </c>
      <c r="C1498" s="3" t="str">
        <f t="shared" si="236"/>
        <v>MIR146A</v>
      </c>
      <c r="D1498" s="3" t="str">
        <f t="shared" si="240"/>
        <v>hsa-miR-146a-5p</v>
      </c>
      <c r="E1498" s="2" t="s">
        <v>72</v>
      </c>
      <c r="F1498" s="3" t="str">
        <f t="shared" si="241"/>
        <v>Mature microRNA-146a-5p</v>
      </c>
      <c r="G1498" s="4"/>
      <c r="H1498" s="3" t="str">
        <f>HYPERLINK("https://www.cortellis.com/drugdiscovery/entity/biomarkers/40306","6-microRNA expression oropharyngeal squamous cell carcinoma panel")</f>
        <v>6-microRNA expression oropharyngeal squamous cell carcinoma panel</v>
      </c>
      <c r="I1498" s="2" t="s">
        <v>18</v>
      </c>
      <c r="J1498" s="2" t="s">
        <v>19</v>
      </c>
      <c r="K1498" s="4" t="str">
        <f>HYPERLINK("https://www.cortellis.com/drugdiscovery/result/proxy/related-content/biomarkers/genestargets/40306","microRNA 146a")</f>
        <v>microRNA 146a</v>
      </c>
    </row>
    <row r="1499" spans="1:11" ht="60" customHeight="1" x14ac:dyDescent="0.2">
      <c r="A1499" s="2">
        <v>1496</v>
      </c>
      <c r="B1499" s="3" t="str">
        <f t="shared" si="239"/>
        <v>miR-146a-5p</v>
      </c>
      <c r="C1499" s="3" t="str">
        <f t="shared" si="236"/>
        <v>MIR146A</v>
      </c>
      <c r="D1499" s="3" t="str">
        <f t="shared" si="240"/>
        <v>hsa-miR-146a-5p</v>
      </c>
      <c r="E1499" s="2" t="s">
        <v>72</v>
      </c>
      <c r="F1499" s="3" t="str">
        <f t="shared" si="241"/>
        <v>Mature microRNA-146a-5p</v>
      </c>
      <c r="G1499" s="4"/>
      <c r="H1499" s="3" t="str">
        <f>HYPERLINK("https://www.cortellis.com/drugdiscovery/entity/biomarkers/40697","7-miRNA expression anapalstic large cell lymphoma")</f>
        <v>7-miRNA expression anapalstic large cell lymphoma</v>
      </c>
      <c r="I1499" s="2" t="s">
        <v>23</v>
      </c>
      <c r="J1499" s="2" t="s">
        <v>19</v>
      </c>
      <c r="K1499" s="4" t="str">
        <f>HYPERLINK("https://www.cortellis.com/drugdiscovery/result/proxy/related-content/biomarkers/genestargets/40697","microRNA 146a; microRNA 155")</f>
        <v>microRNA 146a; microRNA 155</v>
      </c>
    </row>
    <row r="1500" spans="1:11" ht="60" customHeight="1" x14ac:dyDescent="0.2">
      <c r="A1500" s="2">
        <v>1497</v>
      </c>
      <c r="B1500" s="3" t="str">
        <f t="shared" si="239"/>
        <v>miR-146a-5p</v>
      </c>
      <c r="C1500" s="3" t="str">
        <f t="shared" si="236"/>
        <v>MIR146A</v>
      </c>
      <c r="D1500" s="3" t="str">
        <f t="shared" si="240"/>
        <v>hsa-miR-146a-5p</v>
      </c>
      <c r="E1500" s="2" t="s">
        <v>72</v>
      </c>
      <c r="F1500" s="3" t="str">
        <f t="shared" si="241"/>
        <v>Mature microRNA-146a-5p</v>
      </c>
      <c r="G1500" s="4"/>
      <c r="H1500" s="3" t="str">
        <f>HYPERLINK("https://www.cortellis.com/drugdiscovery/entity/biomarkers/40698","11-microRNA lympoma panel")</f>
        <v>11-microRNA lympoma panel</v>
      </c>
      <c r="I1500" s="2" t="s">
        <v>28</v>
      </c>
      <c r="J1500" s="2" t="s">
        <v>19</v>
      </c>
      <c r="K1500" s="4" t="str">
        <f>HYPERLINK("https://www.cortellis.com/drugdiscovery/result/proxy/related-content/biomarkers/genestargets/40698","microRNA 146a")</f>
        <v>microRNA 146a</v>
      </c>
    </row>
    <row r="1501" spans="1:11" ht="60" customHeight="1" x14ac:dyDescent="0.2">
      <c r="A1501" s="2">
        <v>1498</v>
      </c>
      <c r="B1501" s="3" t="str">
        <f t="shared" si="239"/>
        <v>miR-146a-5p</v>
      </c>
      <c r="C1501" s="3" t="str">
        <f t="shared" si="236"/>
        <v>MIR146A</v>
      </c>
      <c r="D1501" s="3" t="str">
        <f t="shared" si="240"/>
        <v>hsa-miR-146a-5p</v>
      </c>
      <c r="E1501" s="2" t="s">
        <v>72</v>
      </c>
      <c r="F1501" s="3" t="str">
        <f t="shared" si="241"/>
        <v>Mature microRNA-146a-5p</v>
      </c>
      <c r="G1501" s="4"/>
      <c r="H1501" s="3" t="str">
        <f>HYPERLINK("https://www.cortellis.com/drugdiscovery/entity/biomarkers/43209","15-microRNA pulmonary tuberculosis panel")</f>
        <v>15-microRNA pulmonary tuberculosis panel</v>
      </c>
      <c r="I1501" s="2" t="s">
        <v>34</v>
      </c>
      <c r="J1501" s="2" t="s">
        <v>19</v>
      </c>
      <c r="K1501" s="4" t="str">
        <f>HYPERLINK("https://www.cortellis.com/drugdiscovery/result/proxy/related-content/biomarkers/genestargets/43209","microRNA 146a; microRNA 223")</f>
        <v>microRNA 146a; microRNA 223</v>
      </c>
    </row>
    <row r="1502" spans="1:11" ht="60" customHeight="1" x14ac:dyDescent="0.2">
      <c r="A1502" s="2">
        <v>1499</v>
      </c>
      <c r="B1502" s="3" t="str">
        <f t="shared" si="239"/>
        <v>miR-146a-5p</v>
      </c>
      <c r="C1502" s="3" t="str">
        <f t="shared" si="236"/>
        <v>MIR146A</v>
      </c>
      <c r="D1502" s="3" t="str">
        <f t="shared" si="240"/>
        <v>hsa-miR-146a-5p</v>
      </c>
      <c r="E1502" s="2" t="s">
        <v>72</v>
      </c>
      <c r="F1502" s="3" t="str">
        <f t="shared" si="241"/>
        <v>Mature microRNA-146a-5p</v>
      </c>
      <c r="G1502" s="4"/>
      <c r="H1502" s="3" t="str">
        <f>HYPERLINK("https://www.cortellis.com/drugdiscovery/entity/biomarkers/44381","microRNA 146-5p")</f>
        <v>microRNA 146-5p</v>
      </c>
      <c r="I1502" s="2" t="s">
        <v>85</v>
      </c>
      <c r="J1502" s="2" t="s">
        <v>19</v>
      </c>
      <c r="K1502" s="4" t="str">
        <f>HYPERLINK("https://www.cortellis.com/drugdiscovery/result/proxy/related-content/biomarkers/genestargets/44381","microRNA 146a; microRNA 146b")</f>
        <v>microRNA 146a; microRNA 146b</v>
      </c>
    </row>
    <row r="1503" spans="1:11" ht="60" customHeight="1" x14ac:dyDescent="0.2">
      <c r="A1503" s="2">
        <v>1500</v>
      </c>
      <c r="B1503" s="3" t="str">
        <f t="shared" si="239"/>
        <v>miR-146a-5p</v>
      </c>
      <c r="C1503" s="3" t="str">
        <f t="shared" si="236"/>
        <v>MIR146A</v>
      </c>
      <c r="D1503" s="3" t="str">
        <f t="shared" si="240"/>
        <v>hsa-miR-146a-5p</v>
      </c>
      <c r="E1503" s="2" t="s">
        <v>72</v>
      </c>
      <c r="F1503" s="3" t="str">
        <f t="shared" si="241"/>
        <v>Mature microRNA-146a-5p</v>
      </c>
      <c r="G1503" s="4"/>
      <c r="H1503" s="3" t="str">
        <f>HYPERLINK("https://www.cortellis.com/drugdiscovery/entity/biomarkers/46997","6-microRNA oropharynx cancer panel")</f>
        <v>6-microRNA oropharynx cancer panel</v>
      </c>
      <c r="I1503" s="2" t="s">
        <v>25</v>
      </c>
      <c r="J1503" s="2" t="s">
        <v>19</v>
      </c>
      <c r="K1503" s="4" t="str">
        <f>HYPERLINK("https://www.cortellis.com/drugdiscovery/result/proxy/related-content/biomarkers/genestargets/46997","microRNA 146a")</f>
        <v>microRNA 146a</v>
      </c>
    </row>
    <row r="1504" spans="1:11" ht="60" customHeight="1" x14ac:dyDescent="0.2">
      <c r="A1504" s="2">
        <v>1501</v>
      </c>
      <c r="B1504" s="3" t="str">
        <f t="shared" si="239"/>
        <v>miR-146a-5p</v>
      </c>
      <c r="C1504" s="3" t="str">
        <f t="shared" si="236"/>
        <v>MIR146A</v>
      </c>
      <c r="D1504" s="3" t="str">
        <f t="shared" si="240"/>
        <v>hsa-miR-146a-5p</v>
      </c>
      <c r="E1504" s="2" t="s">
        <v>72</v>
      </c>
      <c r="F1504" s="3" t="str">
        <f t="shared" si="241"/>
        <v>Mature microRNA-146a-5p</v>
      </c>
      <c r="G1504" s="4"/>
      <c r="H1504" s="3" t="str">
        <f>HYPERLINK("https://www.cortellis.com/drugdiscovery/entity/biomarkers/49249","microRNA 146a-3p")</f>
        <v>microRNA 146a-3p</v>
      </c>
      <c r="I1504" s="2" t="s">
        <v>86</v>
      </c>
      <c r="J1504" s="2" t="s">
        <v>19</v>
      </c>
      <c r="K1504" s="4" t="str">
        <f>HYPERLINK("https://www.cortellis.com/drugdiscovery/result/proxy/related-content/biomarkers/genestargets/49249","microRNA 146a")</f>
        <v>microRNA 146a</v>
      </c>
    </row>
    <row r="1505" spans="1:11" ht="60" customHeight="1" x14ac:dyDescent="0.2">
      <c r="A1505" s="2">
        <v>1502</v>
      </c>
      <c r="B1505" s="3" t="str">
        <f t="shared" si="239"/>
        <v>miR-146a-5p</v>
      </c>
      <c r="C1505" s="3" t="str">
        <f t="shared" si="236"/>
        <v>MIR146A</v>
      </c>
      <c r="D1505" s="3" t="str">
        <f t="shared" si="240"/>
        <v>hsa-miR-146a-5p</v>
      </c>
      <c r="E1505" s="2" t="s">
        <v>72</v>
      </c>
      <c r="F1505" s="3" t="str">
        <f t="shared" si="241"/>
        <v>Mature microRNA-146a-5p</v>
      </c>
      <c r="G1505" s="4"/>
      <c r="H1505" s="3" t="str">
        <f>HYPERLINK("https://www.cortellis.com/drugdiscovery/entity/biomarkers/49743","30-microRNA pancreatic intraductal papillary mucinous cancer panel")</f>
        <v>30-microRNA pancreatic intraductal papillary mucinous cancer panel</v>
      </c>
      <c r="I1505" s="2" t="s">
        <v>23</v>
      </c>
      <c r="J1505" s="2" t="s">
        <v>19</v>
      </c>
      <c r="K1505" s="4" t="str">
        <f>HYPERLINK("https://www.cortellis.com/drugdiscovery/result/proxy/related-content/biomarkers/genestargets/49743","microRNA 146a")</f>
        <v>microRNA 146a</v>
      </c>
    </row>
    <row r="1506" spans="1:11" ht="60" customHeight="1" x14ac:dyDescent="0.2">
      <c r="A1506" s="2">
        <v>1503</v>
      </c>
      <c r="B1506" s="3" t="str">
        <f t="shared" si="239"/>
        <v>miR-146a-5p</v>
      </c>
      <c r="C1506" s="3" t="str">
        <f t="shared" si="236"/>
        <v>MIR146A</v>
      </c>
      <c r="D1506" s="3" t="str">
        <f t="shared" si="240"/>
        <v>hsa-miR-146a-5p</v>
      </c>
      <c r="E1506" s="2" t="s">
        <v>72</v>
      </c>
      <c r="F1506" s="3" t="str">
        <f t="shared" si="241"/>
        <v>Mature microRNA-146a-5p</v>
      </c>
      <c r="G1506" s="4"/>
      <c r="H1506" s="3" t="str">
        <f>HYPERLINK("https://www.cortellis.com/drugdiscovery/entity/biomarkers/50477","4-microRNA expression neurological disorders panel")</f>
        <v>4-microRNA expression neurological disorders panel</v>
      </c>
      <c r="I1506" s="2" t="s">
        <v>23</v>
      </c>
      <c r="J1506" s="2" t="s">
        <v>19</v>
      </c>
      <c r="K1506" s="4" t="str">
        <f>HYPERLINK("https://www.cortellis.com/drugdiscovery/result/proxy/related-content/biomarkers/genestargets/50477","microRNA 146a")</f>
        <v>microRNA 146a</v>
      </c>
    </row>
    <row r="1507" spans="1:11" ht="60" customHeight="1" x14ac:dyDescent="0.2">
      <c r="A1507" s="2">
        <v>1504</v>
      </c>
      <c r="B1507" s="3" t="str">
        <f t="shared" si="239"/>
        <v>miR-146a-5p</v>
      </c>
      <c r="C1507" s="3" t="str">
        <f t="shared" si="236"/>
        <v>MIR146A</v>
      </c>
      <c r="D1507" s="3" t="str">
        <f t="shared" si="240"/>
        <v>hsa-miR-146a-5p</v>
      </c>
      <c r="E1507" s="2" t="s">
        <v>72</v>
      </c>
      <c r="F1507" s="3" t="str">
        <f t="shared" si="241"/>
        <v>Mature microRNA-146a-5p</v>
      </c>
      <c r="G1507" s="4"/>
      <c r="H1507" s="3" t="str">
        <f>HYPERLINK("https://www.cortellis.com/drugdiscovery/entity/biomarkers/55839","2-microRNA seizure disorder panel")</f>
        <v>2-microRNA seizure disorder panel</v>
      </c>
      <c r="I1507" s="2" t="s">
        <v>23</v>
      </c>
      <c r="J1507" s="2" t="s">
        <v>19</v>
      </c>
      <c r="K1507" s="4" t="str">
        <f>HYPERLINK("https://www.cortellis.com/drugdiscovery/result/proxy/related-content/biomarkers/genestargets/55839","microRNA 146a")</f>
        <v>microRNA 146a</v>
      </c>
    </row>
    <row r="1508" spans="1:11" ht="60" customHeight="1" x14ac:dyDescent="0.2">
      <c r="A1508" s="2">
        <v>1505</v>
      </c>
      <c r="B1508" s="3" t="str">
        <f t="shared" si="239"/>
        <v>miR-146a-5p</v>
      </c>
      <c r="C1508" s="3" t="str">
        <f t="shared" si="236"/>
        <v>MIR146A</v>
      </c>
      <c r="D1508" s="3" t="str">
        <f t="shared" si="240"/>
        <v>hsa-miR-146a-5p</v>
      </c>
      <c r="E1508" s="2" t="s">
        <v>72</v>
      </c>
      <c r="F1508" s="3" t="str">
        <f t="shared" si="241"/>
        <v>Mature microRNA-146a-5p</v>
      </c>
      <c r="G1508" s="4"/>
      <c r="H1508" s="3" t="str">
        <f>HYPERLINK("https://www.cortellis.com/drugdiscovery/entity/biomarkers/57434","16-microRNA colon cancer panel")</f>
        <v>16-microRNA colon cancer panel</v>
      </c>
      <c r="I1508" s="2" t="s">
        <v>41</v>
      </c>
      <c r="J1508" s="2" t="s">
        <v>19</v>
      </c>
      <c r="K1508" s="4" t="str">
        <f>HYPERLINK("https://www.cortellis.com/drugdiscovery/result/proxy/related-content/biomarkers/genestargets/57434","microRNA 146a; microRNA 150; microRNA 223")</f>
        <v>microRNA 146a; microRNA 150; microRNA 223</v>
      </c>
    </row>
    <row r="1509" spans="1:11" ht="60" customHeight="1" x14ac:dyDescent="0.2">
      <c r="A1509" s="2">
        <v>1506</v>
      </c>
      <c r="B1509" s="3" t="str">
        <f t="shared" si="239"/>
        <v>miR-146a-5p</v>
      </c>
      <c r="C1509" s="3" t="str">
        <f t="shared" si="236"/>
        <v>MIR146A</v>
      </c>
      <c r="D1509" s="3" t="str">
        <f t="shared" si="240"/>
        <v>hsa-miR-146a-5p</v>
      </c>
      <c r="E1509" s="2" t="s">
        <v>72</v>
      </c>
      <c r="F1509" s="3" t="str">
        <f t="shared" si="241"/>
        <v>Mature microRNA-146a-5p</v>
      </c>
      <c r="G1509" s="4"/>
      <c r="H1509" s="3" t="str">
        <f>HYPERLINK("https://www.cortellis.com/drugdiscovery/entity/biomarkers/58959","6-microRNA ankylosing spondylitis panel")</f>
        <v>6-microRNA ankylosing spondylitis panel</v>
      </c>
      <c r="I1509" s="2" t="s">
        <v>23</v>
      </c>
      <c r="J1509" s="2" t="s">
        <v>19</v>
      </c>
      <c r="K1509" s="4" t="str">
        <f>HYPERLINK("https://www.cortellis.com/drugdiscovery/result/proxy/related-content/biomarkers/genestargets/58959","microRNA 146a; microRNA 150")</f>
        <v>microRNA 146a; microRNA 150</v>
      </c>
    </row>
    <row r="1510" spans="1:11" ht="60" customHeight="1" x14ac:dyDescent="0.2">
      <c r="A1510" s="2">
        <v>1507</v>
      </c>
      <c r="B1510" s="3" t="str">
        <f t="shared" si="239"/>
        <v>miR-146a-5p</v>
      </c>
      <c r="C1510" s="3" t="str">
        <f t="shared" si="236"/>
        <v>MIR146A</v>
      </c>
      <c r="D1510" s="3" t="str">
        <f t="shared" si="240"/>
        <v>hsa-miR-146a-5p</v>
      </c>
      <c r="E1510" s="2" t="s">
        <v>72</v>
      </c>
      <c r="F1510" s="3" t="str">
        <f t="shared" si="241"/>
        <v>Mature microRNA-146a-5p</v>
      </c>
      <c r="G1510" s="4"/>
      <c r="H1510" s="3" t="str">
        <f>HYPERLINK("https://www.cortellis.com/drugdiscovery/entity/biomarkers/59966","6-microRNA esophageal adenocarcinoma panel")</f>
        <v>6-microRNA esophageal adenocarcinoma panel</v>
      </c>
      <c r="I1510" s="2" t="s">
        <v>23</v>
      </c>
      <c r="J1510" s="2" t="s">
        <v>19</v>
      </c>
      <c r="K1510" s="4" t="str">
        <f>HYPERLINK("https://www.cortellis.com/drugdiscovery/result/proxy/related-content/biomarkers/genestargets/59966","microRNA 146a")</f>
        <v>microRNA 146a</v>
      </c>
    </row>
    <row r="1511" spans="1:11" ht="60" customHeight="1" x14ac:dyDescent="0.2">
      <c r="A1511" s="2">
        <v>1508</v>
      </c>
      <c r="B1511" s="3" t="str">
        <f t="shared" si="239"/>
        <v>miR-146a-5p</v>
      </c>
      <c r="C1511" s="3" t="str">
        <f t="shared" si="236"/>
        <v>MIR146A</v>
      </c>
      <c r="D1511" s="3" t="str">
        <f t="shared" si="240"/>
        <v>hsa-miR-146a-5p</v>
      </c>
      <c r="E1511" s="2" t="s">
        <v>72</v>
      </c>
      <c r="F1511" s="3" t="str">
        <f t="shared" si="241"/>
        <v>Mature microRNA-146a-5p</v>
      </c>
      <c r="G1511" s="4"/>
      <c r="H1511" s="3" t="str">
        <f>HYPERLINK("https://www.cortellis.com/drugdiscovery/entity/biomarkers/61500","5-microRNA pulmonary tuberculosis panel")</f>
        <v>5-microRNA pulmonary tuberculosis panel</v>
      </c>
      <c r="I1511" s="2" t="s">
        <v>23</v>
      </c>
      <c r="J1511" s="2" t="s">
        <v>19</v>
      </c>
      <c r="K1511" s="4" t="str">
        <f>HYPERLINK("https://www.cortellis.com/drugdiscovery/result/proxy/related-content/biomarkers/genestargets/61500","microRNA 146a")</f>
        <v>microRNA 146a</v>
      </c>
    </row>
    <row r="1512" spans="1:11" ht="60" customHeight="1" x14ac:dyDescent="0.2">
      <c r="A1512" s="2">
        <v>1509</v>
      </c>
      <c r="B1512" s="3" t="str">
        <f t="shared" si="239"/>
        <v>miR-146a-5p</v>
      </c>
      <c r="C1512" s="3" t="str">
        <f t="shared" si="236"/>
        <v>MIR146A</v>
      </c>
      <c r="D1512" s="3" t="str">
        <f t="shared" si="240"/>
        <v>hsa-miR-146a-5p</v>
      </c>
      <c r="E1512" s="2" t="s">
        <v>72</v>
      </c>
      <c r="F1512" s="3" t="str">
        <f t="shared" si="241"/>
        <v>Mature microRNA-146a-5p</v>
      </c>
      <c r="G1512" s="4"/>
      <c r="H1512" s="3" t="str">
        <f>HYPERLINK("https://www.cortellis.com/drugdiscovery/entity/biomarkers/65208","3-microRNAs colorectal cancer panel")</f>
        <v>3-microRNAs colorectal cancer panel</v>
      </c>
      <c r="I1512" s="2" t="s">
        <v>23</v>
      </c>
      <c r="J1512" s="2" t="s">
        <v>19</v>
      </c>
      <c r="K1512" s="4" t="str">
        <f>HYPERLINK("https://www.cortellis.com/drugdiscovery/result/proxy/related-content/biomarkers/genestargets/65208","microRNA 146a")</f>
        <v>microRNA 146a</v>
      </c>
    </row>
    <row r="1513" spans="1:11" ht="60" customHeight="1" x14ac:dyDescent="0.2">
      <c r="A1513" s="2">
        <v>1510</v>
      </c>
      <c r="B1513" s="3" t="str">
        <f t="shared" ref="B1513:B1534" si="242">HYPERLINK("https://portal.genego.com/cgi/entity_page.cgi?term=100&amp;id=-1774643856","miR-146b-3p")</f>
        <v>miR-146b-3p</v>
      </c>
      <c r="C1513" s="3" t="str">
        <f t="shared" ref="C1513:C1556" si="243">HYPERLINK("https://portal.genego.com/cgi/entity_page.cgi?term=20&amp;id=-981525121","MIR146B")</f>
        <v>MIR146B</v>
      </c>
      <c r="D1513" s="3" t="str">
        <f t="shared" ref="D1513:D1534" si="244">HYPERLINK("https://portal.genego.com/cgi/entity_page.cgi?term=7&amp;id=-1831930331","hsa-miR-146b-3p")</f>
        <v>hsa-miR-146b-3p</v>
      </c>
      <c r="E1513" s="2" t="s">
        <v>72</v>
      </c>
      <c r="F1513" s="3" t="str">
        <f t="shared" ref="F1513:F1534" si="245">HYPERLINK("https://portal.genego.com/cgi/entity_page.cgi?term=100&amp;id=-1774643856","Mature microRNA-146b-3p")</f>
        <v>Mature microRNA-146b-3p</v>
      </c>
      <c r="G1513" s="4"/>
      <c r="H1513" s="3" t="str">
        <f>HYPERLINK("https://www.cortellis.com/drugdiscovery/entity/biomarkers/3507","microRNA 146b")</f>
        <v>microRNA 146b</v>
      </c>
      <c r="I1513" s="2" t="s">
        <v>80</v>
      </c>
      <c r="J1513" s="2" t="s">
        <v>19</v>
      </c>
      <c r="K1513" s="4" t="str">
        <f>HYPERLINK("https://www.cortellis.com/drugdiscovery/result/proxy/related-content/biomarkers/genestargets/3507","microRNA 146b")</f>
        <v>microRNA 146b</v>
      </c>
    </row>
    <row r="1514" spans="1:11" ht="60" customHeight="1" x14ac:dyDescent="0.2">
      <c r="A1514" s="2">
        <v>1511</v>
      </c>
      <c r="B1514" s="3" t="str">
        <f t="shared" si="242"/>
        <v>miR-146b-3p</v>
      </c>
      <c r="C1514" s="3" t="str">
        <f t="shared" si="243"/>
        <v>MIR146B</v>
      </c>
      <c r="D1514" s="3" t="str">
        <f t="shared" si="244"/>
        <v>hsa-miR-146b-3p</v>
      </c>
      <c r="E1514" s="2" t="s">
        <v>72</v>
      </c>
      <c r="F1514" s="3" t="str">
        <f t="shared" si="245"/>
        <v>Mature microRNA-146b-3p</v>
      </c>
      <c r="G1514" s="4"/>
      <c r="H1514" s="3" t="str">
        <f>HYPERLINK("https://www.cortellis.com/drugdiscovery/entity/biomarkers/13640","microRNA146")</f>
        <v>microRNA146</v>
      </c>
      <c r="I1514" s="2" t="s">
        <v>83</v>
      </c>
      <c r="J1514" s="2" t="s">
        <v>19</v>
      </c>
      <c r="K1514" s="4" t="str">
        <f>HYPERLINK("https://www.cortellis.com/drugdiscovery/result/proxy/related-content/biomarkers/genestargets/13640","microRNA 146a; microRNA 146b")</f>
        <v>microRNA 146a; microRNA 146b</v>
      </c>
    </row>
    <row r="1515" spans="1:11" ht="60" customHeight="1" x14ac:dyDescent="0.2">
      <c r="A1515" s="2">
        <v>1512</v>
      </c>
      <c r="B1515" s="3" t="str">
        <f t="shared" si="242"/>
        <v>miR-146b-3p</v>
      </c>
      <c r="C1515" s="3" t="str">
        <f t="shared" si="243"/>
        <v>MIR146B</v>
      </c>
      <c r="D1515" s="3" t="str">
        <f t="shared" si="244"/>
        <v>hsa-miR-146b-3p</v>
      </c>
      <c r="E1515" s="2" t="s">
        <v>72</v>
      </c>
      <c r="F1515" s="3" t="str">
        <f t="shared" si="245"/>
        <v>Mature microRNA-146b-3p</v>
      </c>
      <c r="G1515" s="4"/>
      <c r="H1515" s="3" t="str">
        <f>HYPERLINK("https://www.cortellis.com/drugdiscovery/entity/biomarkers/20689","microRNA 146b-5p")</f>
        <v>microRNA 146b-5p</v>
      </c>
      <c r="I1515" s="2" t="s">
        <v>37</v>
      </c>
      <c r="J1515" s="2" t="s">
        <v>19</v>
      </c>
      <c r="K1515" s="4" t="str">
        <f>HYPERLINK("https://www.cortellis.com/drugdiscovery/result/proxy/related-content/biomarkers/genestargets/20689","microRNA 146b")</f>
        <v>microRNA 146b</v>
      </c>
    </row>
    <row r="1516" spans="1:11" ht="60" customHeight="1" x14ac:dyDescent="0.2">
      <c r="A1516" s="2">
        <v>1513</v>
      </c>
      <c r="B1516" s="3" t="str">
        <f t="shared" si="242"/>
        <v>miR-146b-3p</v>
      </c>
      <c r="C1516" s="3" t="str">
        <f t="shared" si="243"/>
        <v>MIR146B</v>
      </c>
      <c r="D1516" s="3" t="str">
        <f t="shared" si="244"/>
        <v>hsa-miR-146b-3p</v>
      </c>
      <c r="E1516" s="2" t="s">
        <v>72</v>
      </c>
      <c r="F1516" s="3" t="str">
        <f t="shared" si="245"/>
        <v>Mature microRNA-146b-3p</v>
      </c>
      <c r="G1516" s="4"/>
      <c r="H1516" s="3" t="str">
        <f>HYPERLINK("https://www.cortellis.com/drugdiscovery/entity/biomarkers/21227","microRNA 146b-3p")</f>
        <v>microRNA 146b-3p</v>
      </c>
      <c r="I1516" s="2" t="s">
        <v>87</v>
      </c>
      <c r="J1516" s="2" t="s">
        <v>19</v>
      </c>
      <c r="K1516" s="4" t="str">
        <f>HYPERLINK("https://www.cortellis.com/drugdiscovery/result/proxy/related-content/biomarkers/genestargets/21227","microRNA 146b")</f>
        <v>microRNA 146b</v>
      </c>
    </row>
    <row r="1517" spans="1:11" ht="60" customHeight="1" x14ac:dyDescent="0.2">
      <c r="A1517" s="2">
        <v>1514</v>
      </c>
      <c r="B1517" s="3" t="str">
        <f t="shared" si="242"/>
        <v>miR-146b-3p</v>
      </c>
      <c r="C1517" s="3" t="str">
        <f t="shared" si="243"/>
        <v>MIR146B</v>
      </c>
      <c r="D1517" s="3" t="str">
        <f t="shared" si="244"/>
        <v>hsa-miR-146b-3p</v>
      </c>
      <c r="E1517" s="2" t="s">
        <v>72</v>
      </c>
      <c r="F1517" s="3" t="str">
        <f t="shared" si="245"/>
        <v>Mature microRNA-146b-3p</v>
      </c>
      <c r="G1517" s="4"/>
      <c r="H1517" s="3" t="str">
        <f>HYPERLINK("https://www.cortellis.com/drugdiscovery/entity/biomarkers/25582","5-gene expression 3-microRNA thyroid cancer panel")</f>
        <v>5-gene expression 3-microRNA thyroid cancer panel</v>
      </c>
      <c r="I1517" s="2" t="s">
        <v>23</v>
      </c>
      <c r="J1517" s="2" t="s">
        <v>19</v>
      </c>
      <c r="K1517" s="4" t="str">
        <f>HYPERLINK("https://www.cortellis.com/drugdiscovery/result/proxy/related-content/biomarkers/genestargets/25582","microRNA 146b; microRNA 155")</f>
        <v>microRNA 146b; microRNA 155</v>
      </c>
    </row>
    <row r="1518" spans="1:11" ht="60" customHeight="1" x14ac:dyDescent="0.2">
      <c r="A1518" s="2">
        <v>1515</v>
      </c>
      <c r="B1518" s="3" t="str">
        <f t="shared" si="242"/>
        <v>miR-146b-3p</v>
      </c>
      <c r="C1518" s="3" t="str">
        <f t="shared" si="243"/>
        <v>MIR146B</v>
      </c>
      <c r="D1518" s="3" t="str">
        <f t="shared" si="244"/>
        <v>hsa-miR-146b-3p</v>
      </c>
      <c r="E1518" s="2" t="s">
        <v>72</v>
      </c>
      <c r="F1518" s="3" t="str">
        <f t="shared" si="245"/>
        <v>Mature microRNA-146b-3p</v>
      </c>
      <c r="G1518" s="4"/>
      <c r="H1518" s="3" t="str">
        <f>HYPERLINK("https://www.cortellis.com/drugdiscovery/entity/biomarkers/27382","20-microRNA myocardial infarction panel")</f>
        <v>20-microRNA myocardial infarction panel</v>
      </c>
      <c r="I1518" s="2" t="s">
        <v>23</v>
      </c>
      <c r="J1518" s="2" t="s">
        <v>19</v>
      </c>
      <c r="K1518" s="4" t="str">
        <f>HYPERLINK("https://www.cortellis.com/drugdiscovery/result/proxy/related-content/biomarkers/genestargets/27382","microRNA 146b")</f>
        <v>microRNA 146b</v>
      </c>
    </row>
    <row r="1519" spans="1:11" ht="60" customHeight="1" x14ac:dyDescent="0.2">
      <c r="A1519" s="2">
        <v>1516</v>
      </c>
      <c r="B1519" s="3" t="str">
        <f t="shared" si="242"/>
        <v>miR-146b-3p</v>
      </c>
      <c r="C1519" s="3" t="str">
        <f t="shared" si="243"/>
        <v>MIR146B</v>
      </c>
      <c r="D1519" s="3" t="str">
        <f t="shared" si="244"/>
        <v>hsa-miR-146b-3p</v>
      </c>
      <c r="E1519" s="2" t="s">
        <v>72</v>
      </c>
      <c r="F1519" s="3" t="str">
        <f t="shared" si="245"/>
        <v>Mature microRNA-146b-3p</v>
      </c>
      <c r="G1519" s="4"/>
      <c r="H1519" s="3" t="str">
        <f>HYPERLINK("https://www.cortellis.com/drugdiscovery/entity/biomarkers/27390","104-gene expression cancer panel")</f>
        <v>104-gene expression cancer panel</v>
      </c>
      <c r="I1519" s="2" t="s">
        <v>23</v>
      </c>
      <c r="J1519" s="2" t="s">
        <v>19</v>
      </c>
      <c r="K1519" s="4" t="str">
        <f>HYPERLINK("https://www.cortellis.com/drugdiscovery/result/proxy/related-content/biomarkers/genestargets/27390","microRNA 146b")</f>
        <v>microRNA 146b</v>
      </c>
    </row>
    <row r="1520" spans="1:11" ht="60" customHeight="1" x14ac:dyDescent="0.2">
      <c r="A1520" s="2">
        <v>1517</v>
      </c>
      <c r="B1520" s="3" t="str">
        <f t="shared" si="242"/>
        <v>miR-146b-3p</v>
      </c>
      <c r="C1520" s="3" t="str">
        <f t="shared" si="243"/>
        <v>MIR146B</v>
      </c>
      <c r="D1520" s="3" t="str">
        <f t="shared" si="244"/>
        <v>hsa-miR-146b-3p</v>
      </c>
      <c r="E1520" s="2" t="s">
        <v>72</v>
      </c>
      <c r="F1520" s="3" t="str">
        <f t="shared" si="245"/>
        <v>Mature microRNA-146b-3p</v>
      </c>
      <c r="G1520" s="4"/>
      <c r="H1520" s="3" t="str">
        <f>HYPERLINK("https://www.cortellis.com/drugdiscovery/entity/biomarkers/29536","10-microRNA glioblastoma panel")</f>
        <v>10-microRNA glioblastoma panel</v>
      </c>
      <c r="I1520" s="2" t="s">
        <v>60</v>
      </c>
      <c r="J1520" s="2" t="s">
        <v>19</v>
      </c>
      <c r="K1520" s="4" t="str">
        <f>HYPERLINK("https://www.cortellis.com/drugdiscovery/result/proxy/related-content/biomarkers/genestargets/29536","microRNA 146b")</f>
        <v>microRNA 146b</v>
      </c>
    </row>
    <row r="1521" spans="1:11" ht="60" customHeight="1" x14ac:dyDescent="0.2">
      <c r="A1521" s="2">
        <v>1518</v>
      </c>
      <c r="B1521" s="3" t="str">
        <f t="shared" si="242"/>
        <v>miR-146b-3p</v>
      </c>
      <c r="C1521" s="3" t="str">
        <f t="shared" si="243"/>
        <v>MIR146B</v>
      </c>
      <c r="D1521" s="3" t="str">
        <f t="shared" si="244"/>
        <v>hsa-miR-146b-3p</v>
      </c>
      <c r="E1521" s="2" t="s">
        <v>72</v>
      </c>
      <c r="F1521" s="3" t="str">
        <f t="shared" si="245"/>
        <v>Mature microRNA-146b-3p</v>
      </c>
      <c r="G1521" s="4"/>
      <c r="H1521" s="3" t="str">
        <f>HYPERLINK("https://www.cortellis.com/drugdiscovery/entity/biomarkers/30068","4-microRNA thyroid cancer panel")</f>
        <v>4-microRNA thyroid cancer panel</v>
      </c>
      <c r="I1521" s="2" t="s">
        <v>23</v>
      </c>
      <c r="J1521" s="2" t="s">
        <v>19</v>
      </c>
      <c r="K1521" s="4" t="str">
        <f>HYPERLINK("https://www.cortellis.com/drugdiscovery/result/proxy/related-content/biomarkers/genestargets/30068","microRNA 146b")</f>
        <v>microRNA 146b</v>
      </c>
    </row>
    <row r="1522" spans="1:11" ht="60" customHeight="1" x14ac:dyDescent="0.2">
      <c r="A1522" s="2">
        <v>1519</v>
      </c>
      <c r="B1522" s="3" t="str">
        <f t="shared" si="242"/>
        <v>miR-146b-3p</v>
      </c>
      <c r="C1522" s="3" t="str">
        <f t="shared" si="243"/>
        <v>MIR146B</v>
      </c>
      <c r="D1522" s="3" t="str">
        <f t="shared" si="244"/>
        <v>hsa-miR-146b-3p</v>
      </c>
      <c r="E1522" s="2" t="s">
        <v>72</v>
      </c>
      <c r="F1522" s="3" t="str">
        <f t="shared" si="245"/>
        <v>Mature microRNA-146b-3p</v>
      </c>
      <c r="G1522" s="4"/>
      <c r="H1522" s="3" t="str">
        <f>HYPERLINK("https://www.cortellis.com/drugdiscovery/entity/biomarkers/33023","8-microRNA lung cancer panel")</f>
        <v>8-microRNA lung cancer panel</v>
      </c>
      <c r="I1522" s="2" t="s">
        <v>23</v>
      </c>
      <c r="J1522" s="2" t="s">
        <v>19</v>
      </c>
      <c r="K1522" s="4" t="str">
        <f>HYPERLINK("https://www.cortellis.com/drugdiscovery/result/proxy/related-content/biomarkers/genestargets/33023","microRNA 146b")</f>
        <v>microRNA 146b</v>
      </c>
    </row>
    <row r="1523" spans="1:11" ht="60" customHeight="1" x14ac:dyDescent="0.2">
      <c r="A1523" s="2">
        <v>1520</v>
      </c>
      <c r="B1523" s="3" t="str">
        <f t="shared" si="242"/>
        <v>miR-146b-3p</v>
      </c>
      <c r="C1523" s="3" t="str">
        <f t="shared" si="243"/>
        <v>MIR146B</v>
      </c>
      <c r="D1523" s="3" t="str">
        <f t="shared" si="244"/>
        <v>hsa-miR-146b-3p</v>
      </c>
      <c r="E1523" s="2" t="s">
        <v>72</v>
      </c>
      <c r="F1523" s="3" t="str">
        <f t="shared" si="245"/>
        <v>Mature microRNA-146b-3p</v>
      </c>
      <c r="G1523" s="4"/>
      <c r="H1523" s="3" t="str">
        <f>HYPERLINK("https://www.cortellis.com/drugdiscovery/entity/biomarkers/38397","32-protein 2-biochemical psychiatric disorder panel")</f>
        <v>32-protein 2-biochemical psychiatric disorder panel</v>
      </c>
      <c r="I1523" s="2" t="s">
        <v>23</v>
      </c>
      <c r="J1523" s="2" t="s">
        <v>59</v>
      </c>
      <c r="K1523" s="4" t="str">
        <f>HYPERLINK("https://www.cortellis.com/drugdiscovery/result/proxy/related-content/biomarkers/genestargets/38397","microRNA 146b")</f>
        <v>microRNA 146b</v>
      </c>
    </row>
    <row r="1524" spans="1:11" ht="60" customHeight="1" x14ac:dyDescent="0.2">
      <c r="A1524" s="2">
        <v>1521</v>
      </c>
      <c r="B1524" s="3" t="str">
        <f t="shared" si="242"/>
        <v>miR-146b-3p</v>
      </c>
      <c r="C1524" s="3" t="str">
        <f t="shared" si="243"/>
        <v>MIR146B</v>
      </c>
      <c r="D1524" s="3" t="str">
        <f t="shared" si="244"/>
        <v>hsa-miR-146b-3p</v>
      </c>
      <c r="E1524" s="2" t="s">
        <v>72</v>
      </c>
      <c r="F1524" s="3" t="str">
        <f t="shared" si="245"/>
        <v>Mature microRNA-146b-3p</v>
      </c>
      <c r="G1524" s="4"/>
      <c r="H1524" s="3" t="str">
        <f>HYPERLINK("https://www.cortellis.com/drugdiscovery/entity/biomarkers/38420","3-microRNA bladder cancer panel")</f>
        <v>3-microRNA bladder cancer panel</v>
      </c>
      <c r="I1524" s="2" t="s">
        <v>25</v>
      </c>
      <c r="J1524" s="2" t="s">
        <v>19</v>
      </c>
      <c r="K1524" s="4" t="str">
        <f>HYPERLINK("https://www.cortellis.com/drugdiscovery/result/proxy/related-content/biomarkers/genestargets/38420","microRNA 146b")</f>
        <v>microRNA 146b</v>
      </c>
    </row>
    <row r="1525" spans="1:11" ht="60" customHeight="1" x14ac:dyDescent="0.2">
      <c r="A1525" s="2">
        <v>1522</v>
      </c>
      <c r="B1525" s="3" t="str">
        <f t="shared" si="242"/>
        <v>miR-146b-3p</v>
      </c>
      <c r="C1525" s="3" t="str">
        <f t="shared" si="243"/>
        <v>MIR146B</v>
      </c>
      <c r="D1525" s="3" t="str">
        <f t="shared" si="244"/>
        <v>hsa-miR-146b-3p</v>
      </c>
      <c r="E1525" s="2" t="s">
        <v>72</v>
      </c>
      <c r="F1525" s="3" t="str">
        <f t="shared" si="245"/>
        <v>Mature microRNA-146b-3p</v>
      </c>
      <c r="G1525" s="4"/>
      <c r="H1525" s="3" t="str">
        <f>HYPERLINK("https://www.cortellis.com/drugdiscovery/entity/biomarkers/42978","152-gene expression 2-microRNA thyroid cancer panel")</f>
        <v>152-gene expression 2-microRNA thyroid cancer panel</v>
      </c>
      <c r="I1525" s="2" t="s">
        <v>23</v>
      </c>
      <c r="J1525" s="2" t="s">
        <v>19</v>
      </c>
      <c r="K1525" s="4" t="str">
        <f>HYPERLINK("https://www.cortellis.com/drugdiscovery/result/proxy/related-content/biomarkers/genestargets/42978","microRNA 146b")</f>
        <v>microRNA 146b</v>
      </c>
    </row>
    <row r="1526" spans="1:11" ht="60" customHeight="1" x14ac:dyDescent="0.2">
      <c r="A1526" s="2">
        <v>1523</v>
      </c>
      <c r="B1526" s="3" t="str">
        <f t="shared" si="242"/>
        <v>miR-146b-3p</v>
      </c>
      <c r="C1526" s="3" t="str">
        <f t="shared" si="243"/>
        <v>MIR146B</v>
      </c>
      <c r="D1526" s="3" t="str">
        <f t="shared" si="244"/>
        <v>hsa-miR-146b-3p</v>
      </c>
      <c r="E1526" s="2" t="s">
        <v>72</v>
      </c>
      <c r="F1526" s="3" t="str">
        <f t="shared" si="245"/>
        <v>Mature microRNA-146b-3p</v>
      </c>
      <c r="G1526" s="4"/>
      <c r="H1526" s="3" t="str">
        <f>HYPERLINK("https://www.cortellis.com/drugdiscovery/entity/biomarkers/44381","microRNA 146-5p")</f>
        <v>microRNA 146-5p</v>
      </c>
      <c r="I1526" s="2" t="s">
        <v>85</v>
      </c>
      <c r="J1526" s="2" t="s">
        <v>19</v>
      </c>
      <c r="K1526" s="4" t="str">
        <f>HYPERLINK("https://www.cortellis.com/drugdiscovery/result/proxy/related-content/biomarkers/genestargets/44381","microRNA 146a; microRNA 146b")</f>
        <v>microRNA 146a; microRNA 146b</v>
      </c>
    </row>
    <row r="1527" spans="1:11" ht="60" customHeight="1" x14ac:dyDescent="0.2">
      <c r="A1527" s="2">
        <v>1524</v>
      </c>
      <c r="B1527" s="3" t="str">
        <f t="shared" si="242"/>
        <v>miR-146b-3p</v>
      </c>
      <c r="C1527" s="3" t="str">
        <f t="shared" si="243"/>
        <v>MIR146B</v>
      </c>
      <c r="D1527" s="3" t="str">
        <f t="shared" si="244"/>
        <v>hsa-miR-146b-3p</v>
      </c>
      <c r="E1527" s="2" t="s">
        <v>72</v>
      </c>
      <c r="F1527" s="3" t="str">
        <f t="shared" si="245"/>
        <v>Mature microRNA-146b-3p</v>
      </c>
      <c r="G1527" s="4"/>
      <c r="H1527" s="3" t="str">
        <f>HYPERLINK("https://www.cortellis.com/drugdiscovery/entity/biomarkers/45567","microRNA 146b-1")</f>
        <v>microRNA 146b-1</v>
      </c>
      <c r="I1527" s="2" t="s">
        <v>88</v>
      </c>
      <c r="J1527" s="2" t="s">
        <v>19</v>
      </c>
      <c r="K1527" s="4" t="str">
        <f>HYPERLINK("https://www.cortellis.com/drugdiscovery/result/proxy/related-content/biomarkers/genestargets/45567","microRNA 146b")</f>
        <v>microRNA 146b</v>
      </c>
    </row>
    <row r="1528" spans="1:11" ht="60" customHeight="1" x14ac:dyDescent="0.2">
      <c r="A1528" s="2">
        <v>1525</v>
      </c>
      <c r="B1528" s="3" t="str">
        <f t="shared" si="242"/>
        <v>miR-146b-3p</v>
      </c>
      <c r="C1528" s="3" t="str">
        <f t="shared" si="243"/>
        <v>MIR146B</v>
      </c>
      <c r="D1528" s="3" t="str">
        <f t="shared" si="244"/>
        <v>hsa-miR-146b-3p</v>
      </c>
      <c r="E1528" s="2" t="s">
        <v>72</v>
      </c>
      <c r="F1528" s="3" t="str">
        <f t="shared" si="245"/>
        <v>Mature microRNA-146b-3p</v>
      </c>
      <c r="G1528" s="4"/>
      <c r="H1528" s="3" t="str">
        <f>HYPERLINK("https://www.cortellis.com/drugdiscovery/entity/biomarkers/45786","3-miRNA signature")</f>
        <v>3-miRNA signature</v>
      </c>
      <c r="I1528" s="2" t="s">
        <v>18</v>
      </c>
      <c r="J1528" s="2" t="s">
        <v>19</v>
      </c>
      <c r="K1528" s="4" t="str">
        <f>HYPERLINK("https://www.cortellis.com/drugdiscovery/result/proxy/related-content/biomarkers/genestargets/45786","microRNA 146b")</f>
        <v>microRNA 146b</v>
      </c>
    </row>
    <row r="1529" spans="1:11" ht="60" customHeight="1" x14ac:dyDescent="0.2">
      <c r="A1529" s="2">
        <v>1526</v>
      </c>
      <c r="B1529" s="3" t="str">
        <f t="shared" si="242"/>
        <v>miR-146b-3p</v>
      </c>
      <c r="C1529" s="3" t="str">
        <f t="shared" si="243"/>
        <v>MIR146B</v>
      </c>
      <c r="D1529" s="3" t="str">
        <f t="shared" si="244"/>
        <v>hsa-miR-146b-3p</v>
      </c>
      <c r="E1529" s="2" t="s">
        <v>72</v>
      </c>
      <c r="F1529" s="3" t="str">
        <f t="shared" si="245"/>
        <v>Mature microRNA-146b-3p</v>
      </c>
      <c r="G1529" s="4"/>
      <c r="H1529" s="3" t="str">
        <f>HYPERLINK("https://www.cortellis.com/drugdiscovery/entity/biomarkers/50406","22-microRNA expression clear cell renal cell cancer panel")</f>
        <v>22-microRNA expression clear cell renal cell cancer panel</v>
      </c>
      <c r="I1529" s="2" t="s">
        <v>66</v>
      </c>
      <c r="J1529" s="2" t="s">
        <v>19</v>
      </c>
      <c r="K1529" s="4" t="str">
        <f>HYPERLINK("https://www.cortellis.com/drugdiscovery/result/proxy/related-content/biomarkers/genestargets/50406","microRNA 146b; microRNA 223")</f>
        <v>microRNA 146b; microRNA 223</v>
      </c>
    </row>
    <row r="1530" spans="1:11" ht="60" customHeight="1" x14ac:dyDescent="0.2">
      <c r="A1530" s="2">
        <v>1527</v>
      </c>
      <c r="B1530" s="3" t="str">
        <f t="shared" si="242"/>
        <v>miR-146b-3p</v>
      </c>
      <c r="C1530" s="3" t="str">
        <f t="shared" si="243"/>
        <v>MIR146B</v>
      </c>
      <c r="D1530" s="3" t="str">
        <f t="shared" si="244"/>
        <v>hsa-miR-146b-3p</v>
      </c>
      <c r="E1530" s="2" t="s">
        <v>72</v>
      </c>
      <c r="F1530" s="3" t="str">
        <f t="shared" si="245"/>
        <v>Mature microRNA-146b-3p</v>
      </c>
      <c r="G1530" s="4"/>
      <c r="H1530" s="3" t="str">
        <f>HYPERLINK("https://www.cortellis.com/drugdiscovery/entity/biomarkers/53082","4-microRNA expression neurological disorders panel")</f>
        <v>4-microRNA expression neurological disorders panel</v>
      </c>
      <c r="I1530" s="2" t="s">
        <v>23</v>
      </c>
      <c r="J1530" s="2" t="s">
        <v>19</v>
      </c>
      <c r="K1530" s="4" t="str">
        <f>HYPERLINK("https://www.cortellis.com/drugdiscovery/result/proxy/related-content/biomarkers/genestargets/53082","microRNA 146b; microRNA 214")</f>
        <v>microRNA 146b; microRNA 214</v>
      </c>
    </row>
    <row r="1531" spans="1:11" ht="60" customHeight="1" x14ac:dyDescent="0.2">
      <c r="A1531" s="2">
        <v>1528</v>
      </c>
      <c r="B1531" s="3" t="str">
        <f t="shared" si="242"/>
        <v>miR-146b-3p</v>
      </c>
      <c r="C1531" s="3" t="str">
        <f t="shared" si="243"/>
        <v>MIR146B</v>
      </c>
      <c r="D1531" s="3" t="str">
        <f t="shared" si="244"/>
        <v>hsa-miR-146b-3p</v>
      </c>
      <c r="E1531" s="2" t="s">
        <v>72</v>
      </c>
      <c r="F1531" s="3" t="str">
        <f t="shared" si="245"/>
        <v>Mature microRNA-146b-3p</v>
      </c>
      <c r="G1531" s="4"/>
      <c r="H1531" s="3" t="str">
        <f>HYPERLINK("https://www.cortellis.com/drugdiscovery/entity/biomarkers/59998","3-microRNA asthma exacerbation panel")</f>
        <v>3-microRNA asthma exacerbation panel</v>
      </c>
      <c r="I1531" s="2" t="s">
        <v>29</v>
      </c>
      <c r="J1531" s="2" t="s">
        <v>19</v>
      </c>
      <c r="K1531" s="4" t="str">
        <f>HYPERLINK("https://www.cortellis.com/drugdiscovery/result/proxy/related-content/biomarkers/genestargets/59998","microRNA 146b")</f>
        <v>microRNA 146b</v>
      </c>
    </row>
    <row r="1532" spans="1:11" ht="60" customHeight="1" x14ac:dyDescent="0.2">
      <c r="A1532" s="2">
        <v>1529</v>
      </c>
      <c r="B1532" s="3" t="str">
        <f t="shared" si="242"/>
        <v>miR-146b-3p</v>
      </c>
      <c r="C1532" s="3" t="str">
        <f t="shared" si="243"/>
        <v>MIR146B</v>
      </c>
      <c r="D1532" s="3" t="str">
        <f t="shared" si="244"/>
        <v>hsa-miR-146b-3p</v>
      </c>
      <c r="E1532" s="2" t="s">
        <v>72</v>
      </c>
      <c r="F1532" s="3" t="str">
        <f t="shared" si="245"/>
        <v>Mature microRNA-146b-3p</v>
      </c>
      <c r="G1532" s="4"/>
      <c r="H1532" s="3" t="str">
        <f>HYPERLINK("https://www.cortellis.com/drugdiscovery/entity/biomarkers/60253","5-microRNA glioblastoma panel")</f>
        <v>5-microRNA glioblastoma panel</v>
      </c>
      <c r="I1532" s="2" t="s">
        <v>23</v>
      </c>
      <c r="J1532" s="2" t="s">
        <v>19</v>
      </c>
      <c r="K1532" s="4" t="str">
        <f>HYPERLINK("https://www.cortellis.com/drugdiscovery/result/proxy/related-content/biomarkers/genestargets/60253","microRNA 146b")</f>
        <v>microRNA 146b</v>
      </c>
    </row>
    <row r="1533" spans="1:11" ht="60" customHeight="1" x14ac:dyDescent="0.2">
      <c r="A1533" s="2">
        <v>1530</v>
      </c>
      <c r="B1533" s="3" t="str">
        <f t="shared" si="242"/>
        <v>miR-146b-3p</v>
      </c>
      <c r="C1533" s="3" t="str">
        <f t="shared" si="243"/>
        <v>MIR146B</v>
      </c>
      <c r="D1533" s="3" t="str">
        <f t="shared" si="244"/>
        <v>hsa-miR-146b-3p</v>
      </c>
      <c r="E1533" s="2" t="s">
        <v>72</v>
      </c>
      <c r="F1533" s="3" t="str">
        <f t="shared" si="245"/>
        <v>Mature microRNA-146b-3p</v>
      </c>
      <c r="G1533" s="4"/>
      <c r="H1533" s="3" t="str">
        <f>HYPERLINK("https://www.cortellis.com/drugdiscovery/entity/biomarkers/60422","18-microRNA thyroid cancer panel")</f>
        <v>18-microRNA thyroid cancer panel</v>
      </c>
      <c r="I1533" s="2" t="s">
        <v>23</v>
      </c>
      <c r="J1533" s="2" t="s">
        <v>19</v>
      </c>
      <c r="K1533" s="4" t="str">
        <f>HYPERLINK("https://www.cortellis.com/drugdiscovery/result/proxy/related-content/biomarkers/genestargets/60422","microRNA 146b")</f>
        <v>microRNA 146b</v>
      </c>
    </row>
    <row r="1534" spans="1:11" ht="60" customHeight="1" x14ac:dyDescent="0.2">
      <c r="A1534" s="2">
        <v>1531</v>
      </c>
      <c r="B1534" s="3" t="str">
        <f t="shared" si="242"/>
        <v>miR-146b-3p</v>
      </c>
      <c r="C1534" s="3" t="str">
        <f t="shared" si="243"/>
        <v>MIR146B</v>
      </c>
      <c r="D1534" s="3" t="str">
        <f t="shared" si="244"/>
        <v>hsa-miR-146b-3p</v>
      </c>
      <c r="E1534" s="2" t="s">
        <v>72</v>
      </c>
      <c r="F1534" s="3" t="str">
        <f t="shared" si="245"/>
        <v>Mature microRNA-146b-3p</v>
      </c>
      <c r="G1534" s="4"/>
      <c r="H1534" s="3" t="str">
        <f>HYPERLINK("https://www.cortellis.com/drugdiscovery/entity/biomarkers/64114","10-gene expression thyroid cancer panel")</f>
        <v>10-gene expression thyroid cancer panel</v>
      </c>
      <c r="I1534" s="2" t="s">
        <v>25</v>
      </c>
      <c r="J1534" s="2" t="s">
        <v>19</v>
      </c>
      <c r="K1534" s="4" t="str">
        <f>HYPERLINK("https://www.cortellis.com/drugdiscovery/result/proxy/related-content/biomarkers/genestargets/64114","microRNA 146b; microRNA 155")</f>
        <v>microRNA 146b; microRNA 155</v>
      </c>
    </row>
    <row r="1535" spans="1:11" ht="60" customHeight="1" x14ac:dyDescent="0.2">
      <c r="A1535" s="2">
        <v>1532</v>
      </c>
      <c r="B1535" s="3" t="str">
        <f t="shared" ref="B1535:B1556" si="246">HYPERLINK("https://portal.genego.com/cgi/entity_page.cgi?term=100&amp;id=-1239095493","miR-146b-5p")</f>
        <v>miR-146b-5p</v>
      </c>
      <c r="C1535" s="3" t="str">
        <f t="shared" si="243"/>
        <v>MIR146B</v>
      </c>
      <c r="D1535" s="3" t="str">
        <f t="shared" ref="D1535:D1556" si="247">HYPERLINK("https://portal.genego.com/cgi/entity_page.cgi?term=7&amp;id=-848581042","hsa-miR-146b-5p")</f>
        <v>hsa-miR-146b-5p</v>
      </c>
      <c r="E1535" s="2" t="s">
        <v>72</v>
      </c>
      <c r="F1535" s="3" t="str">
        <f t="shared" ref="F1535:F1556" si="248">HYPERLINK("https://portal.genego.com/cgi/entity_page.cgi?term=100&amp;id=-1239095493","Mature microRNA-146b-5p")</f>
        <v>Mature microRNA-146b-5p</v>
      </c>
      <c r="G1535" s="4"/>
      <c r="H1535" s="3" t="str">
        <f>HYPERLINK("https://www.cortellis.com/drugdiscovery/entity/biomarkers/3507","microRNA 146b")</f>
        <v>microRNA 146b</v>
      </c>
      <c r="I1535" s="2" t="s">
        <v>80</v>
      </c>
      <c r="J1535" s="2" t="s">
        <v>19</v>
      </c>
      <c r="K1535" s="4" t="str">
        <f>HYPERLINK("https://www.cortellis.com/drugdiscovery/result/proxy/related-content/biomarkers/genestargets/3507","microRNA 146b")</f>
        <v>microRNA 146b</v>
      </c>
    </row>
    <row r="1536" spans="1:11" ht="60" customHeight="1" x14ac:dyDescent="0.2">
      <c r="A1536" s="2">
        <v>1533</v>
      </c>
      <c r="B1536" s="3" t="str">
        <f t="shared" si="246"/>
        <v>miR-146b-5p</v>
      </c>
      <c r="C1536" s="3" t="str">
        <f t="shared" si="243"/>
        <v>MIR146B</v>
      </c>
      <c r="D1536" s="3" t="str">
        <f t="shared" si="247"/>
        <v>hsa-miR-146b-5p</v>
      </c>
      <c r="E1536" s="2" t="s">
        <v>72</v>
      </c>
      <c r="F1536" s="3" t="str">
        <f t="shared" si="248"/>
        <v>Mature microRNA-146b-5p</v>
      </c>
      <c r="G1536" s="4"/>
      <c r="H1536" s="3" t="str">
        <f>HYPERLINK("https://www.cortellis.com/drugdiscovery/entity/biomarkers/13640","microRNA146")</f>
        <v>microRNA146</v>
      </c>
      <c r="I1536" s="2" t="s">
        <v>83</v>
      </c>
      <c r="J1536" s="2" t="s">
        <v>19</v>
      </c>
      <c r="K1536" s="4" t="str">
        <f>HYPERLINK("https://www.cortellis.com/drugdiscovery/result/proxy/related-content/biomarkers/genestargets/13640","microRNA 146a; microRNA 146b")</f>
        <v>microRNA 146a; microRNA 146b</v>
      </c>
    </row>
    <row r="1537" spans="1:11" ht="60" customHeight="1" x14ac:dyDescent="0.2">
      <c r="A1537" s="2">
        <v>1534</v>
      </c>
      <c r="B1537" s="3" t="str">
        <f t="shared" si="246"/>
        <v>miR-146b-5p</v>
      </c>
      <c r="C1537" s="3" t="str">
        <f t="shared" si="243"/>
        <v>MIR146B</v>
      </c>
      <c r="D1537" s="3" t="str">
        <f t="shared" si="247"/>
        <v>hsa-miR-146b-5p</v>
      </c>
      <c r="E1537" s="2" t="s">
        <v>72</v>
      </c>
      <c r="F1537" s="3" t="str">
        <f t="shared" si="248"/>
        <v>Mature microRNA-146b-5p</v>
      </c>
      <c r="G1537" s="4"/>
      <c r="H1537" s="3" t="str">
        <f>HYPERLINK("https://www.cortellis.com/drugdiscovery/entity/biomarkers/20689","microRNA 146b-5p")</f>
        <v>microRNA 146b-5p</v>
      </c>
      <c r="I1537" s="2" t="s">
        <v>37</v>
      </c>
      <c r="J1537" s="2" t="s">
        <v>19</v>
      </c>
      <c r="K1537" s="4" t="str">
        <f>HYPERLINK("https://www.cortellis.com/drugdiscovery/result/proxy/related-content/biomarkers/genestargets/20689","microRNA 146b")</f>
        <v>microRNA 146b</v>
      </c>
    </row>
    <row r="1538" spans="1:11" ht="60" customHeight="1" x14ac:dyDescent="0.2">
      <c r="A1538" s="2">
        <v>1535</v>
      </c>
      <c r="B1538" s="3" t="str">
        <f t="shared" si="246"/>
        <v>miR-146b-5p</v>
      </c>
      <c r="C1538" s="3" t="str">
        <f t="shared" si="243"/>
        <v>MIR146B</v>
      </c>
      <c r="D1538" s="3" t="str">
        <f t="shared" si="247"/>
        <v>hsa-miR-146b-5p</v>
      </c>
      <c r="E1538" s="2" t="s">
        <v>72</v>
      </c>
      <c r="F1538" s="3" t="str">
        <f t="shared" si="248"/>
        <v>Mature microRNA-146b-5p</v>
      </c>
      <c r="G1538" s="4"/>
      <c r="H1538" s="3" t="str">
        <f>HYPERLINK("https://www.cortellis.com/drugdiscovery/entity/biomarkers/21227","microRNA 146b-3p")</f>
        <v>microRNA 146b-3p</v>
      </c>
      <c r="I1538" s="2" t="s">
        <v>87</v>
      </c>
      <c r="J1538" s="2" t="s">
        <v>19</v>
      </c>
      <c r="K1538" s="4" t="str">
        <f>HYPERLINK("https://www.cortellis.com/drugdiscovery/result/proxy/related-content/biomarkers/genestargets/21227","microRNA 146b")</f>
        <v>microRNA 146b</v>
      </c>
    </row>
    <row r="1539" spans="1:11" ht="60" customHeight="1" x14ac:dyDescent="0.2">
      <c r="A1539" s="2">
        <v>1536</v>
      </c>
      <c r="B1539" s="3" t="str">
        <f t="shared" si="246"/>
        <v>miR-146b-5p</v>
      </c>
      <c r="C1539" s="3" t="str">
        <f t="shared" si="243"/>
        <v>MIR146B</v>
      </c>
      <c r="D1539" s="3" t="str">
        <f t="shared" si="247"/>
        <v>hsa-miR-146b-5p</v>
      </c>
      <c r="E1539" s="2" t="s">
        <v>72</v>
      </c>
      <c r="F1539" s="3" t="str">
        <f t="shared" si="248"/>
        <v>Mature microRNA-146b-5p</v>
      </c>
      <c r="G1539" s="4"/>
      <c r="H1539" s="3" t="str">
        <f>HYPERLINK("https://www.cortellis.com/drugdiscovery/entity/biomarkers/25582","5-gene expression 3-microRNA thyroid cancer panel")</f>
        <v>5-gene expression 3-microRNA thyroid cancer panel</v>
      </c>
      <c r="I1539" s="2" t="s">
        <v>23</v>
      </c>
      <c r="J1539" s="2" t="s">
        <v>19</v>
      </c>
      <c r="K1539" s="4" t="str">
        <f>HYPERLINK("https://www.cortellis.com/drugdiscovery/result/proxy/related-content/biomarkers/genestargets/25582","microRNA 146b; microRNA 155")</f>
        <v>microRNA 146b; microRNA 155</v>
      </c>
    </row>
    <row r="1540" spans="1:11" ht="60" customHeight="1" x14ac:dyDescent="0.2">
      <c r="A1540" s="2">
        <v>1537</v>
      </c>
      <c r="B1540" s="3" t="str">
        <f t="shared" si="246"/>
        <v>miR-146b-5p</v>
      </c>
      <c r="C1540" s="3" t="str">
        <f t="shared" si="243"/>
        <v>MIR146B</v>
      </c>
      <c r="D1540" s="3" t="str">
        <f t="shared" si="247"/>
        <v>hsa-miR-146b-5p</v>
      </c>
      <c r="E1540" s="2" t="s">
        <v>72</v>
      </c>
      <c r="F1540" s="3" t="str">
        <f t="shared" si="248"/>
        <v>Mature microRNA-146b-5p</v>
      </c>
      <c r="G1540" s="4"/>
      <c r="H1540" s="3" t="str">
        <f>HYPERLINK("https://www.cortellis.com/drugdiscovery/entity/biomarkers/27382","20-microRNA myocardial infarction panel")</f>
        <v>20-microRNA myocardial infarction panel</v>
      </c>
      <c r="I1540" s="2" t="s">
        <v>23</v>
      </c>
      <c r="J1540" s="2" t="s">
        <v>19</v>
      </c>
      <c r="K1540" s="4" t="str">
        <f>HYPERLINK("https://www.cortellis.com/drugdiscovery/result/proxy/related-content/biomarkers/genestargets/27382","microRNA 146b")</f>
        <v>microRNA 146b</v>
      </c>
    </row>
    <row r="1541" spans="1:11" ht="60" customHeight="1" x14ac:dyDescent="0.2">
      <c r="A1541" s="2">
        <v>1538</v>
      </c>
      <c r="B1541" s="3" t="str">
        <f t="shared" si="246"/>
        <v>miR-146b-5p</v>
      </c>
      <c r="C1541" s="3" t="str">
        <f t="shared" si="243"/>
        <v>MIR146B</v>
      </c>
      <c r="D1541" s="3" t="str">
        <f t="shared" si="247"/>
        <v>hsa-miR-146b-5p</v>
      </c>
      <c r="E1541" s="2" t="s">
        <v>72</v>
      </c>
      <c r="F1541" s="3" t="str">
        <f t="shared" si="248"/>
        <v>Mature microRNA-146b-5p</v>
      </c>
      <c r="G1541" s="4"/>
      <c r="H1541" s="3" t="str">
        <f>HYPERLINK("https://www.cortellis.com/drugdiscovery/entity/biomarkers/27390","104-gene expression cancer panel")</f>
        <v>104-gene expression cancer panel</v>
      </c>
      <c r="I1541" s="2" t="s">
        <v>23</v>
      </c>
      <c r="J1541" s="2" t="s">
        <v>19</v>
      </c>
      <c r="K1541" s="4" t="str">
        <f>HYPERLINK("https://www.cortellis.com/drugdiscovery/result/proxy/related-content/biomarkers/genestargets/27390","microRNA 146b")</f>
        <v>microRNA 146b</v>
      </c>
    </row>
    <row r="1542" spans="1:11" ht="60" customHeight="1" x14ac:dyDescent="0.2">
      <c r="A1542" s="2">
        <v>1539</v>
      </c>
      <c r="B1542" s="3" t="str">
        <f t="shared" si="246"/>
        <v>miR-146b-5p</v>
      </c>
      <c r="C1542" s="3" t="str">
        <f t="shared" si="243"/>
        <v>MIR146B</v>
      </c>
      <c r="D1542" s="3" t="str">
        <f t="shared" si="247"/>
        <v>hsa-miR-146b-5p</v>
      </c>
      <c r="E1542" s="2" t="s">
        <v>72</v>
      </c>
      <c r="F1542" s="3" t="str">
        <f t="shared" si="248"/>
        <v>Mature microRNA-146b-5p</v>
      </c>
      <c r="G1542" s="4"/>
      <c r="H1542" s="3" t="str">
        <f>HYPERLINK("https://www.cortellis.com/drugdiscovery/entity/biomarkers/29536","10-microRNA glioblastoma panel")</f>
        <v>10-microRNA glioblastoma panel</v>
      </c>
      <c r="I1542" s="2" t="s">
        <v>60</v>
      </c>
      <c r="J1542" s="2" t="s">
        <v>19</v>
      </c>
      <c r="K1542" s="4" t="str">
        <f>HYPERLINK("https://www.cortellis.com/drugdiscovery/result/proxy/related-content/biomarkers/genestargets/29536","microRNA 146b")</f>
        <v>microRNA 146b</v>
      </c>
    </row>
    <row r="1543" spans="1:11" ht="60" customHeight="1" x14ac:dyDescent="0.2">
      <c r="A1543" s="2">
        <v>1540</v>
      </c>
      <c r="B1543" s="3" t="str">
        <f t="shared" si="246"/>
        <v>miR-146b-5p</v>
      </c>
      <c r="C1543" s="3" t="str">
        <f t="shared" si="243"/>
        <v>MIR146B</v>
      </c>
      <c r="D1543" s="3" t="str">
        <f t="shared" si="247"/>
        <v>hsa-miR-146b-5p</v>
      </c>
      <c r="E1543" s="2" t="s">
        <v>72</v>
      </c>
      <c r="F1543" s="3" t="str">
        <f t="shared" si="248"/>
        <v>Mature microRNA-146b-5p</v>
      </c>
      <c r="G1543" s="4"/>
      <c r="H1543" s="3" t="str">
        <f>HYPERLINK("https://www.cortellis.com/drugdiscovery/entity/biomarkers/30068","4-microRNA thyroid cancer panel")</f>
        <v>4-microRNA thyroid cancer panel</v>
      </c>
      <c r="I1543" s="2" t="s">
        <v>23</v>
      </c>
      <c r="J1543" s="2" t="s">
        <v>19</v>
      </c>
      <c r="K1543" s="4" t="str">
        <f>HYPERLINK("https://www.cortellis.com/drugdiscovery/result/proxy/related-content/biomarkers/genestargets/30068","microRNA 146b")</f>
        <v>microRNA 146b</v>
      </c>
    </row>
    <row r="1544" spans="1:11" ht="60" customHeight="1" x14ac:dyDescent="0.2">
      <c r="A1544" s="2">
        <v>1541</v>
      </c>
      <c r="B1544" s="3" t="str">
        <f t="shared" si="246"/>
        <v>miR-146b-5p</v>
      </c>
      <c r="C1544" s="3" t="str">
        <f t="shared" si="243"/>
        <v>MIR146B</v>
      </c>
      <c r="D1544" s="3" t="str">
        <f t="shared" si="247"/>
        <v>hsa-miR-146b-5p</v>
      </c>
      <c r="E1544" s="2" t="s">
        <v>72</v>
      </c>
      <c r="F1544" s="3" t="str">
        <f t="shared" si="248"/>
        <v>Mature microRNA-146b-5p</v>
      </c>
      <c r="G1544" s="4"/>
      <c r="H1544" s="3" t="str">
        <f>HYPERLINK("https://www.cortellis.com/drugdiscovery/entity/biomarkers/33023","8-microRNA lung cancer panel")</f>
        <v>8-microRNA lung cancer panel</v>
      </c>
      <c r="I1544" s="2" t="s">
        <v>23</v>
      </c>
      <c r="J1544" s="2" t="s">
        <v>19</v>
      </c>
      <c r="K1544" s="4" t="str">
        <f>HYPERLINK("https://www.cortellis.com/drugdiscovery/result/proxy/related-content/biomarkers/genestargets/33023","microRNA 146b")</f>
        <v>microRNA 146b</v>
      </c>
    </row>
    <row r="1545" spans="1:11" ht="60" customHeight="1" x14ac:dyDescent="0.2">
      <c r="A1545" s="2">
        <v>1542</v>
      </c>
      <c r="B1545" s="3" t="str">
        <f t="shared" si="246"/>
        <v>miR-146b-5p</v>
      </c>
      <c r="C1545" s="3" t="str">
        <f t="shared" si="243"/>
        <v>MIR146B</v>
      </c>
      <c r="D1545" s="3" t="str">
        <f t="shared" si="247"/>
        <v>hsa-miR-146b-5p</v>
      </c>
      <c r="E1545" s="2" t="s">
        <v>72</v>
      </c>
      <c r="F1545" s="3" t="str">
        <f t="shared" si="248"/>
        <v>Mature microRNA-146b-5p</v>
      </c>
      <c r="G1545" s="4"/>
      <c r="H1545" s="3" t="str">
        <f>HYPERLINK("https://www.cortellis.com/drugdiscovery/entity/biomarkers/38397","32-protein 2-biochemical psychiatric disorder panel")</f>
        <v>32-protein 2-biochemical psychiatric disorder panel</v>
      </c>
      <c r="I1545" s="2" t="s">
        <v>23</v>
      </c>
      <c r="J1545" s="2" t="s">
        <v>59</v>
      </c>
      <c r="K1545" s="4" t="str">
        <f>HYPERLINK("https://www.cortellis.com/drugdiscovery/result/proxy/related-content/biomarkers/genestargets/38397","microRNA 146b")</f>
        <v>microRNA 146b</v>
      </c>
    </row>
    <row r="1546" spans="1:11" ht="60" customHeight="1" x14ac:dyDescent="0.2">
      <c r="A1546" s="2">
        <v>1543</v>
      </c>
      <c r="B1546" s="3" t="str">
        <f t="shared" si="246"/>
        <v>miR-146b-5p</v>
      </c>
      <c r="C1546" s="3" t="str">
        <f t="shared" si="243"/>
        <v>MIR146B</v>
      </c>
      <c r="D1546" s="3" t="str">
        <f t="shared" si="247"/>
        <v>hsa-miR-146b-5p</v>
      </c>
      <c r="E1546" s="2" t="s">
        <v>72</v>
      </c>
      <c r="F1546" s="3" t="str">
        <f t="shared" si="248"/>
        <v>Mature microRNA-146b-5p</v>
      </c>
      <c r="G1546" s="4"/>
      <c r="H1546" s="3" t="str">
        <f>HYPERLINK("https://www.cortellis.com/drugdiscovery/entity/biomarkers/38420","3-microRNA bladder cancer panel")</f>
        <v>3-microRNA bladder cancer panel</v>
      </c>
      <c r="I1546" s="2" t="s">
        <v>25</v>
      </c>
      <c r="J1546" s="2" t="s">
        <v>19</v>
      </c>
      <c r="K1546" s="4" t="str">
        <f>HYPERLINK("https://www.cortellis.com/drugdiscovery/result/proxy/related-content/biomarkers/genestargets/38420","microRNA 146b")</f>
        <v>microRNA 146b</v>
      </c>
    </row>
    <row r="1547" spans="1:11" ht="60" customHeight="1" x14ac:dyDescent="0.2">
      <c r="A1547" s="2">
        <v>1544</v>
      </c>
      <c r="B1547" s="3" t="str">
        <f t="shared" si="246"/>
        <v>miR-146b-5p</v>
      </c>
      <c r="C1547" s="3" t="str">
        <f t="shared" si="243"/>
        <v>MIR146B</v>
      </c>
      <c r="D1547" s="3" t="str">
        <f t="shared" si="247"/>
        <v>hsa-miR-146b-5p</v>
      </c>
      <c r="E1547" s="2" t="s">
        <v>72</v>
      </c>
      <c r="F1547" s="3" t="str">
        <f t="shared" si="248"/>
        <v>Mature microRNA-146b-5p</v>
      </c>
      <c r="G1547" s="4"/>
      <c r="H1547" s="3" t="str">
        <f>HYPERLINK("https://www.cortellis.com/drugdiscovery/entity/biomarkers/42978","152-gene expression 2-microRNA thyroid cancer panel")</f>
        <v>152-gene expression 2-microRNA thyroid cancer panel</v>
      </c>
      <c r="I1547" s="2" t="s">
        <v>23</v>
      </c>
      <c r="J1547" s="2" t="s">
        <v>19</v>
      </c>
      <c r="K1547" s="4" t="str">
        <f>HYPERLINK("https://www.cortellis.com/drugdiscovery/result/proxy/related-content/biomarkers/genestargets/42978","microRNA 146b")</f>
        <v>microRNA 146b</v>
      </c>
    </row>
    <row r="1548" spans="1:11" ht="60" customHeight="1" x14ac:dyDescent="0.2">
      <c r="A1548" s="2">
        <v>1545</v>
      </c>
      <c r="B1548" s="3" t="str">
        <f t="shared" si="246"/>
        <v>miR-146b-5p</v>
      </c>
      <c r="C1548" s="3" t="str">
        <f t="shared" si="243"/>
        <v>MIR146B</v>
      </c>
      <c r="D1548" s="3" t="str">
        <f t="shared" si="247"/>
        <v>hsa-miR-146b-5p</v>
      </c>
      <c r="E1548" s="2" t="s">
        <v>72</v>
      </c>
      <c r="F1548" s="3" t="str">
        <f t="shared" si="248"/>
        <v>Mature microRNA-146b-5p</v>
      </c>
      <c r="G1548" s="4"/>
      <c r="H1548" s="3" t="str">
        <f>HYPERLINK("https://www.cortellis.com/drugdiscovery/entity/biomarkers/44381","microRNA 146-5p")</f>
        <v>microRNA 146-5p</v>
      </c>
      <c r="I1548" s="2" t="s">
        <v>85</v>
      </c>
      <c r="J1548" s="2" t="s">
        <v>19</v>
      </c>
      <c r="K1548" s="4" t="str">
        <f>HYPERLINK("https://www.cortellis.com/drugdiscovery/result/proxy/related-content/biomarkers/genestargets/44381","microRNA 146a; microRNA 146b")</f>
        <v>microRNA 146a; microRNA 146b</v>
      </c>
    </row>
    <row r="1549" spans="1:11" ht="60" customHeight="1" x14ac:dyDescent="0.2">
      <c r="A1549" s="2">
        <v>1546</v>
      </c>
      <c r="B1549" s="3" t="str">
        <f t="shared" si="246"/>
        <v>miR-146b-5p</v>
      </c>
      <c r="C1549" s="3" t="str">
        <f t="shared" si="243"/>
        <v>MIR146B</v>
      </c>
      <c r="D1549" s="3" t="str">
        <f t="shared" si="247"/>
        <v>hsa-miR-146b-5p</v>
      </c>
      <c r="E1549" s="2" t="s">
        <v>72</v>
      </c>
      <c r="F1549" s="3" t="str">
        <f t="shared" si="248"/>
        <v>Mature microRNA-146b-5p</v>
      </c>
      <c r="G1549" s="4"/>
      <c r="H1549" s="3" t="str">
        <f>HYPERLINK("https://www.cortellis.com/drugdiscovery/entity/biomarkers/45567","microRNA 146b-1")</f>
        <v>microRNA 146b-1</v>
      </c>
      <c r="I1549" s="2" t="s">
        <v>88</v>
      </c>
      <c r="J1549" s="2" t="s">
        <v>19</v>
      </c>
      <c r="K1549" s="4" t="str">
        <f>HYPERLINK("https://www.cortellis.com/drugdiscovery/result/proxy/related-content/biomarkers/genestargets/45567","microRNA 146b")</f>
        <v>microRNA 146b</v>
      </c>
    </row>
    <row r="1550" spans="1:11" ht="60" customHeight="1" x14ac:dyDescent="0.2">
      <c r="A1550" s="2">
        <v>1547</v>
      </c>
      <c r="B1550" s="3" t="str">
        <f t="shared" si="246"/>
        <v>miR-146b-5p</v>
      </c>
      <c r="C1550" s="3" t="str">
        <f t="shared" si="243"/>
        <v>MIR146B</v>
      </c>
      <c r="D1550" s="3" t="str">
        <f t="shared" si="247"/>
        <v>hsa-miR-146b-5p</v>
      </c>
      <c r="E1550" s="2" t="s">
        <v>72</v>
      </c>
      <c r="F1550" s="3" t="str">
        <f t="shared" si="248"/>
        <v>Mature microRNA-146b-5p</v>
      </c>
      <c r="G1550" s="4"/>
      <c r="H1550" s="3" t="str">
        <f>HYPERLINK("https://www.cortellis.com/drugdiscovery/entity/biomarkers/45786","3-miRNA signature")</f>
        <v>3-miRNA signature</v>
      </c>
      <c r="I1550" s="2" t="s">
        <v>18</v>
      </c>
      <c r="J1550" s="2" t="s">
        <v>19</v>
      </c>
      <c r="K1550" s="4" t="str">
        <f>HYPERLINK("https://www.cortellis.com/drugdiscovery/result/proxy/related-content/biomarkers/genestargets/45786","microRNA 146b")</f>
        <v>microRNA 146b</v>
      </c>
    </row>
    <row r="1551" spans="1:11" ht="60" customHeight="1" x14ac:dyDescent="0.2">
      <c r="A1551" s="2">
        <v>1548</v>
      </c>
      <c r="B1551" s="3" t="str">
        <f t="shared" si="246"/>
        <v>miR-146b-5p</v>
      </c>
      <c r="C1551" s="3" t="str">
        <f t="shared" si="243"/>
        <v>MIR146B</v>
      </c>
      <c r="D1551" s="3" t="str">
        <f t="shared" si="247"/>
        <v>hsa-miR-146b-5p</v>
      </c>
      <c r="E1551" s="2" t="s">
        <v>72</v>
      </c>
      <c r="F1551" s="3" t="str">
        <f t="shared" si="248"/>
        <v>Mature microRNA-146b-5p</v>
      </c>
      <c r="G1551" s="4"/>
      <c r="H1551" s="3" t="str">
        <f>HYPERLINK("https://www.cortellis.com/drugdiscovery/entity/biomarkers/50406","22-microRNA expression clear cell renal cell cancer panel")</f>
        <v>22-microRNA expression clear cell renal cell cancer panel</v>
      </c>
      <c r="I1551" s="2" t="s">
        <v>66</v>
      </c>
      <c r="J1551" s="2" t="s">
        <v>19</v>
      </c>
      <c r="K1551" s="4" t="str">
        <f>HYPERLINK("https://www.cortellis.com/drugdiscovery/result/proxy/related-content/biomarkers/genestargets/50406","microRNA 146b; microRNA 223")</f>
        <v>microRNA 146b; microRNA 223</v>
      </c>
    </row>
    <row r="1552" spans="1:11" ht="60" customHeight="1" x14ac:dyDescent="0.2">
      <c r="A1552" s="2">
        <v>1549</v>
      </c>
      <c r="B1552" s="3" t="str">
        <f t="shared" si="246"/>
        <v>miR-146b-5p</v>
      </c>
      <c r="C1552" s="3" t="str">
        <f t="shared" si="243"/>
        <v>MIR146B</v>
      </c>
      <c r="D1552" s="3" t="str">
        <f t="shared" si="247"/>
        <v>hsa-miR-146b-5p</v>
      </c>
      <c r="E1552" s="2" t="s">
        <v>72</v>
      </c>
      <c r="F1552" s="3" t="str">
        <f t="shared" si="248"/>
        <v>Mature microRNA-146b-5p</v>
      </c>
      <c r="G1552" s="4"/>
      <c r="H1552" s="3" t="str">
        <f>HYPERLINK("https://www.cortellis.com/drugdiscovery/entity/biomarkers/53082","4-microRNA expression neurological disorders panel")</f>
        <v>4-microRNA expression neurological disorders panel</v>
      </c>
      <c r="I1552" s="2" t="s">
        <v>23</v>
      </c>
      <c r="J1552" s="2" t="s">
        <v>19</v>
      </c>
      <c r="K1552" s="4" t="str">
        <f>HYPERLINK("https://www.cortellis.com/drugdiscovery/result/proxy/related-content/biomarkers/genestargets/53082","microRNA 146b; microRNA 214")</f>
        <v>microRNA 146b; microRNA 214</v>
      </c>
    </row>
    <row r="1553" spans="1:11" ht="60" customHeight="1" x14ac:dyDescent="0.2">
      <c r="A1553" s="2">
        <v>1550</v>
      </c>
      <c r="B1553" s="3" t="str">
        <f t="shared" si="246"/>
        <v>miR-146b-5p</v>
      </c>
      <c r="C1553" s="3" t="str">
        <f t="shared" si="243"/>
        <v>MIR146B</v>
      </c>
      <c r="D1553" s="3" t="str">
        <f t="shared" si="247"/>
        <v>hsa-miR-146b-5p</v>
      </c>
      <c r="E1553" s="2" t="s">
        <v>72</v>
      </c>
      <c r="F1553" s="3" t="str">
        <f t="shared" si="248"/>
        <v>Mature microRNA-146b-5p</v>
      </c>
      <c r="G1553" s="4"/>
      <c r="H1553" s="3" t="str">
        <f>HYPERLINK("https://www.cortellis.com/drugdiscovery/entity/biomarkers/59998","3-microRNA asthma exacerbation panel")</f>
        <v>3-microRNA asthma exacerbation panel</v>
      </c>
      <c r="I1553" s="2" t="s">
        <v>29</v>
      </c>
      <c r="J1553" s="2" t="s">
        <v>19</v>
      </c>
      <c r="K1553" s="4" t="str">
        <f>HYPERLINK("https://www.cortellis.com/drugdiscovery/result/proxy/related-content/biomarkers/genestargets/59998","microRNA 146b")</f>
        <v>microRNA 146b</v>
      </c>
    </row>
    <row r="1554" spans="1:11" ht="60" customHeight="1" x14ac:dyDescent="0.2">
      <c r="A1554" s="2">
        <v>1551</v>
      </c>
      <c r="B1554" s="3" t="str">
        <f t="shared" si="246"/>
        <v>miR-146b-5p</v>
      </c>
      <c r="C1554" s="3" t="str">
        <f t="shared" si="243"/>
        <v>MIR146B</v>
      </c>
      <c r="D1554" s="3" t="str">
        <f t="shared" si="247"/>
        <v>hsa-miR-146b-5p</v>
      </c>
      <c r="E1554" s="2" t="s">
        <v>72</v>
      </c>
      <c r="F1554" s="3" t="str">
        <f t="shared" si="248"/>
        <v>Mature microRNA-146b-5p</v>
      </c>
      <c r="G1554" s="4"/>
      <c r="H1554" s="3" t="str">
        <f>HYPERLINK("https://www.cortellis.com/drugdiscovery/entity/biomarkers/60253","5-microRNA glioblastoma panel")</f>
        <v>5-microRNA glioblastoma panel</v>
      </c>
      <c r="I1554" s="2" t="s">
        <v>23</v>
      </c>
      <c r="J1554" s="2" t="s">
        <v>19</v>
      </c>
      <c r="K1554" s="4" t="str">
        <f>HYPERLINK("https://www.cortellis.com/drugdiscovery/result/proxy/related-content/biomarkers/genestargets/60253","microRNA 146b")</f>
        <v>microRNA 146b</v>
      </c>
    </row>
    <row r="1555" spans="1:11" ht="60" customHeight="1" x14ac:dyDescent="0.2">
      <c r="A1555" s="2">
        <v>1552</v>
      </c>
      <c r="B1555" s="3" t="str">
        <f t="shared" si="246"/>
        <v>miR-146b-5p</v>
      </c>
      <c r="C1555" s="3" t="str">
        <f t="shared" si="243"/>
        <v>MIR146B</v>
      </c>
      <c r="D1555" s="3" t="str">
        <f t="shared" si="247"/>
        <v>hsa-miR-146b-5p</v>
      </c>
      <c r="E1555" s="2" t="s">
        <v>72</v>
      </c>
      <c r="F1555" s="3" t="str">
        <f t="shared" si="248"/>
        <v>Mature microRNA-146b-5p</v>
      </c>
      <c r="G1555" s="4"/>
      <c r="H1555" s="3" t="str">
        <f>HYPERLINK("https://www.cortellis.com/drugdiscovery/entity/biomarkers/60422","18-microRNA thyroid cancer panel")</f>
        <v>18-microRNA thyroid cancer panel</v>
      </c>
      <c r="I1555" s="2" t="s">
        <v>23</v>
      </c>
      <c r="J1555" s="2" t="s">
        <v>19</v>
      </c>
      <c r="K1555" s="4" t="str">
        <f>HYPERLINK("https://www.cortellis.com/drugdiscovery/result/proxy/related-content/biomarkers/genestargets/60422","microRNA 146b")</f>
        <v>microRNA 146b</v>
      </c>
    </row>
    <row r="1556" spans="1:11" ht="60" customHeight="1" x14ac:dyDescent="0.2">
      <c r="A1556" s="2">
        <v>1553</v>
      </c>
      <c r="B1556" s="3" t="str">
        <f t="shared" si="246"/>
        <v>miR-146b-5p</v>
      </c>
      <c r="C1556" s="3" t="str">
        <f t="shared" si="243"/>
        <v>MIR146B</v>
      </c>
      <c r="D1556" s="3" t="str">
        <f t="shared" si="247"/>
        <v>hsa-miR-146b-5p</v>
      </c>
      <c r="E1556" s="2" t="s">
        <v>72</v>
      </c>
      <c r="F1556" s="3" t="str">
        <f t="shared" si="248"/>
        <v>Mature microRNA-146b-5p</v>
      </c>
      <c r="G1556" s="4"/>
      <c r="H1556" s="3" t="str">
        <f>HYPERLINK("https://www.cortellis.com/drugdiscovery/entity/biomarkers/64114","10-gene expression thyroid cancer panel")</f>
        <v>10-gene expression thyroid cancer panel</v>
      </c>
      <c r="I1556" s="2" t="s">
        <v>25</v>
      </c>
      <c r="J1556" s="2" t="s">
        <v>19</v>
      </c>
      <c r="K1556" s="4" t="str">
        <f>HYPERLINK("https://www.cortellis.com/drugdiscovery/result/proxy/related-content/biomarkers/genestargets/64114","microRNA 146b; microRNA 155")</f>
        <v>microRNA 146b; microRNA 155</v>
      </c>
    </row>
    <row r="1557" spans="1:11" ht="60" customHeight="1" x14ac:dyDescent="0.2">
      <c r="A1557" s="2">
        <v>1554</v>
      </c>
      <c r="B1557" s="3" t="str">
        <f t="shared" ref="B1557:B1577" si="249">HYPERLINK("https://portal.genego.com/cgi/entity_page.cgi?term=100&amp;id=-1608842998","miR-150-3p")</f>
        <v>miR-150-3p</v>
      </c>
      <c r="C1557" s="3" t="str">
        <f t="shared" ref="C1557:C1598" si="250">HYPERLINK("https://portal.genego.com/cgi/entity_page.cgi?term=20&amp;id=-181152347","MIR150")</f>
        <v>MIR150</v>
      </c>
      <c r="D1557" s="3" t="str">
        <f t="shared" ref="D1557:D1577" si="251">HYPERLINK("https://portal.genego.com/cgi/entity_page.cgi?term=7&amp;id=-1478539223","hsa-miR-150-3p")</f>
        <v>hsa-miR-150-3p</v>
      </c>
      <c r="E1557" s="2" t="s">
        <v>72</v>
      </c>
      <c r="F1557" s="3" t="str">
        <f t="shared" ref="F1557:F1577" si="252">HYPERLINK("https://portal.genego.com/cgi/entity_page.cgi?term=100&amp;id=-1608842998","Mature microRNA-150-3p")</f>
        <v>Mature microRNA-150-3p</v>
      </c>
      <c r="G1557" s="4"/>
      <c r="H1557" s="3" t="str">
        <f>HYPERLINK("https://www.cortellis.com/drugdiscovery/entity/biomarkers/3184","microRNA 150")</f>
        <v>microRNA 150</v>
      </c>
      <c r="I1557" s="2" t="s">
        <v>43</v>
      </c>
      <c r="J1557" s="2" t="s">
        <v>19</v>
      </c>
      <c r="K1557" s="4" t="str">
        <f>HYPERLINK("https://www.cortellis.com/drugdiscovery/result/proxy/related-content/biomarkers/genestargets/3184","microRNA 150")</f>
        <v>microRNA 150</v>
      </c>
    </row>
    <row r="1558" spans="1:11" ht="60" customHeight="1" x14ac:dyDescent="0.2">
      <c r="A1558" s="2">
        <v>1555</v>
      </c>
      <c r="B1558" s="3" t="str">
        <f t="shared" si="249"/>
        <v>miR-150-3p</v>
      </c>
      <c r="C1558" s="3" t="str">
        <f t="shared" si="250"/>
        <v>MIR150</v>
      </c>
      <c r="D1558" s="3" t="str">
        <f t="shared" si="251"/>
        <v>hsa-miR-150-3p</v>
      </c>
      <c r="E1558" s="2" t="s">
        <v>72</v>
      </c>
      <c r="F1558" s="3" t="str">
        <f t="shared" si="252"/>
        <v>Mature microRNA-150-3p</v>
      </c>
      <c r="G1558" s="4"/>
      <c r="H1558" s="3" t="str">
        <f>HYPERLINK("https://www.cortellis.com/drugdiscovery/entity/biomarkers/27395","13-microRNA liver cancer panel")</f>
        <v>13-microRNA liver cancer panel</v>
      </c>
      <c r="I1558" s="2" t="s">
        <v>52</v>
      </c>
      <c r="J1558" s="2" t="s">
        <v>19</v>
      </c>
      <c r="K1558" s="4" t="str">
        <f>HYPERLINK("https://www.cortellis.com/drugdiscovery/result/proxy/related-content/biomarkers/genestargets/27395","microRNA 150; microRNA 223")</f>
        <v>microRNA 150; microRNA 223</v>
      </c>
    </row>
    <row r="1559" spans="1:11" ht="60" customHeight="1" x14ac:dyDescent="0.2">
      <c r="A1559" s="2">
        <v>1556</v>
      </c>
      <c r="B1559" s="3" t="str">
        <f t="shared" si="249"/>
        <v>miR-150-3p</v>
      </c>
      <c r="C1559" s="3" t="str">
        <f t="shared" si="250"/>
        <v>MIR150</v>
      </c>
      <c r="D1559" s="3" t="str">
        <f t="shared" si="251"/>
        <v>hsa-miR-150-3p</v>
      </c>
      <c r="E1559" s="2" t="s">
        <v>72</v>
      </c>
      <c r="F1559" s="3" t="str">
        <f t="shared" si="252"/>
        <v>Mature microRNA-150-3p</v>
      </c>
      <c r="G1559" s="4"/>
      <c r="H1559" s="3" t="str">
        <f>HYPERLINK("https://www.cortellis.com/drugdiscovery/entity/biomarkers/28051","15-microRNA neuroblastoma panel")</f>
        <v>15-microRNA neuroblastoma panel</v>
      </c>
      <c r="I1559" s="2" t="s">
        <v>25</v>
      </c>
      <c r="J1559" s="2" t="s">
        <v>19</v>
      </c>
      <c r="K1559" s="4" t="str">
        <f>HYPERLINK("https://www.cortellis.com/drugdiscovery/result/proxy/related-content/biomarkers/genestargets/28051","microRNA 150")</f>
        <v>microRNA 150</v>
      </c>
    </row>
    <row r="1560" spans="1:11" ht="60" customHeight="1" x14ac:dyDescent="0.2">
      <c r="A1560" s="2">
        <v>1557</v>
      </c>
      <c r="B1560" s="3" t="str">
        <f t="shared" si="249"/>
        <v>miR-150-3p</v>
      </c>
      <c r="C1560" s="3" t="str">
        <f t="shared" si="250"/>
        <v>MIR150</v>
      </c>
      <c r="D1560" s="3" t="str">
        <f t="shared" si="251"/>
        <v>hsa-miR-150-3p</v>
      </c>
      <c r="E1560" s="2" t="s">
        <v>72</v>
      </c>
      <c r="F1560" s="3" t="str">
        <f t="shared" si="252"/>
        <v>Mature microRNA-150-3p</v>
      </c>
      <c r="G1560" s="4"/>
      <c r="H1560" s="3" t="str">
        <f>HYPERLINK("https://www.cortellis.com/drugdiscovery/entity/biomarkers/28064","6-microRNA melanoma panel")</f>
        <v>6-microRNA melanoma panel</v>
      </c>
      <c r="I1560" s="2" t="s">
        <v>25</v>
      </c>
      <c r="J1560" s="2" t="s">
        <v>19</v>
      </c>
      <c r="K1560" s="4" t="str">
        <f>HYPERLINK("https://www.cortellis.com/drugdiscovery/result/proxy/related-content/biomarkers/genestargets/28064","microRNA 150; microRNA 155")</f>
        <v>microRNA 150; microRNA 155</v>
      </c>
    </row>
    <row r="1561" spans="1:11" ht="60" customHeight="1" x14ac:dyDescent="0.2">
      <c r="A1561" s="2">
        <v>1558</v>
      </c>
      <c r="B1561" s="3" t="str">
        <f t="shared" si="249"/>
        <v>miR-150-3p</v>
      </c>
      <c r="C1561" s="3" t="str">
        <f t="shared" si="250"/>
        <v>MIR150</v>
      </c>
      <c r="D1561" s="3" t="str">
        <f t="shared" si="251"/>
        <v>hsa-miR-150-3p</v>
      </c>
      <c r="E1561" s="2" t="s">
        <v>72</v>
      </c>
      <c r="F1561" s="3" t="str">
        <f t="shared" si="252"/>
        <v>Mature microRNA-150-3p</v>
      </c>
      <c r="G1561" s="4"/>
      <c r="H1561" s="3" t="str">
        <f>HYPERLINK("https://www.cortellis.com/drugdiscovery/entity/biomarkers/31074","24-microRNA melanoma panel")</f>
        <v>24-microRNA melanoma panel</v>
      </c>
      <c r="I1561" s="2" t="s">
        <v>27</v>
      </c>
      <c r="J1561" s="2" t="s">
        <v>19</v>
      </c>
      <c r="K1561" s="4" t="str">
        <f>HYPERLINK("https://www.cortellis.com/drugdiscovery/result/proxy/related-content/biomarkers/genestargets/31074","microRNA 150; microRNA 155")</f>
        <v>microRNA 150; microRNA 155</v>
      </c>
    </row>
    <row r="1562" spans="1:11" ht="60" customHeight="1" x14ac:dyDescent="0.2">
      <c r="A1562" s="2">
        <v>1559</v>
      </c>
      <c r="B1562" s="3" t="str">
        <f t="shared" si="249"/>
        <v>miR-150-3p</v>
      </c>
      <c r="C1562" s="3" t="str">
        <f t="shared" si="250"/>
        <v>MIR150</v>
      </c>
      <c r="D1562" s="3" t="str">
        <f t="shared" si="251"/>
        <v>hsa-miR-150-3p</v>
      </c>
      <c r="E1562" s="2" t="s">
        <v>72</v>
      </c>
      <c r="F1562" s="3" t="str">
        <f t="shared" si="252"/>
        <v>Mature microRNA-150-3p</v>
      </c>
      <c r="G1562" s="4"/>
      <c r="H1562" s="3" t="str">
        <f>HYPERLINK("https://www.cortellis.com/drugdiscovery/entity/biomarkers/31077","31-microRNA melanoma panel")</f>
        <v>31-microRNA melanoma panel</v>
      </c>
      <c r="I1562" s="2" t="s">
        <v>18</v>
      </c>
      <c r="J1562" s="2" t="s">
        <v>19</v>
      </c>
      <c r="K1562" s="4" t="str">
        <f>HYPERLINK("https://www.cortellis.com/drugdiscovery/result/proxy/related-content/biomarkers/genestargets/31077","microRNA 150")</f>
        <v>microRNA 150</v>
      </c>
    </row>
    <row r="1563" spans="1:11" ht="60" customHeight="1" x14ac:dyDescent="0.2">
      <c r="A1563" s="2">
        <v>1560</v>
      </c>
      <c r="B1563" s="3" t="str">
        <f t="shared" si="249"/>
        <v>miR-150-3p</v>
      </c>
      <c r="C1563" s="3" t="str">
        <f t="shared" si="250"/>
        <v>MIR150</v>
      </c>
      <c r="D1563" s="3" t="str">
        <f t="shared" si="251"/>
        <v>hsa-miR-150-3p</v>
      </c>
      <c r="E1563" s="2" t="s">
        <v>72</v>
      </c>
      <c r="F1563" s="3" t="str">
        <f t="shared" si="252"/>
        <v>Mature microRNA-150-3p</v>
      </c>
      <c r="G1563" s="4"/>
      <c r="H1563" s="3" t="str">
        <f>HYPERLINK("https://www.cortellis.com/drugdiscovery/entity/biomarkers/40224","8-microRNA breast cancer panel")</f>
        <v>8-microRNA breast cancer panel</v>
      </c>
      <c r="I1563" s="2" t="s">
        <v>18</v>
      </c>
      <c r="J1563" s="2" t="s">
        <v>19</v>
      </c>
      <c r="K1563" s="4" t="str">
        <f>HYPERLINK("https://www.cortellis.com/drugdiscovery/result/proxy/related-content/biomarkers/genestargets/40224","microRNA 150")</f>
        <v>microRNA 150</v>
      </c>
    </row>
    <row r="1564" spans="1:11" ht="60" customHeight="1" x14ac:dyDescent="0.2">
      <c r="A1564" s="2">
        <v>1561</v>
      </c>
      <c r="B1564" s="3" t="str">
        <f t="shared" si="249"/>
        <v>miR-150-3p</v>
      </c>
      <c r="C1564" s="3" t="str">
        <f t="shared" si="250"/>
        <v>MIR150</v>
      </c>
      <c r="D1564" s="3" t="str">
        <f t="shared" si="251"/>
        <v>hsa-miR-150-3p</v>
      </c>
      <c r="E1564" s="2" t="s">
        <v>72</v>
      </c>
      <c r="F1564" s="3" t="str">
        <f t="shared" si="252"/>
        <v>Mature microRNA-150-3p</v>
      </c>
      <c r="G1564" s="4"/>
      <c r="H1564" s="3" t="str">
        <f>HYPERLINK("https://www.cortellis.com/drugdiscovery/entity/biomarkers/41022","microRNA 150-5p")</f>
        <v>microRNA 150-5p</v>
      </c>
      <c r="I1564" s="2" t="s">
        <v>80</v>
      </c>
      <c r="J1564" s="2" t="s">
        <v>19</v>
      </c>
      <c r="K1564" s="4" t="str">
        <f>HYPERLINK("https://www.cortellis.com/drugdiscovery/result/proxy/related-content/biomarkers/genestargets/41022","microRNA 150")</f>
        <v>microRNA 150</v>
      </c>
    </row>
    <row r="1565" spans="1:11" ht="60" customHeight="1" x14ac:dyDescent="0.2">
      <c r="A1565" s="2">
        <v>1562</v>
      </c>
      <c r="B1565" s="3" t="str">
        <f t="shared" si="249"/>
        <v>miR-150-3p</v>
      </c>
      <c r="C1565" s="3" t="str">
        <f t="shared" si="250"/>
        <v>MIR150</v>
      </c>
      <c r="D1565" s="3" t="str">
        <f t="shared" si="251"/>
        <v>hsa-miR-150-3p</v>
      </c>
      <c r="E1565" s="2" t="s">
        <v>72</v>
      </c>
      <c r="F1565" s="3" t="str">
        <f t="shared" si="252"/>
        <v>Mature microRNA-150-3p</v>
      </c>
      <c r="G1565" s="4"/>
      <c r="H1565" s="3" t="str">
        <f>HYPERLINK("https://www.cortellis.com/drugdiscovery/entity/biomarkers/42275","microRNA 150-3p")</f>
        <v>microRNA 150-3p</v>
      </c>
      <c r="I1565" s="2" t="s">
        <v>80</v>
      </c>
      <c r="J1565" s="2" t="s">
        <v>19</v>
      </c>
      <c r="K1565" s="4" t="str">
        <f>HYPERLINK("https://www.cortellis.com/drugdiscovery/result/proxy/related-content/biomarkers/genestargets/42275","microRNA 150")</f>
        <v>microRNA 150</v>
      </c>
    </row>
    <row r="1566" spans="1:11" ht="60" customHeight="1" x14ac:dyDescent="0.2">
      <c r="A1566" s="2">
        <v>1563</v>
      </c>
      <c r="B1566" s="3" t="str">
        <f t="shared" si="249"/>
        <v>miR-150-3p</v>
      </c>
      <c r="C1566" s="3" t="str">
        <f t="shared" si="250"/>
        <v>MIR150</v>
      </c>
      <c r="D1566" s="3" t="str">
        <f t="shared" si="251"/>
        <v>hsa-miR-150-3p</v>
      </c>
      <c r="E1566" s="2" t="s">
        <v>72</v>
      </c>
      <c r="F1566" s="3" t="str">
        <f t="shared" si="252"/>
        <v>Mature microRNA-150-3p</v>
      </c>
      <c r="G1566" s="4"/>
      <c r="H1566" s="3" t="str">
        <f>HYPERLINK("https://www.cortellis.com/drugdiscovery/entity/biomarkers/42746","4-microRNA cardiovascular panel")</f>
        <v>4-microRNA cardiovascular panel</v>
      </c>
      <c r="I1566" s="2" t="s">
        <v>25</v>
      </c>
      <c r="J1566" s="2" t="s">
        <v>19</v>
      </c>
      <c r="K1566" s="4" t="str">
        <f>HYPERLINK("https://www.cortellis.com/drugdiscovery/result/proxy/related-content/biomarkers/genestargets/42746","microRNA 150")</f>
        <v>microRNA 150</v>
      </c>
    </row>
    <row r="1567" spans="1:11" ht="60" customHeight="1" x14ac:dyDescent="0.2">
      <c r="A1567" s="2">
        <v>1564</v>
      </c>
      <c r="B1567" s="3" t="str">
        <f t="shared" si="249"/>
        <v>miR-150-3p</v>
      </c>
      <c r="C1567" s="3" t="str">
        <f t="shared" si="250"/>
        <v>MIR150</v>
      </c>
      <c r="D1567" s="3" t="str">
        <f t="shared" si="251"/>
        <v>hsa-miR-150-3p</v>
      </c>
      <c r="E1567" s="2" t="s">
        <v>72</v>
      </c>
      <c r="F1567" s="3" t="str">
        <f t="shared" si="252"/>
        <v>Mature microRNA-150-3p</v>
      </c>
      <c r="G1567" s="4"/>
      <c r="H1567" s="3" t="str">
        <f>HYPERLINK("https://www.cortellis.com/drugdiscovery/entity/biomarkers/42966","2-gene expression small cell lung cancer panel")</f>
        <v>2-gene expression small cell lung cancer panel</v>
      </c>
      <c r="I1567" s="2" t="s">
        <v>18</v>
      </c>
      <c r="J1567" s="2" t="s">
        <v>19</v>
      </c>
      <c r="K1567" s="4" t="str">
        <f>HYPERLINK("https://www.cortellis.com/drugdiscovery/result/proxy/related-content/biomarkers/genestargets/42966","microRNA 150")</f>
        <v>microRNA 150</v>
      </c>
    </row>
    <row r="1568" spans="1:11" ht="60" customHeight="1" x14ac:dyDescent="0.2">
      <c r="A1568" s="2">
        <v>1565</v>
      </c>
      <c r="B1568" s="3" t="str">
        <f t="shared" si="249"/>
        <v>miR-150-3p</v>
      </c>
      <c r="C1568" s="3" t="str">
        <f t="shared" si="250"/>
        <v>MIR150</v>
      </c>
      <c r="D1568" s="3" t="str">
        <f t="shared" si="251"/>
        <v>hsa-miR-150-3p</v>
      </c>
      <c r="E1568" s="2" t="s">
        <v>72</v>
      </c>
      <c r="F1568" s="3" t="str">
        <f t="shared" si="252"/>
        <v>Mature microRNA-150-3p</v>
      </c>
      <c r="G1568" s="4"/>
      <c r="H1568" s="3" t="str">
        <f>HYPERLINK("https://www.cortellis.com/drugdiscovery/entity/biomarkers/44455","2-microRNA lung cancer panel")</f>
        <v>2-microRNA lung cancer panel</v>
      </c>
      <c r="I1568" s="2" t="s">
        <v>18</v>
      </c>
      <c r="J1568" s="2" t="s">
        <v>19</v>
      </c>
      <c r="K1568" s="4" t="str">
        <f>HYPERLINK("https://www.cortellis.com/drugdiscovery/result/proxy/related-content/biomarkers/genestargets/44455","microRNA 150")</f>
        <v>microRNA 150</v>
      </c>
    </row>
    <row r="1569" spans="1:11" ht="60" customHeight="1" x14ac:dyDescent="0.2">
      <c r="A1569" s="2">
        <v>1566</v>
      </c>
      <c r="B1569" s="3" t="str">
        <f t="shared" si="249"/>
        <v>miR-150-3p</v>
      </c>
      <c r="C1569" s="3" t="str">
        <f t="shared" si="250"/>
        <v>MIR150</v>
      </c>
      <c r="D1569" s="3" t="str">
        <f t="shared" si="251"/>
        <v>hsa-miR-150-3p</v>
      </c>
      <c r="E1569" s="2" t="s">
        <v>72</v>
      </c>
      <c r="F1569" s="3" t="str">
        <f t="shared" si="252"/>
        <v>Mature microRNA-150-3p</v>
      </c>
      <c r="G1569" s="4"/>
      <c r="H1569" s="3" t="str">
        <f>HYPERLINK("https://www.cortellis.com/drugdiscovery/entity/biomarkers/45453","4-microRNA expression esophageal cancer panel")</f>
        <v>4-microRNA expression esophageal cancer panel</v>
      </c>
      <c r="I1569" s="2" t="s">
        <v>25</v>
      </c>
      <c r="J1569" s="2" t="s">
        <v>19</v>
      </c>
      <c r="K1569" s="4" t="str">
        <f>HYPERLINK("https://www.cortellis.com/drugdiscovery/result/proxy/related-content/biomarkers/genestargets/45453","microRNA 150")</f>
        <v>microRNA 150</v>
      </c>
    </row>
    <row r="1570" spans="1:11" ht="60" customHeight="1" x14ac:dyDescent="0.2">
      <c r="A1570" s="2">
        <v>1567</v>
      </c>
      <c r="B1570" s="3" t="str">
        <f t="shared" si="249"/>
        <v>miR-150-3p</v>
      </c>
      <c r="C1570" s="3" t="str">
        <f t="shared" si="250"/>
        <v>MIR150</v>
      </c>
      <c r="D1570" s="3" t="str">
        <f t="shared" si="251"/>
        <v>hsa-miR-150-3p</v>
      </c>
      <c r="E1570" s="2" t="s">
        <v>72</v>
      </c>
      <c r="F1570" s="3" t="str">
        <f t="shared" si="252"/>
        <v>Mature microRNA-150-3p</v>
      </c>
      <c r="G1570" s="4"/>
      <c r="H1570" s="3" t="str">
        <f>HYPERLINK("https://www.cortellis.com/drugdiscovery/entity/biomarkers/45566","microRNA 150-1")</f>
        <v>microRNA 150-1</v>
      </c>
      <c r="I1570" s="2" t="s">
        <v>85</v>
      </c>
      <c r="J1570" s="2" t="s">
        <v>19</v>
      </c>
      <c r="K1570" s="4" t="str">
        <f>HYPERLINK("https://www.cortellis.com/drugdiscovery/result/proxy/related-content/biomarkers/genestargets/45566","microRNA 150")</f>
        <v>microRNA 150</v>
      </c>
    </row>
    <row r="1571" spans="1:11" ht="60" customHeight="1" x14ac:dyDescent="0.2">
      <c r="A1571" s="2">
        <v>1568</v>
      </c>
      <c r="B1571" s="3" t="str">
        <f t="shared" si="249"/>
        <v>miR-150-3p</v>
      </c>
      <c r="C1571" s="3" t="str">
        <f t="shared" si="250"/>
        <v>MIR150</v>
      </c>
      <c r="D1571" s="3" t="str">
        <f t="shared" si="251"/>
        <v>hsa-miR-150-3p</v>
      </c>
      <c r="E1571" s="2" t="s">
        <v>72</v>
      </c>
      <c r="F1571" s="3" t="str">
        <f t="shared" si="252"/>
        <v>Mature microRNA-150-3p</v>
      </c>
      <c r="G1571" s="4"/>
      <c r="H1571" s="3" t="str">
        <f>HYPERLINK("https://www.cortellis.com/drugdiscovery/entity/biomarkers/47469","4-microRNA melanoma panel")</f>
        <v>4-microRNA melanoma panel</v>
      </c>
      <c r="I1571" s="2" t="s">
        <v>60</v>
      </c>
      <c r="J1571" s="2" t="s">
        <v>19</v>
      </c>
      <c r="K1571" s="4" t="str">
        <f>HYPERLINK("https://www.cortellis.com/drugdiscovery/result/proxy/related-content/biomarkers/genestargets/47469","microRNA 150")</f>
        <v>microRNA 150</v>
      </c>
    </row>
    <row r="1572" spans="1:11" ht="60" customHeight="1" x14ac:dyDescent="0.2">
      <c r="A1572" s="2">
        <v>1569</v>
      </c>
      <c r="B1572" s="3" t="str">
        <f t="shared" si="249"/>
        <v>miR-150-3p</v>
      </c>
      <c r="C1572" s="3" t="str">
        <f t="shared" si="250"/>
        <v>MIR150</v>
      </c>
      <c r="D1572" s="3" t="str">
        <f t="shared" si="251"/>
        <v>hsa-miR-150-3p</v>
      </c>
      <c r="E1572" s="2" t="s">
        <v>72</v>
      </c>
      <c r="F1572" s="3" t="str">
        <f t="shared" si="252"/>
        <v>Mature microRNA-150-3p</v>
      </c>
      <c r="G1572" s="4"/>
      <c r="H1572" s="3" t="str">
        <f>HYPERLINK("https://www.cortellis.com/drugdiscovery/entity/biomarkers/50455","6-microRNA expression chronic lymphocytic leukemia panel")</f>
        <v>6-microRNA expression chronic lymphocytic leukemia panel</v>
      </c>
      <c r="I1572" s="2" t="s">
        <v>23</v>
      </c>
      <c r="J1572" s="2" t="s">
        <v>19</v>
      </c>
      <c r="K1572" s="4" t="str">
        <f>HYPERLINK("https://www.cortellis.com/drugdiscovery/result/proxy/related-content/biomarkers/genestargets/50455","microRNA 150; microRNA 155; microRNA 223")</f>
        <v>microRNA 150; microRNA 155; microRNA 223</v>
      </c>
    </row>
    <row r="1573" spans="1:11" ht="60" customHeight="1" x14ac:dyDescent="0.2">
      <c r="A1573" s="2">
        <v>1570</v>
      </c>
      <c r="B1573" s="3" t="str">
        <f t="shared" si="249"/>
        <v>miR-150-3p</v>
      </c>
      <c r="C1573" s="3" t="str">
        <f t="shared" si="250"/>
        <v>MIR150</v>
      </c>
      <c r="D1573" s="3" t="str">
        <f t="shared" si="251"/>
        <v>hsa-miR-150-3p</v>
      </c>
      <c r="E1573" s="2" t="s">
        <v>72</v>
      </c>
      <c r="F1573" s="3" t="str">
        <f t="shared" si="252"/>
        <v>Mature microRNA-150-3p</v>
      </c>
      <c r="G1573" s="4"/>
      <c r="H1573" s="3" t="str">
        <f>HYPERLINK("https://www.cortellis.com/drugdiscovery/entity/biomarkers/57392","4-microRNA brain cancer panel")</f>
        <v>4-microRNA brain cancer panel</v>
      </c>
      <c r="I1573" s="2" t="s">
        <v>25</v>
      </c>
      <c r="J1573" s="2" t="s">
        <v>19</v>
      </c>
      <c r="K1573" s="4" t="str">
        <f>HYPERLINK("https://www.cortellis.com/drugdiscovery/result/proxy/related-content/biomarkers/genestargets/57392","microRNA 150")</f>
        <v>microRNA 150</v>
      </c>
    </row>
    <row r="1574" spans="1:11" ht="60" customHeight="1" x14ac:dyDescent="0.2">
      <c r="A1574" s="2">
        <v>1571</v>
      </c>
      <c r="B1574" s="3" t="str">
        <f t="shared" si="249"/>
        <v>miR-150-3p</v>
      </c>
      <c r="C1574" s="3" t="str">
        <f t="shared" si="250"/>
        <v>MIR150</v>
      </c>
      <c r="D1574" s="3" t="str">
        <f t="shared" si="251"/>
        <v>hsa-miR-150-3p</v>
      </c>
      <c r="E1574" s="2" t="s">
        <v>72</v>
      </c>
      <c r="F1574" s="3" t="str">
        <f t="shared" si="252"/>
        <v>Mature microRNA-150-3p</v>
      </c>
      <c r="G1574" s="4"/>
      <c r="H1574" s="3" t="str">
        <f>HYPERLINK("https://www.cortellis.com/drugdiscovery/entity/biomarkers/57434","16-microRNA colon cancer panel")</f>
        <v>16-microRNA colon cancer panel</v>
      </c>
      <c r="I1574" s="2" t="s">
        <v>41</v>
      </c>
      <c r="J1574" s="2" t="s">
        <v>19</v>
      </c>
      <c r="K1574" s="4" t="str">
        <f>HYPERLINK("https://www.cortellis.com/drugdiscovery/result/proxy/related-content/biomarkers/genestargets/57434","microRNA 146a; microRNA 150; microRNA 223")</f>
        <v>microRNA 146a; microRNA 150; microRNA 223</v>
      </c>
    </row>
    <row r="1575" spans="1:11" ht="60" customHeight="1" x14ac:dyDescent="0.2">
      <c r="A1575" s="2">
        <v>1572</v>
      </c>
      <c r="B1575" s="3" t="str">
        <f t="shared" si="249"/>
        <v>miR-150-3p</v>
      </c>
      <c r="C1575" s="3" t="str">
        <f t="shared" si="250"/>
        <v>MIR150</v>
      </c>
      <c r="D1575" s="3" t="str">
        <f t="shared" si="251"/>
        <v>hsa-miR-150-3p</v>
      </c>
      <c r="E1575" s="2" t="s">
        <v>72</v>
      </c>
      <c r="F1575" s="3" t="str">
        <f t="shared" si="252"/>
        <v>Mature microRNA-150-3p</v>
      </c>
      <c r="G1575" s="4"/>
      <c r="H1575" s="3" t="str">
        <f>HYPERLINK("https://www.cortellis.com/drugdiscovery/entity/biomarkers/57810","8-microRNA sarcoidosis panel")</f>
        <v>8-microRNA sarcoidosis panel</v>
      </c>
      <c r="I1575" s="2" t="s">
        <v>23</v>
      </c>
      <c r="J1575" s="2" t="s">
        <v>19</v>
      </c>
      <c r="K1575" s="4" t="str">
        <f>HYPERLINK("https://www.cortellis.com/drugdiscovery/result/proxy/related-content/biomarkers/genestargets/57810","microRNA 150")</f>
        <v>microRNA 150</v>
      </c>
    </row>
    <row r="1576" spans="1:11" ht="60" customHeight="1" x14ac:dyDescent="0.2">
      <c r="A1576" s="2">
        <v>1573</v>
      </c>
      <c r="B1576" s="3" t="str">
        <f t="shared" si="249"/>
        <v>miR-150-3p</v>
      </c>
      <c r="C1576" s="3" t="str">
        <f t="shared" si="250"/>
        <v>MIR150</v>
      </c>
      <c r="D1576" s="3" t="str">
        <f t="shared" si="251"/>
        <v>hsa-miR-150-3p</v>
      </c>
      <c r="E1576" s="2" t="s">
        <v>72</v>
      </c>
      <c r="F1576" s="3" t="str">
        <f t="shared" si="252"/>
        <v>Mature microRNA-150-3p</v>
      </c>
      <c r="G1576" s="4"/>
      <c r="H1576" s="3" t="str">
        <f>HYPERLINK("https://www.cortellis.com/drugdiscovery/entity/biomarkers/58959","6-microRNA ankylosing spondylitis panel")</f>
        <v>6-microRNA ankylosing spondylitis panel</v>
      </c>
      <c r="I1576" s="2" t="s">
        <v>23</v>
      </c>
      <c r="J1576" s="2" t="s">
        <v>19</v>
      </c>
      <c r="K1576" s="4" t="str">
        <f>HYPERLINK("https://www.cortellis.com/drugdiscovery/result/proxy/related-content/biomarkers/genestargets/58959","microRNA 146a; microRNA 150")</f>
        <v>microRNA 146a; microRNA 150</v>
      </c>
    </row>
    <row r="1577" spans="1:11" ht="60" customHeight="1" x14ac:dyDescent="0.2">
      <c r="A1577" s="2">
        <v>1574</v>
      </c>
      <c r="B1577" s="3" t="str">
        <f t="shared" si="249"/>
        <v>miR-150-3p</v>
      </c>
      <c r="C1577" s="3" t="str">
        <f t="shared" si="250"/>
        <v>MIR150</v>
      </c>
      <c r="D1577" s="3" t="str">
        <f t="shared" si="251"/>
        <v>hsa-miR-150-3p</v>
      </c>
      <c r="E1577" s="2" t="s">
        <v>72</v>
      </c>
      <c r="F1577" s="3" t="str">
        <f t="shared" si="252"/>
        <v>Mature microRNA-150-3p</v>
      </c>
      <c r="G1577" s="4"/>
      <c r="H1577" s="3" t="str">
        <f>HYPERLINK("https://www.cortellis.com/drugdiscovery/entity/biomarkers/60067","14-microRNA ovarian cancer panel")</f>
        <v>14-microRNA ovarian cancer panel</v>
      </c>
      <c r="I1577" s="2" t="s">
        <v>23</v>
      </c>
      <c r="J1577" s="2" t="s">
        <v>19</v>
      </c>
      <c r="K1577" s="4" t="str">
        <f>HYPERLINK("https://www.cortellis.com/drugdiscovery/result/proxy/related-content/biomarkers/genestargets/60067","microRNA 150")</f>
        <v>microRNA 150</v>
      </c>
    </row>
    <row r="1578" spans="1:11" ht="60" customHeight="1" x14ac:dyDescent="0.2">
      <c r="A1578" s="2">
        <v>1575</v>
      </c>
      <c r="B1578" s="3" t="str">
        <f t="shared" ref="B1578:B1598" si="253">HYPERLINK("https://portal.genego.com/cgi/entity_page.cgi?term=100&amp;id=-2054564008","miR-150-5p")</f>
        <v>miR-150-5p</v>
      </c>
      <c r="C1578" s="3" t="str">
        <f t="shared" si="250"/>
        <v>MIR150</v>
      </c>
      <c r="D1578" s="3" t="str">
        <f t="shared" ref="D1578:D1598" si="254">HYPERLINK("https://portal.genego.com/cgi/entity_page.cgi?term=7&amp;id=-873970484","hsa-miR-150-5p")</f>
        <v>hsa-miR-150-5p</v>
      </c>
      <c r="E1578" s="2" t="s">
        <v>72</v>
      </c>
      <c r="F1578" s="3" t="str">
        <f t="shared" ref="F1578:F1598" si="255">HYPERLINK("https://portal.genego.com/cgi/entity_page.cgi?term=100&amp;id=-2054564008","Mature microRNA-150-5p")</f>
        <v>Mature microRNA-150-5p</v>
      </c>
      <c r="G1578" s="4"/>
      <c r="H1578" s="3" t="str">
        <f>HYPERLINK("https://www.cortellis.com/drugdiscovery/entity/biomarkers/3184","microRNA 150")</f>
        <v>microRNA 150</v>
      </c>
      <c r="I1578" s="2" t="s">
        <v>43</v>
      </c>
      <c r="J1578" s="2" t="s">
        <v>19</v>
      </c>
      <c r="K1578" s="4" t="str">
        <f>HYPERLINK("https://www.cortellis.com/drugdiscovery/result/proxy/related-content/biomarkers/genestargets/3184","microRNA 150")</f>
        <v>microRNA 150</v>
      </c>
    </row>
    <row r="1579" spans="1:11" ht="60" customHeight="1" x14ac:dyDescent="0.2">
      <c r="A1579" s="2">
        <v>1576</v>
      </c>
      <c r="B1579" s="3" t="str">
        <f t="shared" si="253"/>
        <v>miR-150-5p</v>
      </c>
      <c r="C1579" s="3" t="str">
        <f t="shared" si="250"/>
        <v>MIR150</v>
      </c>
      <c r="D1579" s="3" t="str">
        <f t="shared" si="254"/>
        <v>hsa-miR-150-5p</v>
      </c>
      <c r="E1579" s="2" t="s">
        <v>72</v>
      </c>
      <c r="F1579" s="3" t="str">
        <f t="shared" si="255"/>
        <v>Mature microRNA-150-5p</v>
      </c>
      <c r="G1579" s="4"/>
      <c r="H1579" s="3" t="str">
        <f>HYPERLINK("https://www.cortellis.com/drugdiscovery/entity/biomarkers/27395","13-microRNA liver cancer panel")</f>
        <v>13-microRNA liver cancer panel</v>
      </c>
      <c r="I1579" s="2" t="s">
        <v>52</v>
      </c>
      <c r="J1579" s="2" t="s">
        <v>19</v>
      </c>
      <c r="K1579" s="4" t="str">
        <f>HYPERLINK("https://www.cortellis.com/drugdiscovery/result/proxy/related-content/biomarkers/genestargets/27395","microRNA 150; microRNA 223")</f>
        <v>microRNA 150; microRNA 223</v>
      </c>
    </row>
    <row r="1580" spans="1:11" ht="60" customHeight="1" x14ac:dyDescent="0.2">
      <c r="A1580" s="2">
        <v>1577</v>
      </c>
      <c r="B1580" s="3" t="str">
        <f t="shared" si="253"/>
        <v>miR-150-5p</v>
      </c>
      <c r="C1580" s="3" t="str">
        <f t="shared" si="250"/>
        <v>MIR150</v>
      </c>
      <c r="D1580" s="3" t="str">
        <f t="shared" si="254"/>
        <v>hsa-miR-150-5p</v>
      </c>
      <c r="E1580" s="2" t="s">
        <v>72</v>
      </c>
      <c r="F1580" s="3" t="str">
        <f t="shared" si="255"/>
        <v>Mature microRNA-150-5p</v>
      </c>
      <c r="G1580" s="4"/>
      <c r="H1580" s="3" t="str">
        <f>HYPERLINK("https://www.cortellis.com/drugdiscovery/entity/biomarkers/28051","15-microRNA neuroblastoma panel")</f>
        <v>15-microRNA neuroblastoma panel</v>
      </c>
      <c r="I1580" s="2" t="s">
        <v>25</v>
      </c>
      <c r="J1580" s="2" t="s">
        <v>19</v>
      </c>
      <c r="K1580" s="4" t="str">
        <f>HYPERLINK("https://www.cortellis.com/drugdiscovery/result/proxy/related-content/biomarkers/genestargets/28051","microRNA 150")</f>
        <v>microRNA 150</v>
      </c>
    </row>
    <row r="1581" spans="1:11" ht="60" customHeight="1" x14ac:dyDescent="0.2">
      <c r="A1581" s="2">
        <v>1578</v>
      </c>
      <c r="B1581" s="3" t="str">
        <f t="shared" si="253"/>
        <v>miR-150-5p</v>
      </c>
      <c r="C1581" s="3" t="str">
        <f t="shared" si="250"/>
        <v>MIR150</v>
      </c>
      <c r="D1581" s="3" t="str">
        <f t="shared" si="254"/>
        <v>hsa-miR-150-5p</v>
      </c>
      <c r="E1581" s="2" t="s">
        <v>72</v>
      </c>
      <c r="F1581" s="3" t="str">
        <f t="shared" si="255"/>
        <v>Mature microRNA-150-5p</v>
      </c>
      <c r="G1581" s="4"/>
      <c r="H1581" s="3" t="str">
        <f>HYPERLINK("https://www.cortellis.com/drugdiscovery/entity/biomarkers/28064","6-microRNA melanoma panel")</f>
        <v>6-microRNA melanoma panel</v>
      </c>
      <c r="I1581" s="2" t="s">
        <v>25</v>
      </c>
      <c r="J1581" s="2" t="s">
        <v>19</v>
      </c>
      <c r="K1581" s="4" t="str">
        <f>HYPERLINK("https://www.cortellis.com/drugdiscovery/result/proxy/related-content/biomarkers/genestargets/28064","microRNA 150; microRNA 155")</f>
        <v>microRNA 150; microRNA 155</v>
      </c>
    </row>
    <row r="1582" spans="1:11" ht="60" customHeight="1" x14ac:dyDescent="0.2">
      <c r="A1582" s="2">
        <v>1579</v>
      </c>
      <c r="B1582" s="3" t="str">
        <f t="shared" si="253"/>
        <v>miR-150-5p</v>
      </c>
      <c r="C1582" s="3" t="str">
        <f t="shared" si="250"/>
        <v>MIR150</v>
      </c>
      <c r="D1582" s="3" t="str">
        <f t="shared" si="254"/>
        <v>hsa-miR-150-5p</v>
      </c>
      <c r="E1582" s="2" t="s">
        <v>72</v>
      </c>
      <c r="F1582" s="3" t="str">
        <f t="shared" si="255"/>
        <v>Mature microRNA-150-5p</v>
      </c>
      <c r="G1582" s="4"/>
      <c r="H1582" s="3" t="str">
        <f>HYPERLINK("https://www.cortellis.com/drugdiscovery/entity/biomarkers/31074","24-microRNA melanoma panel")</f>
        <v>24-microRNA melanoma panel</v>
      </c>
      <c r="I1582" s="2" t="s">
        <v>27</v>
      </c>
      <c r="J1582" s="2" t="s">
        <v>19</v>
      </c>
      <c r="K1582" s="4" t="str">
        <f>HYPERLINK("https://www.cortellis.com/drugdiscovery/result/proxy/related-content/biomarkers/genestargets/31074","microRNA 150; microRNA 155")</f>
        <v>microRNA 150; microRNA 155</v>
      </c>
    </row>
    <row r="1583" spans="1:11" ht="60" customHeight="1" x14ac:dyDescent="0.2">
      <c r="A1583" s="2">
        <v>1580</v>
      </c>
      <c r="B1583" s="3" t="str">
        <f t="shared" si="253"/>
        <v>miR-150-5p</v>
      </c>
      <c r="C1583" s="3" t="str">
        <f t="shared" si="250"/>
        <v>MIR150</v>
      </c>
      <c r="D1583" s="3" t="str">
        <f t="shared" si="254"/>
        <v>hsa-miR-150-5p</v>
      </c>
      <c r="E1583" s="2" t="s">
        <v>72</v>
      </c>
      <c r="F1583" s="3" t="str">
        <f t="shared" si="255"/>
        <v>Mature microRNA-150-5p</v>
      </c>
      <c r="G1583" s="4"/>
      <c r="H1583" s="3" t="str">
        <f>HYPERLINK("https://www.cortellis.com/drugdiscovery/entity/biomarkers/31077","31-microRNA melanoma panel")</f>
        <v>31-microRNA melanoma panel</v>
      </c>
      <c r="I1583" s="2" t="s">
        <v>18</v>
      </c>
      <c r="J1583" s="2" t="s">
        <v>19</v>
      </c>
      <c r="K1583" s="4" t="str">
        <f>HYPERLINK("https://www.cortellis.com/drugdiscovery/result/proxy/related-content/biomarkers/genestargets/31077","microRNA 150")</f>
        <v>microRNA 150</v>
      </c>
    </row>
    <row r="1584" spans="1:11" ht="60" customHeight="1" x14ac:dyDescent="0.2">
      <c r="A1584" s="2">
        <v>1581</v>
      </c>
      <c r="B1584" s="3" t="str">
        <f t="shared" si="253"/>
        <v>miR-150-5p</v>
      </c>
      <c r="C1584" s="3" t="str">
        <f t="shared" si="250"/>
        <v>MIR150</v>
      </c>
      <c r="D1584" s="3" t="str">
        <f t="shared" si="254"/>
        <v>hsa-miR-150-5p</v>
      </c>
      <c r="E1584" s="2" t="s">
        <v>72</v>
      </c>
      <c r="F1584" s="3" t="str">
        <f t="shared" si="255"/>
        <v>Mature microRNA-150-5p</v>
      </c>
      <c r="G1584" s="4"/>
      <c r="H1584" s="3" t="str">
        <f>HYPERLINK("https://www.cortellis.com/drugdiscovery/entity/biomarkers/40224","8-microRNA breast cancer panel")</f>
        <v>8-microRNA breast cancer panel</v>
      </c>
      <c r="I1584" s="2" t="s">
        <v>18</v>
      </c>
      <c r="J1584" s="2" t="s">
        <v>19</v>
      </c>
      <c r="K1584" s="4" t="str">
        <f>HYPERLINK("https://www.cortellis.com/drugdiscovery/result/proxy/related-content/biomarkers/genestargets/40224","microRNA 150")</f>
        <v>microRNA 150</v>
      </c>
    </row>
    <row r="1585" spans="1:11" ht="60" customHeight="1" x14ac:dyDescent="0.2">
      <c r="A1585" s="2">
        <v>1582</v>
      </c>
      <c r="B1585" s="3" t="str">
        <f t="shared" si="253"/>
        <v>miR-150-5p</v>
      </c>
      <c r="C1585" s="3" t="str">
        <f t="shared" si="250"/>
        <v>MIR150</v>
      </c>
      <c r="D1585" s="3" t="str">
        <f t="shared" si="254"/>
        <v>hsa-miR-150-5p</v>
      </c>
      <c r="E1585" s="2" t="s">
        <v>72</v>
      </c>
      <c r="F1585" s="3" t="str">
        <f t="shared" si="255"/>
        <v>Mature microRNA-150-5p</v>
      </c>
      <c r="G1585" s="4"/>
      <c r="H1585" s="3" t="str">
        <f>HYPERLINK("https://www.cortellis.com/drugdiscovery/entity/biomarkers/41022","microRNA 150-5p")</f>
        <v>microRNA 150-5p</v>
      </c>
      <c r="I1585" s="2" t="s">
        <v>80</v>
      </c>
      <c r="J1585" s="2" t="s">
        <v>19</v>
      </c>
      <c r="K1585" s="4" t="str">
        <f>HYPERLINK("https://www.cortellis.com/drugdiscovery/result/proxy/related-content/biomarkers/genestargets/41022","microRNA 150")</f>
        <v>microRNA 150</v>
      </c>
    </row>
    <row r="1586" spans="1:11" ht="60" customHeight="1" x14ac:dyDescent="0.2">
      <c r="A1586" s="2">
        <v>1583</v>
      </c>
      <c r="B1586" s="3" t="str">
        <f t="shared" si="253"/>
        <v>miR-150-5p</v>
      </c>
      <c r="C1586" s="3" t="str">
        <f t="shared" si="250"/>
        <v>MIR150</v>
      </c>
      <c r="D1586" s="3" t="str">
        <f t="shared" si="254"/>
        <v>hsa-miR-150-5p</v>
      </c>
      <c r="E1586" s="2" t="s">
        <v>72</v>
      </c>
      <c r="F1586" s="3" t="str">
        <f t="shared" si="255"/>
        <v>Mature microRNA-150-5p</v>
      </c>
      <c r="G1586" s="4"/>
      <c r="H1586" s="3" t="str">
        <f>HYPERLINK("https://www.cortellis.com/drugdiscovery/entity/biomarkers/42275","microRNA 150-3p")</f>
        <v>microRNA 150-3p</v>
      </c>
      <c r="I1586" s="2" t="s">
        <v>80</v>
      </c>
      <c r="J1586" s="2" t="s">
        <v>19</v>
      </c>
      <c r="K1586" s="4" t="str">
        <f>HYPERLINK("https://www.cortellis.com/drugdiscovery/result/proxy/related-content/biomarkers/genestargets/42275","microRNA 150")</f>
        <v>microRNA 150</v>
      </c>
    </row>
    <row r="1587" spans="1:11" ht="60" customHeight="1" x14ac:dyDescent="0.2">
      <c r="A1587" s="2">
        <v>1584</v>
      </c>
      <c r="B1587" s="3" t="str">
        <f t="shared" si="253"/>
        <v>miR-150-5p</v>
      </c>
      <c r="C1587" s="3" t="str">
        <f t="shared" si="250"/>
        <v>MIR150</v>
      </c>
      <c r="D1587" s="3" t="str">
        <f t="shared" si="254"/>
        <v>hsa-miR-150-5p</v>
      </c>
      <c r="E1587" s="2" t="s">
        <v>72</v>
      </c>
      <c r="F1587" s="3" t="str">
        <f t="shared" si="255"/>
        <v>Mature microRNA-150-5p</v>
      </c>
      <c r="G1587" s="4"/>
      <c r="H1587" s="3" t="str">
        <f>HYPERLINK("https://www.cortellis.com/drugdiscovery/entity/biomarkers/42746","4-microRNA cardiovascular panel")</f>
        <v>4-microRNA cardiovascular panel</v>
      </c>
      <c r="I1587" s="2" t="s">
        <v>25</v>
      </c>
      <c r="J1587" s="2" t="s">
        <v>19</v>
      </c>
      <c r="K1587" s="4" t="str">
        <f>HYPERLINK("https://www.cortellis.com/drugdiscovery/result/proxy/related-content/biomarkers/genestargets/42746","microRNA 150")</f>
        <v>microRNA 150</v>
      </c>
    </row>
    <row r="1588" spans="1:11" ht="60" customHeight="1" x14ac:dyDescent="0.2">
      <c r="A1588" s="2">
        <v>1585</v>
      </c>
      <c r="B1588" s="3" t="str">
        <f t="shared" si="253"/>
        <v>miR-150-5p</v>
      </c>
      <c r="C1588" s="3" t="str">
        <f t="shared" si="250"/>
        <v>MIR150</v>
      </c>
      <c r="D1588" s="3" t="str">
        <f t="shared" si="254"/>
        <v>hsa-miR-150-5p</v>
      </c>
      <c r="E1588" s="2" t="s">
        <v>72</v>
      </c>
      <c r="F1588" s="3" t="str">
        <f t="shared" si="255"/>
        <v>Mature microRNA-150-5p</v>
      </c>
      <c r="G1588" s="4"/>
      <c r="H1588" s="3" t="str">
        <f>HYPERLINK("https://www.cortellis.com/drugdiscovery/entity/biomarkers/42966","2-gene expression small cell lung cancer panel")</f>
        <v>2-gene expression small cell lung cancer panel</v>
      </c>
      <c r="I1588" s="2" t="s">
        <v>18</v>
      </c>
      <c r="J1588" s="2" t="s">
        <v>19</v>
      </c>
      <c r="K1588" s="4" t="str">
        <f>HYPERLINK("https://www.cortellis.com/drugdiscovery/result/proxy/related-content/biomarkers/genestargets/42966","microRNA 150")</f>
        <v>microRNA 150</v>
      </c>
    </row>
    <row r="1589" spans="1:11" ht="60" customHeight="1" x14ac:dyDescent="0.2">
      <c r="A1589" s="2">
        <v>1586</v>
      </c>
      <c r="B1589" s="3" t="str">
        <f t="shared" si="253"/>
        <v>miR-150-5p</v>
      </c>
      <c r="C1589" s="3" t="str">
        <f t="shared" si="250"/>
        <v>MIR150</v>
      </c>
      <c r="D1589" s="3" t="str">
        <f t="shared" si="254"/>
        <v>hsa-miR-150-5p</v>
      </c>
      <c r="E1589" s="2" t="s">
        <v>72</v>
      </c>
      <c r="F1589" s="3" t="str">
        <f t="shared" si="255"/>
        <v>Mature microRNA-150-5p</v>
      </c>
      <c r="G1589" s="4"/>
      <c r="H1589" s="3" t="str">
        <f>HYPERLINK("https://www.cortellis.com/drugdiscovery/entity/biomarkers/44455","2-microRNA lung cancer panel")</f>
        <v>2-microRNA lung cancer panel</v>
      </c>
      <c r="I1589" s="2" t="s">
        <v>18</v>
      </c>
      <c r="J1589" s="2" t="s">
        <v>19</v>
      </c>
      <c r="K1589" s="4" t="str">
        <f>HYPERLINK("https://www.cortellis.com/drugdiscovery/result/proxy/related-content/biomarkers/genestargets/44455","microRNA 150")</f>
        <v>microRNA 150</v>
      </c>
    </row>
    <row r="1590" spans="1:11" ht="60" customHeight="1" x14ac:dyDescent="0.2">
      <c r="A1590" s="2">
        <v>1587</v>
      </c>
      <c r="B1590" s="3" t="str">
        <f t="shared" si="253"/>
        <v>miR-150-5p</v>
      </c>
      <c r="C1590" s="3" t="str">
        <f t="shared" si="250"/>
        <v>MIR150</v>
      </c>
      <c r="D1590" s="3" t="str">
        <f t="shared" si="254"/>
        <v>hsa-miR-150-5p</v>
      </c>
      <c r="E1590" s="2" t="s">
        <v>72</v>
      </c>
      <c r="F1590" s="3" t="str">
        <f t="shared" si="255"/>
        <v>Mature microRNA-150-5p</v>
      </c>
      <c r="G1590" s="4"/>
      <c r="H1590" s="3" t="str">
        <f>HYPERLINK("https://www.cortellis.com/drugdiscovery/entity/biomarkers/45453","4-microRNA expression esophageal cancer panel")</f>
        <v>4-microRNA expression esophageal cancer panel</v>
      </c>
      <c r="I1590" s="2" t="s">
        <v>25</v>
      </c>
      <c r="J1590" s="2" t="s">
        <v>19</v>
      </c>
      <c r="K1590" s="4" t="str">
        <f>HYPERLINK("https://www.cortellis.com/drugdiscovery/result/proxy/related-content/biomarkers/genestargets/45453","microRNA 150")</f>
        <v>microRNA 150</v>
      </c>
    </row>
    <row r="1591" spans="1:11" ht="60" customHeight="1" x14ac:dyDescent="0.2">
      <c r="A1591" s="2">
        <v>1588</v>
      </c>
      <c r="B1591" s="3" t="str">
        <f t="shared" si="253"/>
        <v>miR-150-5p</v>
      </c>
      <c r="C1591" s="3" t="str">
        <f t="shared" si="250"/>
        <v>MIR150</v>
      </c>
      <c r="D1591" s="3" t="str">
        <f t="shared" si="254"/>
        <v>hsa-miR-150-5p</v>
      </c>
      <c r="E1591" s="2" t="s">
        <v>72</v>
      </c>
      <c r="F1591" s="3" t="str">
        <f t="shared" si="255"/>
        <v>Mature microRNA-150-5p</v>
      </c>
      <c r="G1591" s="4"/>
      <c r="H1591" s="3" t="str">
        <f>HYPERLINK("https://www.cortellis.com/drugdiscovery/entity/biomarkers/45566","microRNA 150-1")</f>
        <v>microRNA 150-1</v>
      </c>
      <c r="I1591" s="2" t="s">
        <v>85</v>
      </c>
      <c r="J1591" s="2" t="s">
        <v>19</v>
      </c>
      <c r="K1591" s="4" t="str">
        <f>HYPERLINK("https://www.cortellis.com/drugdiscovery/result/proxy/related-content/biomarkers/genestargets/45566","microRNA 150")</f>
        <v>microRNA 150</v>
      </c>
    </row>
    <row r="1592" spans="1:11" ht="60" customHeight="1" x14ac:dyDescent="0.2">
      <c r="A1592" s="2">
        <v>1589</v>
      </c>
      <c r="B1592" s="3" t="str">
        <f t="shared" si="253"/>
        <v>miR-150-5p</v>
      </c>
      <c r="C1592" s="3" t="str">
        <f t="shared" si="250"/>
        <v>MIR150</v>
      </c>
      <c r="D1592" s="3" t="str">
        <f t="shared" si="254"/>
        <v>hsa-miR-150-5p</v>
      </c>
      <c r="E1592" s="2" t="s">
        <v>72</v>
      </c>
      <c r="F1592" s="3" t="str">
        <f t="shared" si="255"/>
        <v>Mature microRNA-150-5p</v>
      </c>
      <c r="G1592" s="4"/>
      <c r="H1592" s="3" t="str">
        <f>HYPERLINK("https://www.cortellis.com/drugdiscovery/entity/biomarkers/47469","4-microRNA melanoma panel")</f>
        <v>4-microRNA melanoma panel</v>
      </c>
      <c r="I1592" s="2" t="s">
        <v>60</v>
      </c>
      <c r="J1592" s="2" t="s">
        <v>19</v>
      </c>
      <c r="K1592" s="4" t="str">
        <f>HYPERLINK("https://www.cortellis.com/drugdiscovery/result/proxy/related-content/biomarkers/genestargets/47469","microRNA 150")</f>
        <v>microRNA 150</v>
      </c>
    </row>
    <row r="1593" spans="1:11" ht="60" customHeight="1" x14ac:dyDescent="0.2">
      <c r="A1593" s="2">
        <v>1590</v>
      </c>
      <c r="B1593" s="3" t="str">
        <f t="shared" si="253"/>
        <v>miR-150-5p</v>
      </c>
      <c r="C1593" s="3" t="str">
        <f t="shared" si="250"/>
        <v>MIR150</v>
      </c>
      <c r="D1593" s="3" t="str">
        <f t="shared" si="254"/>
        <v>hsa-miR-150-5p</v>
      </c>
      <c r="E1593" s="2" t="s">
        <v>72</v>
      </c>
      <c r="F1593" s="3" t="str">
        <f t="shared" si="255"/>
        <v>Mature microRNA-150-5p</v>
      </c>
      <c r="G1593" s="4"/>
      <c r="H1593" s="3" t="str">
        <f>HYPERLINK("https://www.cortellis.com/drugdiscovery/entity/biomarkers/50455","6-microRNA expression chronic lymphocytic leukemia panel")</f>
        <v>6-microRNA expression chronic lymphocytic leukemia panel</v>
      </c>
      <c r="I1593" s="2" t="s">
        <v>23</v>
      </c>
      <c r="J1593" s="2" t="s">
        <v>19</v>
      </c>
      <c r="K1593" s="4" t="str">
        <f>HYPERLINK("https://www.cortellis.com/drugdiscovery/result/proxy/related-content/biomarkers/genestargets/50455","microRNA 150; microRNA 155; microRNA 223")</f>
        <v>microRNA 150; microRNA 155; microRNA 223</v>
      </c>
    </row>
    <row r="1594" spans="1:11" ht="60" customHeight="1" x14ac:dyDescent="0.2">
      <c r="A1594" s="2">
        <v>1591</v>
      </c>
      <c r="B1594" s="3" t="str">
        <f t="shared" si="253"/>
        <v>miR-150-5p</v>
      </c>
      <c r="C1594" s="3" t="str">
        <f t="shared" si="250"/>
        <v>MIR150</v>
      </c>
      <c r="D1594" s="3" t="str">
        <f t="shared" si="254"/>
        <v>hsa-miR-150-5p</v>
      </c>
      <c r="E1594" s="2" t="s">
        <v>72</v>
      </c>
      <c r="F1594" s="3" t="str">
        <f t="shared" si="255"/>
        <v>Mature microRNA-150-5p</v>
      </c>
      <c r="G1594" s="4"/>
      <c r="H1594" s="3" t="str">
        <f>HYPERLINK("https://www.cortellis.com/drugdiscovery/entity/biomarkers/57392","4-microRNA brain cancer panel")</f>
        <v>4-microRNA brain cancer panel</v>
      </c>
      <c r="I1594" s="2" t="s">
        <v>25</v>
      </c>
      <c r="J1594" s="2" t="s">
        <v>19</v>
      </c>
      <c r="K1594" s="4" t="str">
        <f>HYPERLINK("https://www.cortellis.com/drugdiscovery/result/proxy/related-content/biomarkers/genestargets/57392","microRNA 150")</f>
        <v>microRNA 150</v>
      </c>
    </row>
    <row r="1595" spans="1:11" ht="60" customHeight="1" x14ac:dyDescent="0.2">
      <c r="A1595" s="2">
        <v>1592</v>
      </c>
      <c r="B1595" s="3" t="str">
        <f t="shared" si="253"/>
        <v>miR-150-5p</v>
      </c>
      <c r="C1595" s="3" t="str">
        <f t="shared" si="250"/>
        <v>MIR150</v>
      </c>
      <c r="D1595" s="3" t="str">
        <f t="shared" si="254"/>
        <v>hsa-miR-150-5p</v>
      </c>
      <c r="E1595" s="2" t="s">
        <v>72</v>
      </c>
      <c r="F1595" s="3" t="str">
        <f t="shared" si="255"/>
        <v>Mature microRNA-150-5p</v>
      </c>
      <c r="G1595" s="4"/>
      <c r="H1595" s="3" t="str">
        <f>HYPERLINK("https://www.cortellis.com/drugdiscovery/entity/biomarkers/57434","16-microRNA colon cancer panel")</f>
        <v>16-microRNA colon cancer panel</v>
      </c>
      <c r="I1595" s="2" t="s">
        <v>41</v>
      </c>
      <c r="J1595" s="2" t="s">
        <v>19</v>
      </c>
      <c r="K1595" s="4" t="str">
        <f>HYPERLINK("https://www.cortellis.com/drugdiscovery/result/proxy/related-content/biomarkers/genestargets/57434","microRNA 146a; microRNA 150; microRNA 223")</f>
        <v>microRNA 146a; microRNA 150; microRNA 223</v>
      </c>
    </row>
    <row r="1596" spans="1:11" ht="60" customHeight="1" x14ac:dyDescent="0.2">
      <c r="A1596" s="2">
        <v>1593</v>
      </c>
      <c r="B1596" s="3" t="str">
        <f t="shared" si="253"/>
        <v>miR-150-5p</v>
      </c>
      <c r="C1596" s="3" t="str">
        <f t="shared" si="250"/>
        <v>MIR150</v>
      </c>
      <c r="D1596" s="3" t="str">
        <f t="shared" si="254"/>
        <v>hsa-miR-150-5p</v>
      </c>
      <c r="E1596" s="2" t="s">
        <v>72</v>
      </c>
      <c r="F1596" s="3" t="str">
        <f t="shared" si="255"/>
        <v>Mature microRNA-150-5p</v>
      </c>
      <c r="G1596" s="4"/>
      <c r="H1596" s="3" t="str">
        <f>HYPERLINK("https://www.cortellis.com/drugdiscovery/entity/biomarkers/57810","8-microRNA sarcoidosis panel")</f>
        <v>8-microRNA sarcoidosis panel</v>
      </c>
      <c r="I1596" s="2" t="s">
        <v>23</v>
      </c>
      <c r="J1596" s="2" t="s">
        <v>19</v>
      </c>
      <c r="K1596" s="4" t="str">
        <f>HYPERLINK("https://www.cortellis.com/drugdiscovery/result/proxy/related-content/biomarkers/genestargets/57810","microRNA 150")</f>
        <v>microRNA 150</v>
      </c>
    </row>
    <row r="1597" spans="1:11" ht="60" customHeight="1" x14ac:dyDescent="0.2">
      <c r="A1597" s="2">
        <v>1594</v>
      </c>
      <c r="B1597" s="3" t="str">
        <f t="shared" si="253"/>
        <v>miR-150-5p</v>
      </c>
      <c r="C1597" s="3" t="str">
        <f t="shared" si="250"/>
        <v>MIR150</v>
      </c>
      <c r="D1597" s="3" t="str">
        <f t="shared" si="254"/>
        <v>hsa-miR-150-5p</v>
      </c>
      <c r="E1597" s="2" t="s">
        <v>72</v>
      </c>
      <c r="F1597" s="3" t="str">
        <f t="shared" si="255"/>
        <v>Mature microRNA-150-5p</v>
      </c>
      <c r="G1597" s="4"/>
      <c r="H1597" s="3" t="str">
        <f>HYPERLINK("https://www.cortellis.com/drugdiscovery/entity/biomarkers/58959","6-microRNA ankylosing spondylitis panel")</f>
        <v>6-microRNA ankylosing spondylitis panel</v>
      </c>
      <c r="I1597" s="2" t="s">
        <v>23</v>
      </c>
      <c r="J1597" s="2" t="s">
        <v>19</v>
      </c>
      <c r="K1597" s="4" t="str">
        <f>HYPERLINK("https://www.cortellis.com/drugdiscovery/result/proxy/related-content/biomarkers/genestargets/58959","microRNA 146a; microRNA 150")</f>
        <v>microRNA 146a; microRNA 150</v>
      </c>
    </row>
    <row r="1598" spans="1:11" ht="60" customHeight="1" x14ac:dyDescent="0.2">
      <c r="A1598" s="2">
        <v>1595</v>
      </c>
      <c r="B1598" s="3" t="str">
        <f t="shared" si="253"/>
        <v>miR-150-5p</v>
      </c>
      <c r="C1598" s="3" t="str">
        <f t="shared" si="250"/>
        <v>MIR150</v>
      </c>
      <c r="D1598" s="3" t="str">
        <f t="shared" si="254"/>
        <v>hsa-miR-150-5p</v>
      </c>
      <c r="E1598" s="2" t="s">
        <v>72</v>
      </c>
      <c r="F1598" s="3" t="str">
        <f t="shared" si="255"/>
        <v>Mature microRNA-150-5p</v>
      </c>
      <c r="G1598" s="4"/>
      <c r="H1598" s="3" t="str">
        <f>HYPERLINK("https://www.cortellis.com/drugdiscovery/entity/biomarkers/60067","14-microRNA ovarian cancer panel")</f>
        <v>14-microRNA ovarian cancer panel</v>
      </c>
      <c r="I1598" s="2" t="s">
        <v>23</v>
      </c>
      <c r="J1598" s="2" t="s">
        <v>19</v>
      </c>
      <c r="K1598" s="4" t="str">
        <f>HYPERLINK("https://www.cortellis.com/drugdiscovery/result/proxy/related-content/biomarkers/genestargets/60067","microRNA 150")</f>
        <v>microRNA 150</v>
      </c>
    </row>
    <row r="1599" spans="1:11" ht="60" customHeight="1" x14ac:dyDescent="0.2">
      <c r="A1599" s="2">
        <v>1596</v>
      </c>
      <c r="B1599" s="3" t="str">
        <f t="shared" ref="B1599:B1618" si="256">HYPERLINK("https://portal.genego.com/cgi/entity_page.cgi?term=100&amp;id=-1608567613","miR-155-3p")</f>
        <v>miR-155-3p</v>
      </c>
      <c r="C1599" s="3" t="str">
        <f t="shared" ref="C1599:C1638" si="257">HYPERLINK("https://portal.genego.com/cgi/entity_page.cgi?term=20&amp;id=-1748557536","MIR155")</f>
        <v>MIR155</v>
      </c>
      <c r="D1599" s="3" t="str">
        <f t="shared" ref="D1599:D1618" si="258">HYPERLINK("https://portal.genego.com/cgi/entity_page.cgi?term=7&amp;id=-121843826","hsa-miR-155-3p")</f>
        <v>hsa-miR-155-3p</v>
      </c>
      <c r="E1599" s="2" t="s">
        <v>72</v>
      </c>
      <c r="F1599" s="3" t="str">
        <f t="shared" ref="F1599:F1618" si="259">HYPERLINK("https://portal.genego.com/cgi/entity_page.cgi?term=100&amp;id=-1608567613","Mature microRNA-155-3p")</f>
        <v>Mature microRNA-155-3p</v>
      </c>
      <c r="G1599" s="4"/>
      <c r="H1599" s="3" t="str">
        <f>HYPERLINK("https://www.cortellis.com/drugdiscovery/entity/biomarkers/3514","microRNA 155")</f>
        <v>microRNA 155</v>
      </c>
      <c r="I1599" s="2" t="s">
        <v>89</v>
      </c>
      <c r="J1599" s="2" t="s">
        <v>19</v>
      </c>
      <c r="K1599" s="4" t="str">
        <f>HYPERLINK("https://www.cortellis.com/drugdiscovery/result/proxy/related-content/biomarkers/genestargets/3514","microRNA 155")</f>
        <v>microRNA 155</v>
      </c>
    </row>
    <row r="1600" spans="1:11" ht="60" customHeight="1" x14ac:dyDescent="0.2">
      <c r="A1600" s="2">
        <v>1597</v>
      </c>
      <c r="B1600" s="3" t="str">
        <f t="shared" si="256"/>
        <v>miR-155-3p</v>
      </c>
      <c r="C1600" s="3" t="str">
        <f t="shared" si="257"/>
        <v>MIR155</v>
      </c>
      <c r="D1600" s="3" t="str">
        <f t="shared" si="258"/>
        <v>hsa-miR-155-3p</v>
      </c>
      <c r="E1600" s="2" t="s">
        <v>72</v>
      </c>
      <c r="F1600" s="3" t="str">
        <f t="shared" si="259"/>
        <v>Mature microRNA-155-3p</v>
      </c>
      <c r="G1600" s="4"/>
      <c r="H1600" s="3" t="str">
        <f>HYPERLINK("https://www.cortellis.com/drugdiscovery/entity/biomarkers/25582","5-gene expression 3-microRNA thyroid cancer panel")</f>
        <v>5-gene expression 3-microRNA thyroid cancer panel</v>
      </c>
      <c r="I1600" s="2" t="s">
        <v>23</v>
      </c>
      <c r="J1600" s="2" t="s">
        <v>19</v>
      </c>
      <c r="K1600" s="4" t="str">
        <f>HYPERLINK("https://www.cortellis.com/drugdiscovery/result/proxy/related-content/biomarkers/genestargets/25582","microRNA 146b; microRNA 155")</f>
        <v>microRNA 146b; microRNA 155</v>
      </c>
    </row>
    <row r="1601" spans="1:11" ht="60" customHeight="1" x14ac:dyDescent="0.2">
      <c r="A1601" s="2">
        <v>1598</v>
      </c>
      <c r="B1601" s="3" t="str">
        <f t="shared" si="256"/>
        <v>miR-155-3p</v>
      </c>
      <c r="C1601" s="3" t="str">
        <f t="shared" si="257"/>
        <v>MIR155</v>
      </c>
      <c r="D1601" s="3" t="str">
        <f t="shared" si="258"/>
        <v>hsa-miR-155-3p</v>
      </c>
      <c r="E1601" s="2" t="s">
        <v>72</v>
      </c>
      <c r="F1601" s="3" t="str">
        <f t="shared" si="259"/>
        <v>Mature microRNA-155-3p</v>
      </c>
      <c r="G1601" s="4"/>
      <c r="H1601" s="3" t="str">
        <f>HYPERLINK("https://www.cortellis.com/drugdiscovery/entity/biomarkers/26792","367-gene expression 1-microRNA breast cancer panel")</f>
        <v>367-gene expression 1-microRNA breast cancer panel</v>
      </c>
      <c r="I1601" s="2" t="s">
        <v>25</v>
      </c>
      <c r="J1601" s="2" t="s">
        <v>19</v>
      </c>
      <c r="K1601" s="4" t="str">
        <f>HYPERLINK("https://www.cortellis.com/drugdiscovery/result/proxy/related-content/biomarkers/genestargets/26792","interleukin 15; microRNA 155")</f>
        <v>interleukin 15; microRNA 155</v>
      </c>
    </row>
    <row r="1602" spans="1:11" ht="60" customHeight="1" x14ac:dyDescent="0.2">
      <c r="A1602" s="2">
        <v>1599</v>
      </c>
      <c r="B1602" s="3" t="str">
        <f t="shared" si="256"/>
        <v>miR-155-3p</v>
      </c>
      <c r="C1602" s="3" t="str">
        <f t="shared" si="257"/>
        <v>MIR155</v>
      </c>
      <c r="D1602" s="3" t="str">
        <f t="shared" si="258"/>
        <v>hsa-miR-155-3p</v>
      </c>
      <c r="E1602" s="2" t="s">
        <v>72</v>
      </c>
      <c r="F1602" s="3" t="str">
        <f t="shared" si="259"/>
        <v>Mature microRNA-155-3p</v>
      </c>
      <c r="G1602" s="4"/>
      <c r="H1602" s="3" t="str">
        <f>HYPERLINK("https://www.cortellis.com/drugdiscovery/entity/biomarkers/27309","57-microRNA mouth cancer panel")</f>
        <v>57-microRNA mouth cancer panel</v>
      </c>
      <c r="I1602" s="2" t="s">
        <v>23</v>
      </c>
      <c r="J1602" s="2" t="s">
        <v>19</v>
      </c>
      <c r="K1602" s="4" t="str">
        <f>HYPERLINK("https://www.cortellis.com/drugdiscovery/result/proxy/related-content/biomarkers/genestargets/27309","microRNA 146a; microRNA 155; microRNA 214; microRNA 223")</f>
        <v>microRNA 146a; microRNA 155; microRNA 214; microRNA 223</v>
      </c>
    </row>
    <row r="1603" spans="1:11" ht="60" customHeight="1" x14ac:dyDescent="0.2">
      <c r="A1603" s="2">
        <v>1600</v>
      </c>
      <c r="B1603" s="3" t="str">
        <f t="shared" si="256"/>
        <v>miR-155-3p</v>
      </c>
      <c r="C1603" s="3" t="str">
        <f t="shared" si="257"/>
        <v>MIR155</v>
      </c>
      <c r="D1603" s="3" t="str">
        <f t="shared" si="258"/>
        <v>hsa-miR-155-3p</v>
      </c>
      <c r="E1603" s="2" t="s">
        <v>72</v>
      </c>
      <c r="F1603" s="3" t="str">
        <f t="shared" si="259"/>
        <v>Mature microRNA-155-3p</v>
      </c>
      <c r="G1603" s="4"/>
      <c r="H1603" s="3" t="str">
        <f>HYPERLINK("https://www.cortellis.com/drugdiscovery/entity/biomarkers/27503","23-microRNA astrocytoma panel")</f>
        <v>23-microRNA astrocytoma panel</v>
      </c>
      <c r="I1603" s="2" t="s">
        <v>28</v>
      </c>
      <c r="J1603" s="2" t="s">
        <v>19</v>
      </c>
      <c r="K1603" s="4" t="str">
        <f>HYPERLINK("https://www.cortellis.com/drugdiscovery/result/proxy/related-content/biomarkers/genestargets/27503","microRNA 155")</f>
        <v>microRNA 155</v>
      </c>
    </row>
    <row r="1604" spans="1:11" ht="60" customHeight="1" x14ac:dyDescent="0.2">
      <c r="A1604" s="2">
        <v>1601</v>
      </c>
      <c r="B1604" s="3" t="str">
        <f t="shared" si="256"/>
        <v>miR-155-3p</v>
      </c>
      <c r="C1604" s="3" t="str">
        <f t="shared" si="257"/>
        <v>MIR155</v>
      </c>
      <c r="D1604" s="3" t="str">
        <f t="shared" si="258"/>
        <v>hsa-miR-155-3p</v>
      </c>
      <c r="E1604" s="2" t="s">
        <v>72</v>
      </c>
      <c r="F1604" s="3" t="str">
        <f t="shared" si="259"/>
        <v>Mature microRNA-155-3p</v>
      </c>
      <c r="G1604" s="4"/>
      <c r="H1604" s="3" t="str">
        <f>HYPERLINK("https://www.cortellis.com/drugdiscovery/entity/biomarkers/28064","6-microRNA melanoma panel")</f>
        <v>6-microRNA melanoma panel</v>
      </c>
      <c r="I1604" s="2" t="s">
        <v>25</v>
      </c>
      <c r="J1604" s="2" t="s">
        <v>19</v>
      </c>
      <c r="K1604" s="4" t="str">
        <f>HYPERLINK("https://www.cortellis.com/drugdiscovery/result/proxy/related-content/biomarkers/genestargets/28064","microRNA 150; microRNA 155")</f>
        <v>microRNA 150; microRNA 155</v>
      </c>
    </row>
    <row r="1605" spans="1:11" ht="60" customHeight="1" x14ac:dyDescent="0.2">
      <c r="A1605" s="2">
        <v>1602</v>
      </c>
      <c r="B1605" s="3" t="str">
        <f t="shared" si="256"/>
        <v>miR-155-3p</v>
      </c>
      <c r="C1605" s="3" t="str">
        <f t="shared" si="257"/>
        <v>MIR155</v>
      </c>
      <c r="D1605" s="3" t="str">
        <f t="shared" si="258"/>
        <v>hsa-miR-155-3p</v>
      </c>
      <c r="E1605" s="2" t="s">
        <v>72</v>
      </c>
      <c r="F1605" s="3" t="str">
        <f t="shared" si="259"/>
        <v>Mature microRNA-155-3p</v>
      </c>
      <c r="G1605" s="4"/>
      <c r="H1605" s="3" t="str">
        <f>HYPERLINK("https://www.cortellis.com/drugdiscovery/entity/biomarkers/31074","24-microRNA melanoma panel")</f>
        <v>24-microRNA melanoma panel</v>
      </c>
      <c r="I1605" s="2" t="s">
        <v>27</v>
      </c>
      <c r="J1605" s="2" t="s">
        <v>19</v>
      </c>
      <c r="K1605" s="4" t="str">
        <f>HYPERLINK("https://www.cortellis.com/drugdiscovery/result/proxy/related-content/biomarkers/genestargets/31074","microRNA 150; microRNA 155")</f>
        <v>microRNA 150; microRNA 155</v>
      </c>
    </row>
    <row r="1606" spans="1:11" ht="60" customHeight="1" x14ac:dyDescent="0.2">
      <c r="A1606" s="2">
        <v>1603</v>
      </c>
      <c r="B1606" s="3" t="str">
        <f t="shared" si="256"/>
        <v>miR-155-3p</v>
      </c>
      <c r="C1606" s="3" t="str">
        <f t="shared" si="257"/>
        <v>MIR155</v>
      </c>
      <c r="D1606" s="3" t="str">
        <f t="shared" si="258"/>
        <v>hsa-miR-155-3p</v>
      </c>
      <c r="E1606" s="2" t="s">
        <v>72</v>
      </c>
      <c r="F1606" s="3" t="str">
        <f t="shared" si="259"/>
        <v>Mature microRNA-155-3p</v>
      </c>
      <c r="G1606" s="4"/>
      <c r="H1606" s="3" t="str">
        <f>HYPERLINK("https://www.cortellis.com/drugdiscovery/entity/biomarkers/31615","3-microRNA cutaneous T-cell lymphoma panel")</f>
        <v>3-microRNA cutaneous T-cell lymphoma panel</v>
      </c>
      <c r="I1606" s="2" t="s">
        <v>23</v>
      </c>
      <c r="J1606" s="2" t="s">
        <v>19</v>
      </c>
      <c r="K1606" s="4" t="str">
        <f>HYPERLINK("https://www.cortellis.com/drugdiscovery/result/proxy/related-content/biomarkers/genestargets/31615","microRNA 155")</f>
        <v>microRNA 155</v>
      </c>
    </row>
    <row r="1607" spans="1:11" ht="60" customHeight="1" x14ac:dyDescent="0.2">
      <c r="A1607" s="2">
        <v>1604</v>
      </c>
      <c r="B1607" s="3" t="str">
        <f t="shared" si="256"/>
        <v>miR-155-3p</v>
      </c>
      <c r="C1607" s="3" t="str">
        <f t="shared" si="257"/>
        <v>MIR155</v>
      </c>
      <c r="D1607" s="3" t="str">
        <f t="shared" si="258"/>
        <v>hsa-miR-155-3p</v>
      </c>
      <c r="E1607" s="2" t="s">
        <v>72</v>
      </c>
      <c r="F1607" s="3" t="str">
        <f t="shared" si="259"/>
        <v>Mature microRNA-155-3p</v>
      </c>
      <c r="G1607" s="4"/>
      <c r="H1607" s="3" t="str">
        <f>HYPERLINK("https://www.cortellis.com/drugdiscovery/entity/biomarkers/33250","24-microRNA astrocytoma panel")</f>
        <v>24-microRNA astrocytoma panel</v>
      </c>
      <c r="I1607" s="2" t="s">
        <v>28</v>
      </c>
      <c r="J1607" s="2" t="s">
        <v>19</v>
      </c>
      <c r="K1607" s="4" t="str">
        <f>HYPERLINK("https://www.cortellis.com/drugdiscovery/result/proxy/related-content/biomarkers/genestargets/33250","microRNA 155")</f>
        <v>microRNA 155</v>
      </c>
    </row>
    <row r="1608" spans="1:11" ht="60" customHeight="1" x14ac:dyDescent="0.2">
      <c r="A1608" s="2">
        <v>1605</v>
      </c>
      <c r="B1608" s="3" t="str">
        <f t="shared" si="256"/>
        <v>miR-155-3p</v>
      </c>
      <c r="C1608" s="3" t="str">
        <f t="shared" si="257"/>
        <v>MIR155</v>
      </c>
      <c r="D1608" s="3" t="str">
        <f t="shared" si="258"/>
        <v>hsa-miR-155-3p</v>
      </c>
      <c r="E1608" s="2" t="s">
        <v>72</v>
      </c>
      <c r="F1608" s="3" t="str">
        <f t="shared" si="259"/>
        <v>Mature microRNA-155-3p</v>
      </c>
      <c r="G1608" s="4"/>
      <c r="H1608" s="3" t="str">
        <f>HYPERLINK("https://www.cortellis.com/drugdiscovery/entity/biomarkers/38474","63-gene expression cancer panel")</f>
        <v>63-gene expression cancer panel</v>
      </c>
      <c r="I1608" s="2" t="s">
        <v>18</v>
      </c>
      <c r="J1608" s="2" t="s">
        <v>19</v>
      </c>
      <c r="K1608" s="4" t="str">
        <f>HYPERLINK("https://www.cortellis.com/drugdiscovery/result/proxy/related-content/biomarkers/genestargets/38474","microRNA 155")</f>
        <v>microRNA 155</v>
      </c>
    </row>
    <row r="1609" spans="1:11" ht="60" customHeight="1" x14ac:dyDescent="0.2">
      <c r="A1609" s="2">
        <v>1606</v>
      </c>
      <c r="B1609" s="3" t="str">
        <f t="shared" si="256"/>
        <v>miR-155-3p</v>
      </c>
      <c r="C1609" s="3" t="str">
        <f t="shared" si="257"/>
        <v>MIR155</v>
      </c>
      <c r="D1609" s="3" t="str">
        <f t="shared" si="258"/>
        <v>hsa-miR-155-3p</v>
      </c>
      <c r="E1609" s="2" t="s">
        <v>72</v>
      </c>
      <c r="F1609" s="3" t="str">
        <f t="shared" si="259"/>
        <v>Mature microRNA-155-3p</v>
      </c>
      <c r="G1609" s="4"/>
      <c r="H1609" s="3" t="str">
        <f>HYPERLINK("https://www.cortellis.com/drugdiscovery/entity/biomarkers/39101","microRNA 155-5p")</f>
        <v>microRNA 155-5p</v>
      </c>
      <c r="I1609" s="2" t="s">
        <v>90</v>
      </c>
      <c r="J1609" s="2" t="s">
        <v>19</v>
      </c>
      <c r="K1609" s="4" t="str">
        <f>HYPERLINK("https://www.cortellis.com/drugdiscovery/result/proxy/related-content/biomarkers/genestargets/39101","microRNA 155")</f>
        <v>microRNA 155</v>
      </c>
    </row>
    <row r="1610" spans="1:11" ht="60" customHeight="1" x14ac:dyDescent="0.2">
      <c r="A1610" s="2">
        <v>1607</v>
      </c>
      <c r="B1610" s="3" t="str">
        <f t="shared" si="256"/>
        <v>miR-155-3p</v>
      </c>
      <c r="C1610" s="3" t="str">
        <f t="shared" si="257"/>
        <v>MIR155</v>
      </c>
      <c r="D1610" s="3" t="str">
        <f t="shared" si="258"/>
        <v>hsa-miR-155-3p</v>
      </c>
      <c r="E1610" s="2" t="s">
        <v>72</v>
      </c>
      <c r="F1610" s="3" t="str">
        <f t="shared" si="259"/>
        <v>Mature microRNA-155-3p</v>
      </c>
      <c r="G1610" s="4"/>
      <c r="H1610" s="3" t="str">
        <f>HYPERLINK("https://www.cortellis.com/drugdiscovery/entity/biomarkers/40697","7-miRNA expression anapalstic large cell lymphoma")</f>
        <v>7-miRNA expression anapalstic large cell lymphoma</v>
      </c>
      <c r="I1610" s="2" t="s">
        <v>23</v>
      </c>
      <c r="J1610" s="2" t="s">
        <v>19</v>
      </c>
      <c r="K1610" s="4" t="str">
        <f>HYPERLINK("https://www.cortellis.com/drugdiscovery/result/proxy/related-content/biomarkers/genestargets/40697","microRNA 146a; microRNA 155")</f>
        <v>microRNA 146a; microRNA 155</v>
      </c>
    </row>
    <row r="1611" spans="1:11" ht="60" customHeight="1" x14ac:dyDescent="0.2">
      <c r="A1611" s="2">
        <v>1608</v>
      </c>
      <c r="B1611" s="3" t="str">
        <f t="shared" si="256"/>
        <v>miR-155-3p</v>
      </c>
      <c r="C1611" s="3" t="str">
        <f t="shared" si="257"/>
        <v>MIR155</v>
      </c>
      <c r="D1611" s="3" t="str">
        <f t="shared" si="258"/>
        <v>hsa-miR-155-3p</v>
      </c>
      <c r="E1611" s="2" t="s">
        <v>72</v>
      </c>
      <c r="F1611" s="3" t="str">
        <f t="shared" si="259"/>
        <v>Mature microRNA-155-3p</v>
      </c>
      <c r="G1611" s="4"/>
      <c r="H1611" s="3" t="str">
        <f>HYPERLINK("https://www.cortellis.com/drugdiscovery/entity/biomarkers/42962","3-microRNA lung cancer panel")</f>
        <v>3-microRNA lung cancer panel</v>
      </c>
      <c r="I1611" s="2" t="s">
        <v>23</v>
      </c>
      <c r="J1611" s="2" t="s">
        <v>19</v>
      </c>
      <c r="K1611" s="4" t="str">
        <f>HYPERLINK("https://www.cortellis.com/drugdiscovery/result/proxy/related-content/biomarkers/genestargets/42962","microRNA 155")</f>
        <v>microRNA 155</v>
      </c>
    </row>
    <row r="1612" spans="1:11" ht="60" customHeight="1" x14ac:dyDescent="0.2">
      <c r="A1612" s="2">
        <v>1609</v>
      </c>
      <c r="B1612" s="3" t="str">
        <f t="shared" si="256"/>
        <v>miR-155-3p</v>
      </c>
      <c r="C1612" s="3" t="str">
        <f t="shared" si="257"/>
        <v>MIR155</v>
      </c>
      <c r="D1612" s="3" t="str">
        <f t="shared" si="258"/>
        <v>hsa-miR-155-3p</v>
      </c>
      <c r="E1612" s="2" t="s">
        <v>72</v>
      </c>
      <c r="F1612" s="3" t="str">
        <f t="shared" si="259"/>
        <v>Mature microRNA-155-3p</v>
      </c>
      <c r="G1612" s="4"/>
      <c r="H1612" s="3" t="str">
        <f>HYPERLINK("https://www.cortellis.com/drugdiscovery/entity/biomarkers/44486","microRNA 155-3p")</f>
        <v>microRNA 155-3p</v>
      </c>
      <c r="I1612" s="2" t="s">
        <v>91</v>
      </c>
      <c r="J1612" s="2" t="s">
        <v>19</v>
      </c>
      <c r="K1612" s="4" t="str">
        <f>HYPERLINK("https://www.cortellis.com/drugdiscovery/result/proxy/related-content/biomarkers/genestargets/44486","microRNA 155")</f>
        <v>microRNA 155</v>
      </c>
    </row>
    <row r="1613" spans="1:11" ht="60" customHeight="1" x14ac:dyDescent="0.2">
      <c r="A1613" s="2">
        <v>1610</v>
      </c>
      <c r="B1613" s="3" t="str">
        <f t="shared" si="256"/>
        <v>miR-155-3p</v>
      </c>
      <c r="C1613" s="3" t="str">
        <f t="shared" si="257"/>
        <v>MIR155</v>
      </c>
      <c r="D1613" s="3" t="str">
        <f t="shared" si="258"/>
        <v>hsa-miR-155-3p</v>
      </c>
      <c r="E1613" s="2" t="s">
        <v>72</v>
      </c>
      <c r="F1613" s="3" t="str">
        <f t="shared" si="259"/>
        <v>Mature microRNA-155-3p</v>
      </c>
      <c r="G1613" s="4"/>
      <c r="H1613" s="3" t="str">
        <f>HYPERLINK("https://www.cortellis.com/drugdiscovery/entity/biomarkers/45344","4-microRNA breast cancer panel")</f>
        <v>4-microRNA breast cancer panel</v>
      </c>
      <c r="I1613" s="2" t="s">
        <v>33</v>
      </c>
      <c r="J1613" s="2" t="s">
        <v>19</v>
      </c>
      <c r="K1613" s="4" t="str">
        <f>HYPERLINK("https://www.cortellis.com/drugdiscovery/result/proxy/related-content/biomarkers/genestargets/45344","microRNA 155")</f>
        <v>microRNA 155</v>
      </c>
    </row>
    <row r="1614" spans="1:11" ht="60" customHeight="1" x14ac:dyDescent="0.2">
      <c r="A1614" s="2">
        <v>1611</v>
      </c>
      <c r="B1614" s="3" t="str">
        <f t="shared" si="256"/>
        <v>miR-155-3p</v>
      </c>
      <c r="C1614" s="3" t="str">
        <f t="shared" si="257"/>
        <v>MIR155</v>
      </c>
      <c r="D1614" s="3" t="str">
        <f t="shared" si="258"/>
        <v>hsa-miR-155-3p</v>
      </c>
      <c r="E1614" s="2" t="s">
        <v>72</v>
      </c>
      <c r="F1614" s="3" t="str">
        <f t="shared" si="259"/>
        <v>Mature microRNA-155-3p</v>
      </c>
      <c r="G1614" s="4"/>
      <c r="H1614" s="3" t="str">
        <f>HYPERLINK("https://www.cortellis.com/drugdiscovery/entity/biomarkers/47602","5-microRNA pancreatic cancer panel")</f>
        <v>5-microRNA pancreatic cancer panel</v>
      </c>
      <c r="I1614" s="2" t="s">
        <v>23</v>
      </c>
      <c r="J1614" s="2" t="s">
        <v>19</v>
      </c>
      <c r="K1614" s="4" t="str">
        <f>HYPERLINK("https://www.cortellis.com/drugdiscovery/result/proxy/related-content/biomarkers/genestargets/47602","microRNA 155")</f>
        <v>microRNA 155</v>
      </c>
    </row>
    <row r="1615" spans="1:11" ht="60" customHeight="1" x14ac:dyDescent="0.2">
      <c r="A1615" s="2">
        <v>1612</v>
      </c>
      <c r="B1615" s="3" t="str">
        <f t="shared" si="256"/>
        <v>miR-155-3p</v>
      </c>
      <c r="C1615" s="3" t="str">
        <f t="shared" si="257"/>
        <v>MIR155</v>
      </c>
      <c r="D1615" s="3" t="str">
        <f t="shared" si="258"/>
        <v>hsa-miR-155-3p</v>
      </c>
      <c r="E1615" s="2" t="s">
        <v>72</v>
      </c>
      <c r="F1615" s="3" t="str">
        <f t="shared" si="259"/>
        <v>Mature microRNA-155-3p</v>
      </c>
      <c r="G1615" s="4"/>
      <c r="H1615" s="3" t="str">
        <f>HYPERLINK("https://www.cortellis.com/drugdiscovery/entity/biomarkers/49602","9-microRNA breast cancer panel")</f>
        <v>9-microRNA breast cancer panel</v>
      </c>
      <c r="I1615" s="2" t="s">
        <v>23</v>
      </c>
      <c r="J1615" s="2" t="s">
        <v>19</v>
      </c>
      <c r="K1615" s="4" t="str">
        <f>HYPERLINK("https://www.cortellis.com/drugdiscovery/result/proxy/related-content/biomarkers/genestargets/49602","microRNA 155")</f>
        <v>microRNA 155</v>
      </c>
    </row>
    <row r="1616" spans="1:11" ht="60" customHeight="1" x14ac:dyDescent="0.2">
      <c r="A1616" s="2">
        <v>1613</v>
      </c>
      <c r="B1616" s="3" t="str">
        <f t="shared" si="256"/>
        <v>miR-155-3p</v>
      </c>
      <c r="C1616" s="3" t="str">
        <f t="shared" si="257"/>
        <v>MIR155</v>
      </c>
      <c r="D1616" s="3" t="str">
        <f t="shared" si="258"/>
        <v>hsa-miR-155-3p</v>
      </c>
      <c r="E1616" s="2" t="s">
        <v>72</v>
      </c>
      <c r="F1616" s="3" t="str">
        <f t="shared" si="259"/>
        <v>Mature microRNA-155-3p</v>
      </c>
      <c r="G1616" s="4"/>
      <c r="H1616" s="3" t="str">
        <f>HYPERLINK("https://www.cortellis.com/drugdiscovery/entity/biomarkers/50117","24-microRNA non-small cell lung cancer panel")</f>
        <v>24-microRNA non-small cell lung cancer panel</v>
      </c>
      <c r="I1616" s="2" t="s">
        <v>23</v>
      </c>
      <c r="J1616" s="2" t="s">
        <v>19</v>
      </c>
      <c r="K1616" s="4" t="str">
        <f>HYPERLINK("https://www.cortellis.com/drugdiscovery/result/proxy/related-content/biomarkers/genestargets/50117","microRNA 155")</f>
        <v>microRNA 155</v>
      </c>
    </row>
    <row r="1617" spans="1:11" ht="60" customHeight="1" x14ac:dyDescent="0.2">
      <c r="A1617" s="2">
        <v>1614</v>
      </c>
      <c r="B1617" s="3" t="str">
        <f t="shared" si="256"/>
        <v>miR-155-3p</v>
      </c>
      <c r="C1617" s="3" t="str">
        <f t="shared" si="257"/>
        <v>MIR155</v>
      </c>
      <c r="D1617" s="3" t="str">
        <f t="shared" si="258"/>
        <v>hsa-miR-155-3p</v>
      </c>
      <c r="E1617" s="2" t="s">
        <v>72</v>
      </c>
      <c r="F1617" s="3" t="str">
        <f t="shared" si="259"/>
        <v>Mature microRNA-155-3p</v>
      </c>
      <c r="G1617" s="4"/>
      <c r="H1617" s="3" t="str">
        <f>HYPERLINK("https://www.cortellis.com/drugdiscovery/entity/biomarkers/50455","6-microRNA expression chronic lymphocytic leukemia panel")</f>
        <v>6-microRNA expression chronic lymphocytic leukemia panel</v>
      </c>
      <c r="I1617" s="2" t="s">
        <v>23</v>
      </c>
      <c r="J1617" s="2" t="s">
        <v>19</v>
      </c>
      <c r="K1617" s="4" t="str">
        <f>HYPERLINK("https://www.cortellis.com/drugdiscovery/result/proxy/related-content/biomarkers/genestargets/50455","microRNA 150; microRNA 155; microRNA 223")</f>
        <v>microRNA 150; microRNA 155; microRNA 223</v>
      </c>
    </row>
    <row r="1618" spans="1:11" ht="60" customHeight="1" x14ac:dyDescent="0.2">
      <c r="A1618" s="2">
        <v>1615</v>
      </c>
      <c r="B1618" s="3" t="str">
        <f t="shared" si="256"/>
        <v>miR-155-3p</v>
      </c>
      <c r="C1618" s="3" t="str">
        <f t="shared" si="257"/>
        <v>MIR155</v>
      </c>
      <c r="D1618" s="3" t="str">
        <f t="shared" si="258"/>
        <v>hsa-miR-155-3p</v>
      </c>
      <c r="E1618" s="2" t="s">
        <v>72</v>
      </c>
      <c r="F1618" s="3" t="str">
        <f t="shared" si="259"/>
        <v>Mature microRNA-155-3p</v>
      </c>
      <c r="G1618" s="4"/>
      <c r="H1618" s="3" t="str">
        <f>HYPERLINK("https://www.cortellis.com/drugdiscovery/entity/biomarkers/64114","10-gene expression thyroid cancer panel")</f>
        <v>10-gene expression thyroid cancer panel</v>
      </c>
      <c r="I1618" s="2" t="s">
        <v>25</v>
      </c>
      <c r="J1618" s="2" t="s">
        <v>19</v>
      </c>
      <c r="K1618" s="4" t="str">
        <f>HYPERLINK("https://www.cortellis.com/drugdiscovery/result/proxy/related-content/biomarkers/genestargets/64114","microRNA 146b; microRNA 155")</f>
        <v>microRNA 146b; microRNA 155</v>
      </c>
    </row>
    <row r="1619" spans="1:11" ht="60" customHeight="1" x14ac:dyDescent="0.2">
      <c r="A1619" s="2">
        <v>1616</v>
      </c>
      <c r="B1619" s="3" t="str">
        <f t="shared" ref="B1619:B1638" si="260">HYPERLINK("https://portal.genego.com/cgi/entity_page.cgi?term=100&amp;id=-2134993264","miR-155-5p")</f>
        <v>miR-155-5p</v>
      </c>
      <c r="C1619" s="3" t="str">
        <f t="shared" si="257"/>
        <v>MIR155</v>
      </c>
      <c r="D1619" s="3" t="str">
        <f t="shared" ref="D1619:D1638" si="261">HYPERLINK("https://portal.genego.com/cgi/entity_page.cgi?term=7&amp;id=-1895798202","hsa-miR-155-5p")</f>
        <v>hsa-miR-155-5p</v>
      </c>
      <c r="E1619" s="2" t="s">
        <v>72</v>
      </c>
      <c r="F1619" s="3" t="str">
        <f t="shared" ref="F1619:F1638" si="262">HYPERLINK("https://portal.genego.com/cgi/entity_page.cgi?term=100&amp;id=-2134993264","Mature microRNA-155-5p")</f>
        <v>Mature microRNA-155-5p</v>
      </c>
      <c r="G1619" s="4"/>
      <c r="H1619" s="3" t="str">
        <f>HYPERLINK("https://www.cortellis.com/drugdiscovery/entity/biomarkers/3514","microRNA 155")</f>
        <v>microRNA 155</v>
      </c>
      <c r="I1619" s="2" t="s">
        <v>89</v>
      </c>
      <c r="J1619" s="2" t="s">
        <v>19</v>
      </c>
      <c r="K1619" s="4" t="str">
        <f>HYPERLINK("https://www.cortellis.com/drugdiscovery/result/proxy/related-content/biomarkers/genestargets/3514","microRNA 155")</f>
        <v>microRNA 155</v>
      </c>
    </row>
    <row r="1620" spans="1:11" ht="60" customHeight="1" x14ac:dyDescent="0.2">
      <c r="A1620" s="2">
        <v>1617</v>
      </c>
      <c r="B1620" s="3" t="str">
        <f t="shared" si="260"/>
        <v>miR-155-5p</v>
      </c>
      <c r="C1620" s="3" t="str">
        <f t="shared" si="257"/>
        <v>MIR155</v>
      </c>
      <c r="D1620" s="3" t="str">
        <f t="shared" si="261"/>
        <v>hsa-miR-155-5p</v>
      </c>
      <c r="E1620" s="2" t="s">
        <v>72</v>
      </c>
      <c r="F1620" s="3" t="str">
        <f t="shared" si="262"/>
        <v>Mature microRNA-155-5p</v>
      </c>
      <c r="G1620" s="4"/>
      <c r="H1620" s="3" t="str">
        <f>HYPERLINK("https://www.cortellis.com/drugdiscovery/entity/biomarkers/25582","5-gene expression 3-microRNA thyroid cancer panel")</f>
        <v>5-gene expression 3-microRNA thyroid cancer panel</v>
      </c>
      <c r="I1620" s="2" t="s">
        <v>23</v>
      </c>
      <c r="J1620" s="2" t="s">
        <v>19</v>
      </c>
      <c r="K1620" s="4" t="str">
        <f>HYPERLINK("https://www.cortellis.com/drugdiscovery/result/proxy/related-content/biomarkers/genestargets/25582","microRNA 146b; microRNA 155")</f>
        <v>microRNA 146b; microRNA 155</v>
      </c>
    </row>
    <row r="1621" spans="1:11" ht="60" customHeight="1" x14ac:dyDescent="0.2">
      <c r="A1621" s="2">
        <v>1618</v>
      </c>
      <c r="B1621" s="3" t="str">
        <f t="shared" si="260"/>
        <v>miR-155-5p</v>
      </c>
      <c r="C1621" s="3" t="str">
        <f t="shared" si="257"/>
        <v>MIR155</v>
      </c>
      <c r="D1621" s="3" t="str">
        <f t="shared" si="261"/>
        <v>hsa-miR-155-5p</v>
      </c>
      <c r="E1621" s="2" t="s">
        <v>72</v>
      </c>
      <c r="F1621" s="3" t="str">
        <f t="shared" si="262"/>
        <v>Mature microRNA-155-5p</v>
      </c>
      <c r="G1621" s="4"/>
      <c r="H1621" s="3" t="str">
        <f>HYPERLINK("https://www.cortellis.com/drugdiscovery/entity/biomarkers/26792","367-gene expression 1-microRNA breast cancer panel")</f>
        <v>367-gene expression 1-microRNA breast cancer panel</v>
      </c>
      <c r="I1621" s="2" t="s">
        <v>25</v>
      </c>
      <c r="J1621" s="2" t="s">
        <v>19</v>
      </c>
      <c r="K1621" s="4" t="str">
        <f>HYPERLINK("https://www.cortellis.com/drugdiscovery/result/proxy/related-content/biomarkers/genestargets/26792","interleukin 15; microRNA 155")</f>
        <v>interleukin 15; microRNA 155</v>
      </c>
    </row>
    <row r="1622" spans="1:11" ht="60" customHeight="1" x14ac:dyDescent="0.2">
      <c r="A1622" s="2">
        <v>1619</v>
      </c>
      <c r="B1622" s="3" t="str">
        <f t="shared" si="260"/>
        <v>miR-155-5p</v>
      </c>
      <c r="C1622" s="3" t="str">
        <f t="shared" si="257"/>
        <v>MIR155</v>
      </c>
      <c r="D1622" s="3" t="str">
        <f t="shared" si="261"/>
        <v>hsa-miR-155-5p</v>
      </c>
      <c r="E1622" s="2" t="s">
        <v>72</v>
      </c>
      <c r="F1622" s="3" t="str">
        <f t="shared" si="262"/>
        <v>Mature microRNA-155-5p</v>
      </c>
      <c r="G1622" s="4"/>
      <c r="H1622" s="3" t="str">
        <f>HYPERLINK("https://www.cortellis.com/drugdiscovery/entity/biomarkers/27309","57-microRNA mouth cancer panel")</f>
        <v>57-microRNA mouth cancer panel</v>
      </c>
      <c r="I1622" s="2" t="s">
        <v>23</v>
      </c>
      <c r="J1622" s="2" t="s">
        <v>19</v>
      </c>
      <c r="K1622" s="4" t="str">
        <f>HYPERLINK("https://www.cortellis.com/drugdiscovery/result/proxy/related-content/biomarkers/genestargets/27309","microRNA 146a; microRNA 155; microRNA 214; microRNA 223")</f>
        <v>microRNA 146a; microRNA 155; microRNA 214; microRNA 223</v>
      </c>
    </row>
    <row r="1623" spans="1:11" ht="60" customHeight="1" x14ac:dyDescent="0.2">
      <c r="A1623" s="2">
        <v>1620</v>
      </c>
      <c r="B1623" s="3" t="str">
        <f t="shared" si="260"/>
        <v>miR-155-5p</v>
      </c>
      <c r="C1623" s="3" t="str">
        <f t="shared" si="257"/>
        <v>MIR155</v>
      </c>
      <c r="D1623" s="3" t="str">
        <f t="shared" si="261"/>
        <v>hsa-miR-155-5p</v>
      </c>
      <c r="E1623" s="2" t="s">
        <v>72</v>
      </c>
      <c r="F1623" s="3" t="str">
        <f t="shared" si="262"/>
        <v>Mature microRNA-155-5p</v>
      </c>
      <c r="G1623" s="4"/>
      <c r="H1623" s="3" t="str">
        <f>HYPERLINK("https://www.cortellis.com/drugdiscovery/entity/biomarkers/27503","23-microRNA astrocytoma panel")</f>
        <v>23-microRNA astrocytoma panel</v>
      </c>
      <c r="I1623" s="2" t="s">
        <v>28</v>
      </c>
      <c r="J1623" s="2" t="s">
        <v>19</v>
      </c>
      <c r="K1623" s="4" t="str">
        <f>HYPERLINK("https://www.cortellis.com/drugdiscovery/result/proxy/related-content/biomarkers/genestargets/27503","microRNA 155")</f>
        <v>microRNA 155</v>
      </c>
    </row>
    <row r="1624" spans="1:11" ht="60" customHeight="1" x14ac:dyDescent="0.2">
      <c r="A1624" s="2">
        <v>1621</v>
      </c>
      <c r="B1624" s="3" t="str">
        <f t="shared" si="260"/>
        <v>miR-155-5p</v>
      </c>
      <c r="C1624" s="3" t="str">
        <f t="shared" si="257"/>
        <v>MIR155</v>
      </c>
      <c r="D1624" s="3" t="str">
        <f t="shared" si="261"/>
        <v>hsa-miR-155-5p</v>
      </c>
      <c r="E1624" s="2" t="s">
        <v>72</v>
      </c>
      <c r="F1624" s="3" t="str">
        <f t="shared" si="262"/>
        <v>Mature microRNA-155-5p</v>
      </c>
      <c r="G1624" s="4"/>
      <c r="H1624" s="3" t="str">
        <f>HYPERLINK("https://www.cortellis.com/drugdiscovery/entity/biomarkers/28064","6-microRNA melanoma panel")</f>
        <v>6-microRNA melanoma panel</v>
      </c>
      <c r="I1624" s="2" t="s">
        <v>25</v>
      </c>
      <c r="J1624" s="2" t="s">
        <v>19</v>
      </c>
      <c r="K1624" s="4" t="str">
        <f>HYPERLINK("https://www.cortellis.com/drugdiscovery/result/proxy/related-content/biomarkers/genestargets/28064","microRNA 150; microRNA 155")</f>
        <v>microRNA 150; microRNA 155</v>
      </c>
    </row>
    <row r="1625" spans="1:11" ht="60" customHeight="1" x14ac:dyDescent="0.2">
      <c r="A1625" s="2">
        <v>1622</v>
      </c>
      <c r="B1625" s="3" t="str">
        <f t="shared" si="260"/>
        <v>miR-155-5p</v>
      </c>
      <c r="C1625" s="3" t="str">
        <f t="shared" si="257"/>
        <v>MIR155</v>
      </c>
      <c r="D1625" s="3" t="str">
        <f t="shared" si="261"/>
        <v>hsa-miR-155-5p</v>
      </c>
      <c r="E1625" s="2" t="s">
        <v>72</v>
      </c>
      <c r="F1625" s="3" t="str">
        <f t="shared" si="262"/>
        <v>Mature microRNA-155-5p</v>
      </c>
      <c r="G1625" s="4"/>
      <c r="H1625" s="3" t="str">
        <f>HYPERLINK("https://www.cortellis.com/drugdiscovery/entity/biomarkers/31074","24-microRNA melanoma panel")</f>
        <v>24-microRNA melanoma panel</v>
      </c>
      <c r="I1625" s="2" t="s">
        <v>27</v>
      </c>
      <c r="J1625" s="2" t="s">
        <v>19</v>
      </c>
      <c r="K1625" s="4" t="str">
        <f>HYPERLINK("https://www.cortellis.com/drugdiscovery/result/proxy/related-content/biomarkers/genestargets/31074","microRNA 150; microRNA 155")</f>
        <v>microRNA 150; microRNA 155</v>
      </c>
    </row>
    <row r="1626" spans="1:11" ht="60" customHeight="1" x14ac:dyDescent="0.2">
      <c r="A1626" s="2">
        <v>1623</v>
      </c>
      <c r="B1626" s="3" t="str">
        <f t="shared" si="260"/>
        <v>miR-155-5p</v>
      </c>
      <c r="C1626" s="3" t="str">
        <f t="shared" si="257"/>
        <v>MIR155</v>
      </c>
      <c r="D1626" s="3" t="str">
        <f t="shared" si="261"/>
        <v>hsa-miR-155-5p</v>
      </c>
      <c r="E1626" s="2" t="s">
        <v>72</v>
      </c>
      <c r="F1626" s="3" t="str">
        <f t="shared" si="262"/>
        <v>Mature microRNA-155-5p</v>
      </c>
      <c r="G1626" s="4"/>
      <c r="H1626" s="3" t="str">
        <f>HYPERLINK("https://www.cortellis.com/drugdiscovery/entity/biomarkers/31615","3-microRNA cutaneous T-cell lymphoma panel")</f>
        <v>3-microRNA cutaneous T-cell lymphoma panel</v>
      </c>
      <c r="I1626" s="2" t="s">
        <v>23</v>
      </c>
      <c r="J1626" s="2" t="s">
        <v>19</v>
      </c>
      <c r="K1626" s="4" t="str">
        <f>HYPERLINK("https://www.cortellis.com/drugdiscovery/result/proxy/related-content/biomarkers/genestargets/31615","microRNA 155")</f>
        <v>microRNA 155</v>
      </c>
    </row>
    <row r="1627" spans="1:11" ht="60" customHeight="1" x14ac:dyDescent="0.2">
      <c r="A1627" s="2">
        <v>1624</v>
      </c>
      <c r="B1627" s="3" t="str">
        <f t="shared" si="260"/>
        <v>miR-155-5p</v>
      </c>
      <c r="C1627" s="3" t="str">
        <f t="shared" si="257"/>
        <v>MIR155</v>
      </c>
      <c r="D1627" s="3" t="str">
        <f t="shared" si="261"/>
        <v>hsa-miR-155-5p</v>
      </c>
      <c r="E1627" s="2" t="s">
        <v>72</v>
      </c>
      <c r="F1627" s="3" t="str">
        <f t="shared" si="262"/>
        <v>Mature microRNA-155-5p</v>
      </c>
      <c r="G1627" s="4"/>
      <c r="H1627" s="3" t="str">
        <f>HYPERLINK("https://www.cortellis.com/drugdiscovery/entity/biomarkers/33250","24-microRNA astrocytoma panel")</f>
        <v>24-microRNA astrocytoma panel</v>
      </c>
      <c r="I1627" s="2" t="s">
        <v>28</v>
      </c>
      <c r="J1627" s="2" t="s">
        <v>19</v>
      </c>
      <c r="K1627" s="4" t="str">
        <f>HYPERLINK("https://www.cortellis.com/drugdiscovery/result/proxy/related-content/biomarkers/genestargets/33250","microRNA 155")</f>
        <v>microRNA 155</v>
      </c>
    </row>
    <row r="1628" spans="1:11" ht="60" customHeight="1" x14ac:dyDescent="0.2">
      <c r="A1628" s="2">
        <v>1625</v>
      </c>
      <c r="B1628" s="3" t="str">
        <f t="shared" si="260"/>
        <v>miR-155-5p</v>
      </c>
      <c r="C1628" s="3" t="str">
        <f t="shared" si="257"/>
        <v>MIR155</v>
      </c>
      <c r="D1628" s="3" t="str">
        <f t="shared" si="261"/>
        <v>hsa-miR-155-5p</v>
      </c>
      <c r="E1628" s="2" t="s">
        <v>72</v>
      </c>
      <c r="F1628" s="3" t="str">
        <f t="shared" si="262"/>
        <v>Mature microRNA-155-5p</v>
      </c>
      <c r="G1628" s="4"/>
      <c r="H1628" s="3" t="str">
        <f>HYPERLINK("https://www.cortellis.com/drugdiscovery/entity/biomarkers/38474","63-gene expression cancer panel")</f>
        <v>63-gene expression cancer panel</v>
      </c>
      <c r="I1628" s="2" t="s">
        <v>18</v>
      </c>
      <c r="J1628" s="2" t="s">
        <v>19</v>
      </c>
      <c r="K1628" s="4" t="str">
        <f>HYPERLINK("https://www.cortellis.com/drugdiscovery/result/proxy/related-content/biomarkers/genestargets/38474","microRNA 155")</f>
        <v>microRNA 155</v>
      </c>
    </row>
    <row r="1629" spans="1:11" ht="60" customHeight="1" x14ac:dyDescent="0.2">
      <c r="A1629" s="2">
        <v>1626</v>
      </c>
      <c r="B1629" s="3" t="str">
        <f t="shared" si="260"/>
        <v>miR-155-5p</v>
      </c>
      <c r="C1629" s="3" t="str">
        <f t="shared" si="257"/>
        <v>MIR155</v>
      </c>
      <c r="D1629" s="3" t="str">
        <f t="shared" si="261"/>
        <v>hsa-miR-155-5p</v>
      </c>
      <c r="E1629" s="2" t="s">
        <v>72</v>
      </c>
      <c r="F1629" s="3" t="str">
        <f t="shared" si="262"/>
        <v>Mature microRNA-155-5p</v>
      </c>
      <c r="G1629" s="4"/>
      <c r="H1629" s="3" t="str">
        <f>HYPERLINK("https://www.cortellis.com/drugdiscovery/entity/biomarkers/39101","microRNA 155-5p")</f>
        <v>microRNA 155-5p</v>
      </c>
      <c r="I1629" s="2" t="s">
        <v>90</v>
      </c>
      <c r="J1629" s="2" t="s">
        <v>19</v>
      </c>
      <c r="K1629" s="4" t="str">
        <f>HYPERLINK("https://www.cortellis.com/drugdiscovery/result/proxy/related-content/biomarkers/genestargets/39101","microRNA 155")</f>
        <v>microRNA 155</v>
      </c>
    </row>
    <row r="1630" spans="1:11" ht="60" customHeight="1" x14ac:dyDescent="0.2">
      <c r="A1630" s="2">
        <v>1627</v>
      </c>
      <c r="B1630" s="3" t="str">
        <f t="shared" si="260"/>
        <v>miR-155-5p</v>
      </c>
      <c r="C1630" s="3" t="str">
        <f t="shared" si="257"/>
        <v>MIR155</v>
      </c>
      <c r="D1630" s="3" t="str">
        <f t="shared" si="261"/>
        <v>hsa-miR-155-5p</v>
      </c>
      <c r="E1630" s="2" t="s">
        <v>72</v>
      </c>
      <c r="F1630" s="3" t="str">
        <f t="shared" si="262"/>
        <v>Mature microRNA-155-5p</v>
      </c>
      <c r="G1630" s="4"/>
      <c r="H1630" s="3" t="str">
        <f>HYPERLINK("https://www.cortellis.com/drugdiscovery/entity/biomarkers/40697","7-miRNA expression anapalstic large cell lymphoma")</f>
        <v>7-miRNA expression anapalstic large cell lymphoma</v>
      </c>
      <c r="I1630" s="2" t="s">
        <v>23</v>
      </c>
      <c r="J1630" s="2" t="s">
        <v>19</v>
      </c>
      <c r="K1630" s="4" t="str">
        <f>HYPERLINK("https://www.cortellis.com/drugdiscovery/result/proxy/related-content/biomarkers/genestargets/40697","microRNA 146a; microRNA 155")</f>
        <v>microRNA 146a; microRNA 155</v>
      </c>
    </row>
    <row r="1631" spans="1:11" ht="60" customHeight="1" x14ac:dyDescent="0.2">
      <c r="A1631" s="2">
        <v>1628</v>
      </c>
      <c r="B1631" s="3" t="str">
        <f t="shared" si="260"/>
        <v>miR-155-5p</v>
      </c>
      <c r="C1631" s="3" t="str">
        <f t="shared" si="257"/>
        <v>MIR155</v>
      </c>
      <c r="D1631" s="3" t="str">
        <f t="shared" si="261"/>
        <v>hsa-miR-155-5p</v>
      </c>
      <c r="E1631" s="2" t="s">
        <v>72</v>
      </c>
      <c r="F1631" s="3" t="str">
        <f t="shared" si="262"/>
        <v>Mature microRNA-155-5p</v>
      </c>
      <c r="G1631" s="4"/>
      <c r="H1631" s="3" t="str">
        <f>HYPERLINK("https://www.cortellis.com/drugdiscovery/entity/biomarkers/42962","3-microRNA lung cancer panel")</f>
        <v>3-microRNA lung cancer panel</v>
      </c>
      <c r="I1631" s="2" t="s">
        <v>23</v>
      </c>
      <c r="J1631" s="2" t="s">
        <v>19</v>
      </c>
      <c r="K1631" s="4" t="str">
        <f>HYPERLINK("https://www.cortellis.com/drugdiscovery/result/proxy/related-content/biomarkers/genestargets/42962","microRNA 155")</f>
        <v>microRNA 155</v>
      </c>
    </row>
    <row r="1632" spans="1:11" ht="60" customHeight="1" x14ac:dyDescent="0.2">
      <c r="A1632" s="2">
        <v>1629</v>
      </c>
      <c r="B1632" s="3" t="str">
        <f t="shared" si="260"/>
        <v>miR-155-5p</v>
      </c>
      <c r="C1632" s="3" t="str">
        <f t="shared" si="257"/>
        <v>MIR155</v>
      </c>
      <c r="D1632" s="3" t="str">
        <f t="shared" si="261"/>
        <v>hsa-miR-155-5p</v>
      </c>
      <c r="E1632" s="2" t="s">
        <v>72</v>
      </c>
      <c r="F1632" s="3" t="str">
        <f t="shared" si="262"/>
        <v>Mature microRNA-155-5p</v>
      </c>
      <c r="G1632" s="4"/>
      <c r="H1632" s="3" t="str">
        <f>HYPERLINK("https://www.cortellis.com/drugdiscovery/entity/biomarkers/44486","microRNA 155-3p")</f>
        <v>microRNA 155-3p</v>
      </c>
      <c r="I1632" s="2" t="s">
        <v>91</v>
      </c>
      <c r="J1632" s="2" t="s">
        <v>19</v>
      </c>
      <c r="K1632" s="4" t="str">
        <f>HYPERLINK("https://www.cortellis.com/drugdiscovery/result/proxy/related-content/biomarkers/genestargets/44486","microRNA 155")</f>
        <v>microRNA 155</v>
      </c>
    </row>
    <row r="1633" spans="1:11" ht="60" customHeight="1" x14ac:dyDescent="0.2">
      <c r="A1633" s="2">
        <v>1630</v>
      </c>
      <c r="B1633" s="3" t="str">
        <f t="shared" si="260"/>
        <v>miR-155-5p</v>
      </c>
      <c r="C1633" s="3" t="str">
        <f t="shared" si="257"/>
        <v>MIR155</v>
      </c>
      <c r="D1633" s="3" t="str">
        <f t="shared" si="261"/>
        <v>hsa-miR-155-5p</v>
      </c>
      <c r="E1633" s="2" t="s">
        <v>72</v>
      </c>
      <c r="F1633" s="3" t="str">
        <f t="shared" si="262"/>
        <v>Mature microRNA-155-5p</v>
      </c>
      <c r="G1633" s="4"/>
      <c r="H1633" s="3" t="str">
        <f>HYPERLINK("https://www.cortellis.com/drugdiscovery/entity/biomarkers/45344","4-microRNA breast cancer panel")</f>
        <v>4-microRNA breast cancer panel</v>
      </c>
      <c r="I1633" s="2" t="s">
        <v>33</v>
      </c>
      <c r="J1633" s="2" t="s">
        <v>19</v>
      </c>
      <c r="K1633" s="4" t="str">
        <f>HYPERLINK("https://www.cortellis.com/drugdiscovery/result/proxy/related-content/biomarkers/genestargets/45344","microRNA 155")</f>
        <v>microRNA 155</v>
      </c>
    </row>
    <row r="1634" spans="1:11" ht="60" customHeight="1" x14ac:dyDescent="0.2">
      <c r="A1634" s="2">
        <v>1631</v>
      </c>
      <c r="B1634" s="3" t="str">
        <f t="shared" si="260"/>
        <v>miR-155-5p</v>
      </c>
      <c r="C1634" s="3" t="str">
        <f t="shared" si="257"/>
        <v>MIR155</v>
      </c>
      <c r="D1634" s="3" t="str">
        <f t="shared" si="261"/>
        <v>hsa-miR-155-5p</v>
      </c>
      <c r="E1634" s="2" t="s">
        <v>72</v>
      </c>
      <c r="F1634" s="3" t="str">
        <f t="shared" si="262"/>
        <v>Mature microRNA-155-5p</v>
      </c>
      <c r="G1634" s="4"/>
      <c r="H1634" s="3" t="str">
        <f>HYPERLINK("https://www.cortellis.com/drugdiscovery/entity/biomarkers/47602","5-microRNA pancreatic cancer panel")</f>
        <v>5-microRNA pancreatic cancer panel</v>
      </c>
      <c r="I1634" s="2" t="s">
        <v>23</v>
      </c>
      <c r="J1634" s="2" t="s">
        <v>19</v>
      </c>
      <c r="K1634" s="4" t="str">
        <f>HYPERLINK("https://www.cortellis.com/drugdiscovery/result/proxy/related-content/biomarkers/genestargets/47602","microRNA 155")</f>
        <v>microRNA 155</v>
      </c>
    </row>
    <row r="1635" spans="1:11" ht="60" customHeight="1" x14ac:dyDescent="0.2">
      <c r="A1635" s="2">
        <v>1632</v>
      </c>
      <c r="B1635" s="3" t="str">
        <f t="shared" si="260"/>
        <v>miR-155-5p</v>
      </c>
      <c r="C1635" s="3" t="str">
        <f t="shared" si="257"/>
        <v>MIR155</v>
      </c>
      <c r="D1635" s="3" t="str">
        <f t="shared" si="261"/>
        <v>hsa-miR-155-5p</v>
      </c>
      <c r="E1635" s="2" t="s">
        <v>72</v>
      </c>
      <c r="F1635" s="3" t="str">
        <f t="shared" si="262"/>
        <v>Mature microRNA-155-5p</v>
      </c>
      <c r="G1635" s="4"/>
      <c r="H1635" s="3" t="str">
        <f>HYPERLINK("https://www.cortellis.com/drugdiscovery/entity/biomarkers/49602","9-microRNA breast cancer panel")</f>
        <v>9-microRNA breast cancer panel</v>
      </c>
      <c r="I1635" s="2" t="s">
        <v>23</v>
      </c>
      <c r="J1635" s="2" t="s">
        <v>19</v>
      </c>
      <c r="K1635" s="4" t="str">
        <f>HYPERLINK("https://www.cortellis.com/drugdiscovery/result/proxy/related-content/biomarkers/genestargets/49602","microRNA 155")</f>
        <v>microRNA 155</v>
      </c>
    </row>
    <row r="1636" spans="1:11" ht="60" customHeight="1" x14ac:dyDescent="0.2">
      <c r="A1636" s="2">
        <v>1633</v>
      </c>
      <c r="B1636" s="3" t="str">
        <f t="shared" si="260"/>
        <v>miR-155-5p</v>
      </c>
      <c r="C1636" s="3" t="str">
        <f t="shared" si="257"/>
        <v>MIR155</v>
      </c>
      <c r="D1636" s="3" t="str">
        <f t="shared" si="261"/>
        <v>hsa-miR-155-5p</v>
      </c>
      <c r="E1636" s="2" t="s">
        <v>72</v>
      </c>
      <c r="F1636" s="3" t="str">
        <f t="shared" si="262"/>
        <v>Mature microRNA-155-5p</v>
      </c>
      <c r="G1636" s="4"/>
      <c r="H1636" s="3" t="str">
        <f>HYPERLINK("https://www.cortellis.com/drugdiscovery/entity/biomarkers/50117","24-microRNA non-small cell lung cancer panel")</f>
        <v>24-microRNA non-small cell lung cancer panel</v>
      </c>
      <c r="I1636" s="2" t="s">
        <v>23</v>
      </c>
      <c r="J1636" s="2" t="s">
        <v>19</v>
      </c>
      <c r="K1636" s="4" t="str">
        <f>HYPERLINK("https://www.cortellis.com/drugdiscovery/result/proxy/related-content/biomarkers/genestargets/50117","microRNA 155")</f>
        <v>microRNA 155</v>
      </c>
    </row>
    <row r="1637" spans="1:11" ht="60" customHeight="1" x14ac:dyDescent="0.2">
      <c r="A1637" s="2">
        <v>1634</v>
      </c>
      <c r="B1637" s="3" t="str">
        <f t="shared" si="260"/>
        <v>miR-155-5p</v>
      </c>
      <c r="C1637" s="3" t="str">
        <f t="shared" si="257"/>
        <v>MIR155</v>
      </c>
      <c r="D1637" s="3" t="str">
        <f t="shared" si="261"/>
        <v>hsa-miR-155-5p</v>
      </c>
      <c r="E1637" s="2" t="s">
        <v>72</v>
      </c>
      <c r="F1637" s="3" t="str">
        <f t="shared" si="262"/>
        <v>Mature microRNA-155-5p</v>
      </c>
      <c r="G1637" s="4"/>
      <c r="H1637" s="3" t="str">
        <f>HYPERLINK("https://www.cortellis.com/drugdiscovery/entity/biomarkers/50455","6-microRNA expression chronic lymphocytic leukemia panel")</f>
        <v>6-microRNA expression chronic lymphocytic leukemia panel</v>
      </c>
      <c r="I1637" s="2" t="s">
        <v>23</v>
      </c>
      <c r="J1637" s="2" t="s">
        <v>19</v>
      </c>
      <c r="K1637" s="4" t="str">
        <f>HYPERLINK("https://www.cortellis.com/drugdiscovery/result/proxy/related-content/biomarkers/genestargets/50455","microRNA 150; microRNA 155; microRNA 223")</f>
        <v>microRNA 150; microRNA 155; microRNA 223</v>
      </c>
    </row>
    <row r="1638" spans="1:11" ht="60" customHeight="1" x14ac:dyDescent="0.2">
      <c r="A1638" s="2">
        <v>1635</v>
      </c>
      <c r="B1638" s="3" t="str">
        <f t="shared" si="260"/>
        <v>miR-155-5p</v>
      </c>
      <c r="C1638" s="3" t="str">
        <f t="shared" si="257"/>
        <v>MIR155</v>
      </c>
      <c r="D1638" s="3" t="str">
        <f t="shared" si="261"/>
        <v>hsa-miR-155-5p</v>
      </c>
      <c r="E1638" s="2" t="s">
        <v>72</v>
      </c>
      <c r="F1638" s="3" t="str">
        <f t="shared" si="262"/>
        <v>Mature microRNA-155-5p</v>
      </c>
      <c r="G1638" s="4"/>
      <c r="H1638" s="3" t="str">
        <f>HYPERLINK("https://www.cortellis.com/drugdiscovery/entity/biomarkers/64114","10-gene expression thyroid cancer panel")</f>
        <v>10-gene expression thyroid cancer panel</v>
      </c>
      <c r="I1638" s="2" t="s">
        <v>25</v>
      </c>
      <c r="J1638" s="2" t="s">
        <v>19</v>
      </c>
      <c r="K1638" s="4" t="str">
        <f>HYPERLINK("https://www.cortellis.com/drugdiscovery/result/proxy/related-content/biomarkers/genestargets/64114","microRNA 146b; microRNA 155")</f>
        <v>microRNA 146b; microRNA 155</v>
      </c>
    </row>
    <row r="1639" spans="1:11" ht="60" customHeight="1" x14ac:dyDescent="0.2">
      <c r="A1639" s="2">
        <v>1636</v>
      </c>
      <c r="B1639" s="3" t="str">
        <f t="shared" ref="B1639:B1644" si="263">HYPERLINK("https://portal.genego.com/cgi/entity_page.cgi?term=100&amp;id=-671025204","miR-208a-3p")</f>
        <v>miR-208a-3p</v>
      </c>
      <c r="C1639" s="3" t="str">
        <f t="shared" ref="C1639:C1650" si="264">HYPERLINK("https://portal.genego.com/cgi/entity_page.cgi?term=20&amp;id=-614753743","MIR208A")</f>
        <v>MIR208A</v>
      </c>
      <c r="D1639" s="3" t="str">
        <f t="shared" ref="D1639:D1644" si="265">HYPERLINK("https://portal.genego.com/cgi/entity_page.cgi?term=7&amp;id=-1336052029","hsa-miR-208a-3p")</f>
        <v>hsa-miR-208a-3p</v>
      </c>
      <c r="E1639" s="2" t="s">
        <v>72</v>
      </c>
      <c r="F1639" s="3" t="str">
        <f t="shared" ref="F1639:F1644" si="266">HYPERLINK("https://portal.genego.com/cgi/entity_page.cgi?term=100&amp;id=-671025204","Mature microRNA-208a-3p")</f>
        <v>Mature microRNA-208a-3p</v>
      </c>
      <c r="G1639" s="4"/>
      <c r="H1639" s="3" t="str">
        <f>HYPERLINK("https://www.cortellis.com/drugdiscovery/entity/biomarkers/14147","microRNA 208a")</f>
        <v>microRNA 208a</v>
      </c>
      <c r="I1639" s="2" t="s">
        <v>92</v>
      </c>
      <c r="J1639" s="2" t="s">
        <v>19</v>
      </c>
      <c r="K1639" s="4" t="str">
        <f>HYPERLINK("https://www.cortellis.com/drugdiscovery/result/proxy/related-content/biomarkers/genestargets/14147","microRNA 208a")</f>
        <v>microRNA 208a</v>
      </c>
    </row>
    <row r="1640" spans="1:11" ht="60" customHeight="1" x14ac:dyDescent="0.2">
      <c r="A1640" s="2">
        <v>1637</v>
      </c>
      <c r="B1640" s="3" t="str">
        <f t="shared" si="263"/>
        <v>miR-208a-3p</v>
      </c>
      <c r="C1640" s="3" t="str">
        <f t="shared" si="264"/>
        <v>MIR208A</v>
      </c>
      <c r="D1640" s="3" t="str">
        <f t="shared" si="265"/>
        <v>hsa-miR-208a-3p</v>
      </c>
      <c r="E1640" s="2" t="s">
        <v>72</v>
      </c>
      <c r="F1640" s="3" t="str">
        <f t="shared" si="266"/>
        <v>Mature microRNA-208a-3p</v>
      </c>
      <c r="G1640" s="4"/>
      <c r="H1640" s="3" t="str">
        <f>HYPERLINK("https://www.cortellis.com/drugdiscovery/entity/biomarkers/46333","microRNA 208a-3p")</f>
        <v>microRNA 208a-3p</v>
      </c>
      <c r="I1640" s="2" t="s">
        <v>93</v>
      </c>
      <c r="J1640" s="2" t="s">
        <v>19</v>
      </c>
      <c r="K1640" s="4" t="str">
        <f>HYPERLINK("https://www.cortellis.com/drugdiscovery/result/proxy/related-content/biomarkers/genestargets/46333","microRNA 208a")</f>
        <v>microRNA 208a</v>
      </c>
    </row>
    <row r="1641" spans="1:11" ht="60" customHeight="1" x14ac:dyDescent="0.2">
      <c r="A1641" s="2">
        <v>1638</v>
      </c>
      <c r="B1641" s="3" t="str">
        <f t="shared" si="263"/>
        <v>miR-208a-3p</v>
      </c>
      <c r="C1641" s="3" t="str">
        <f t="shared" si="264"/>
        <v>MIR208A</v>
      </c>
      <c r="D1641" s="3" t="str">
        <f t="shared" si="265"/>
        <v>hsa-miR-208a-3p</v>
      </c>
      <c r="E1641" s="2" t="s">
        <v>72</v>
      </c>
      <c r="F1641" s="3" t="str">
        <f t="shared" si="266"/>
        <v>Mature microRNA-208a-3p</v>
      </c>
      <c r="G1641" s="4"/>
      <c r="H1641" s="3" t="str">
        <f>HYPERLINK("https://www.cortellis.com/drugdiscovery/entity/biomarkers/51303","microRNA 208a-5p")</f>
        <v>microRNA 208a-5p</v>
      </c>
      <c r="I1641" s="2" t="s">
        <v>94</v>
      </c>
      <c r="J1641" s="2" t="s">
        <v>19</v>
      </c>
      <c r="K1641" s="4" t="str">
        <f>HYPERLINK("https://www.cortellis.com/drugdiscovery/result/proxy/related-content/biomarkers/genestargets/51303","microRNA 208a")</f>
        <v>microRNA 208a</v>
      </c>
    </row>
    <row r="1642" spans="1:11" ht="60" customHeight="1" x14ac:dyDescent="0.2">
      <c r="A1642" s="2">
        <v>1639</v>
      </c>
      <c r="B1642" s="3" t="str">
        <f t="shared" si="263"/>
        <v>miR-208a-3p</v>
      </c>
      <c r="C1642" s="3" t="str">
        <f t="shared" si="264"/>
        <v>MIR208A</v>
      </c>
      <c r="D1642" s="3" t="str">
        <f t="shared" si="265"/>
        <v>hsa-miR-208a-3p</v>
      </c>
      <c r="E1642" s="2" t="s">
        <v>72</v>
      </c>
      <c r="F1642" s="3" t="str">
        <f t="shared" si="266"/>
        <v>Mature microRNA-208a-3p</v>
      </c>
      <c r="G1642" s="4"/>
      <c r="H1642" s="3" t="str">
        <f>HYPERLINK("https://www.cortellis.com/drugdiscovery/entity/biomarkers/59612","3-microRNA transplant rejection panel")</f>
        <v>3-microRNA transplant rejection panel</v>
      </c>
      <c r="I1642" s="2" t="s">
        <v>23</v>
      </c>
      <c r="J1642" s="2" t="s">
        <v>19</v>
      </c>
      <c r="K1642" s="4" t="str">
        <f>HYPERLINK("https://www.cortellis.com/drugdiscovery/result/proxy/related-content/biomarkers/genestargets/59612","microRNA 208a")</f>
        <v>microRNA 208a</v>
      </c>
    </row>
    <row r="1643" spans="1:11" ht="60" customHeight="1" x14ac:dyDescent="0.2">
      <c r="A1643" s="2">
        <v>1640</v>
      </c>
      <c r="B1643" s="3" t="str">
        <f t="shared" si="263"/>
        <v>miR-208a-3p</v>
      </c>
      <c r="C1643" s="3" t="str">
        <f t="shared" si="264"/>
        <v>MIR208A</v>
      </c>
      <c r="D1643" s="3" t="str">
        <f t="shared" si="265"/>
        <v>hsa-miR-208a-3p</v>
      </c>
      <c r="E1643" s="2" t="s">
        <v>72</v>
      </c>
      <c r="F1643" s="3" t="str">
        <f t="shared" si="266"/>
        <v>Mature microRNA-208a-3p</v>
      </c>
      <c r="G1643" s="4"/>
      <c r="H1643" s="3" t="str">
        <f>HYPERLINK("https://www.cortellis.com/drugdiscovery/entity/biomarkers/59614","5-microRNA acute cellular rejection panel")</f>
        <v>5-microRNA acute cellular rejection panel</v>
      </c>
      <c r="I1643" s="2" t="s">
        <v>23</v>
      </c>
      <c r="J1643" s="2" t="s">
        <v>19</v>
      </c>
      <c r="K1643" s="4" t="str">
        <f>HYPERLINK("https://www.cortellis.com/drugdiscovery/result/proxy/related-content/biomarkers/genestargets/59614","microRNA 208a")</f>
        <v>microRNA 208a</v>
      </c>
    </row>
    <row r="1644" spans="1:11" ht="60" customHeight="1" x14ac:dyDescent="0.2">
      <c r="A1644" s="2">
        <v>1641</v>
      </c>
      <c r="B1644" s="3" t="str">
        <f t="shared" si="263"/>
        <v>miR-208a-3p</v>
      </c>
      <c r="C1644" s="3" t="str">
        <f t="shared" si="264"/>
        <v>MIR208A</v>
      </c>
      <c r="D1644" s="3" t="str">
        <f t="shared" si="265"/>
        <v>hsa-miR-208a-3p</v>
      </c>
      <c r="E1644" s="2" t="s">
        <v>72</v>
      </c>
      <c r="F1644" s="3" t="str">
        <f t="shared" si="266"/>
        <v>Mature microRNA-208a-3p</v>
      </c>
      <c r="G1644" s="4"/>
      <c r="H1644" s="3" t="str">
        <f>HYPERLINK("https://www.cortellis.com/drugdiscovery/entity/biomarkers/65007","2-microRNA non-small cell lung cancer panel")</f>
        <v>2-microRNA non-small cell lung cancer panel</v>
      </c>
      <c r="I1644" s="2" t="s">
        <v>18</v>
      </c>
      <c r="J1644" s="2" t="s">
        <v>19</v>
      </c>
      <c r="K1644" s="4" t="str">
        <f>HYPERLINK("https://www.cortellis.com/drugdiscovery/result/proxy/related-content/biomarkers/genestargets/65007","microRNA 208a")</f>
        <v>microRNA 208a</v>
      </c>
    </row>
    <row r="1645" spans="1:11" ht="60" customHeight="1" x14ac:dyDescent="0.2">
      <c r="A1645" s="2">
        <v>1642</v>
      </c>
      <c r="B1645" s="3" t="str">
        <f t="shared" ref="B1645:B1650" si="267">HYPERLINK("https://portal.genego.com/cgi/entity_page.cgi?term=100&amp;id=-427567967","miR-208a-5p")</f>
        <v>miR-208a-5p</v>
      </c>
      <c r="C1645" s="3" t="str">
        <f t="shared" si="264"/>
        <v>MIR208A</v>
      </c>
      <c r="D1645" s="3" t="str">
        <f t="shared" ref="D1645:D1650" si="268">HYPERLINK("https://portal.genego.com/cgi/entity_page.cgi?term=7&amp;id=-1407715386","hsa-miR-208a-5p")</f>
        <v>hsa-miR-208a-5p</v>
      </c>
      <c r="E1645" s="2" t="s">
        <v>72</v>
      </c>
      <c r="F1645" s="3" t="str">
        <f t="shared" ref="F1645:F1650" si="269">HYPERLINK("https://portal.genego.com/cgi/entity_page.cgi?term=100&amp;id=-427567967","Mature microRNA-208a-5p")</f>
        <v>Mature microRNA-208a-5p</v>
      </c>
      <c r="G1645" s="4"/>
      <c r="H1645" s="3" t="str">
        <f>HYPERLINK("https://www.cortellis.com/drugdiscovery/entity/biomarkers/14147","microRNA 208a")</f>
        <v>microRNA 208a</v>
      </c>
      <c r="I1645" s="2" t="s">
        <v>92</v>
      </c>
      <c r="J1645" s="2" t="s">
        <v>19</v>
      </c>
      <c r="K1645" s="4" t="str">
        <f>HYPERLINK("https://www.cortellis.com/drugdiscovery/result/proxy/related-content/biomarkers/genestargets/14147","microRNA 208a")</f>
        <v>microRNA 208a</v>
      </c>
    </row>
    <row r="1646" spans="1:11" ht="60" customHeight="1" x14ac:dyDescent="0.2">
      <c r="A1646" s="2">
        <v>1643</v>
      </c>
      <c r="B1646" s="3" t="str">
        <f t="shared" si="267"/>
        <v>miR-208a-5p</v>
      </c>
      <c r="C1646" s="3" t="str">
        <f t="shared" si="264"/>
        <v>MIR208A</v>
      </c>
      <c r="D1646" s="3" t="str">
        <f t="shared" si="268"/>
        <v>hsa-miR-208a-5p</v>
      </c>
      <c r="E1646" s="2" t="s">
        <v>72</v>
      </c>
      <c r="F1646" s="3" t="str">
        <f t="shared" si="269"/>
        <v>Mature microRNA-208a-5p</v>
      </c>
      <c r="G1646" s="4"/>
      <c r="H1646" s="3" t="str">
        <f>HYPERLINK("https://www.cortellis.com/drugdiscovery/entity/biomarkers/46333","microRNA 208a-3p")</f>
        <v>microRNA 208a-3p</v>
      </c>
      <c r="I1646" s="2" t="s">
        <v>93</v>
      </c>
      <c r="J1646" s="2" t="s">
        <v>19</v>
      </c>
      <c r="K1646" s="4" t="str">
        <f>HYPERLINK("https://www.cortellis.com/drugdiscovery/result/proxy/related-content/biomarkers/genestargets/46333","microRNA 208a")</f>
        <v>microRNA 208a</v>
      </c>
    </row>
    <row r="1647" spans="1:11" ht="60" customHeight="1" x14ac:dyDescent="0.2">
      <c r="A1647" s="2">
        <v>1644</v>
      </c>
      <c r="B1647" s="3" t="str">
        <f t="shared" si="267"/>
        <v>miR-208a-5p</v>
      </c>
      <c r="C1647" s="3" t="str">
        <f t="shared" si="264"/>
        <v>MIR208A</v>
      </c>
      <c r="D1647" s="3" t="str">
        <f t="shared" si="268"/>
        <v>hsa-miR-208a-5p</v>
      </c>
      <c r="E1647" s="2" t="s">
        <v>72</v>
      </c>
      <c r="F1647" s="3" t="str">
        <f t="shared" si="269"/>
        <v>Mature microRNA-208a-5p</v>
      </c>
      <c r="G1647" s="4"/>
      <c r="H1647" s="3" t="str">
        <f>HYPERLINK("https://www.cortellis.com/drugdiscovery/entity/biomarkers/51303","microRNA 208a-5p")</f>
        <v>microRNA 208a-5p</v>
      </c>
      <c r="I1647" s="2" t="s">
        <v>94</v>
      </c>
      <c r="J1647" s="2" t="s">
        <v>19</v>
      </c>
      <c r="K1647" s="4" t="str">
        <f>HYPERLINK("https://www.cortellis.com/drugdiscovery/result/proxy/related-content/biomarkers/genestargets/51303","microRNA 208a")</f>
        <v>microRNA 208a</v>
      </c>
    </row>
    <row r="1648" spans="1:11" ht="60" customHeight="1" x14ac:dyDescent="0.2">
      <c r="A1648" s="2">
        <v>1645</v>
      </c>
      <c r="B1648" s="3" t="str">
        <f t="shared" si="267"/>
        <v>miR-208a-5p</v>
      </c>
      <c r="C1648" s="3" t="str">
        <f t="shared" si="264"/>
        <v>MIR208A</v>
      </c>
      <c r="D1648" s="3" t="str">
        <f t="shared" si="268"/>
        <v>hsa-miR-208a-5p</v>
      </c>
      <c r="E1648" s="2" t="s">
        <v>72</v>
      </c>
      <c r="F1648" s="3" t="str">
        <f t="shared" si="269"/>
        <v>Mature microRNA-208a-5p</v>
      </c>
      <c r="G1648" s="4"/>
      <c r="H1648" s="3" t="str">
        <f>HYPERLINK("https://www.cortellis.com/drugdiscovery/entity/biomarkers/59612","3-microRNA transplant rejection panel")</f>
        <v>3-microRNA transplant rejection panel</v>
      </c>
      <c r="I1648" s="2" t="s">
        <v>23</v>
      </c>
      <c r="J1648" s="2" t="s">
        <v>19</v>
      </c>
      <c r="K1648" s="4" t="str">
        <f>HYPERLINK("https://www.cortellis.com/drugdiscovery/result/proxy/related-content/biomarkers/genestargets/59612","microRNA 208a")</f>
        <v>microRNA 208a</v>
      </c>
    </row>
    <row r="1649" spans="1:11" ht="60" customHeight="1" x14ac:dyDescent="0.2">
      <c r="A1649" s="2">
        <v>1646</v>
      </c>
      <c r="B1649" s="3" t="str">
        <f t="shared" si="267"/>
        <v>miR-208a-5p</v>
      </c>
      <c r="C1649" s="3" t="str">
        <f t="shared" si="264"/>
        <v>MIR208A</v>
      </c>
      <c r="D1649" s="3" t="str">
        <f t="shared" si="268"/>
        <v>hsa-miR-208a-5p</v>
      </c>
      <c r="E1649" s="2" t="s">
        <v>72</v>
      </c>
      <c r="F1649" s="3" t="str">
        <f t="shared" si="269"/>
        <v>Mature microRNA-208a-5p</v>
      </c>
      <c r="G1649" s="4"/>
      <c r="H1649" s="3" t="str">
        <f>HYPERLINK("https://www.cortellis.com/drugdiscovery/entity/biomarkers/59614","5-microRNA acute cellular rejection panel")</f>
        <v>5-microRNA acute cellular rejection panel</v>
      </c>
      <c r="I1649" s="2" t="s">
        <v>23</v>
      </c>
      <c r="J1649" s="2" t="s">
        <v>19</v>
      </c>
      <c r="K1649" s="4" t="str">
        <f>HYPERLINK("https://www.cortellis.com/drugdiscovery/result/proxy/related-content/biomarkers/genestargets/59614","microRNA 208a")</f>
        <v>microRNA 208a</v>
      </c>
    </row>
    <row r="1650" spans="1:11" ht="60" customHeight="1" x14ac:dyDescent="0.2">
      <c r="A1650" s="2">
        <v>1647</v>
      </c>
      <c r="B1650" s="3" t="str">
        <f t="shared" si="267"/>
        <v>miR-208a-5p</v>
      </c>
      <c r="C1650" s="3" t="str">
        <f t="shared" si="264"/>
        <v>MIR208A</v>
      </c>
      <c r="D1650" s="3" t="str">
        <f t="shared" si="268"/>
        <v>hsa-miR-208a-5p</v>
      </c>
      <c r="E1650" s="2" t="s">
        <v>72</v>
      </c>
      <c r="F1650" s="3" t="str">
        <f t="shared" si="269"/>
        <v>Mature microRNA-208a-5p</v>
      </c>
      <c r="G1650" s="4"/>
      <c r="H1650" s="3" t="str">
        <f>HYPERLINK("https://www.cortellis.com/drugdiscovery/entity/biomarkers/65007","2-microRNA non-small cell lung cancer panel")</f>
        <v>2-microRNA non-small cell lung cancer panel</v>
      </c>
      <c r="I1650" s="2" t="s">
        <v>18</v>
      </c>
      <c r="J1650" s="2" t="s">
        <v>19</v>
      </c>
      <c r="K1650" s="4" t="str">
        <f>HYPERLINK("https://www.cortellis.com/drugdiscovery/result/proxy/related-content/biomarkers/genestargets/65007","microRNA 208a")</f>
        <v>microRNA 208a</v>
      </c>
    </row>
    <row r="1651" spans="1:11" ht="60" customHeight="1" x14ac:dyDescent="0.2">
      <c r="A1651" s="2">
        <v>1648</v>
      </c>
      <c r="B1651" s="3" t="str">
        <f>HYPERLINK("https://portal.genego.com/cgi/entity_page.cgi?term=100&amp;id=-2079879172","miR-208b-3p")</f>
        <v>miR-208b-3p</v>
      </c>
      <c r="C1651" s="3" t="str">
        <f>HYPERLINK("https://portal.genego.com/cgi/entity_page.cgi?term=20&amp;id=-1760999767","MIR208B")</f>
        <v>MIR208B</v>
      </c>
      <c r="D1651" s="3" t="str">
        <f>HYPERLINK("https://portal.genego.com/cgi/entity_page.cgi?term=7&amp;id=-308782935","hsa-miR-208b-3p")</f>
        <v>hsa-miR-208b-3p</v>
      </c>
      <c r="E1651" s="2" t="s">
        <v>72</v>
      </c>
      <c r="F1651" s="3" t="str">
        <f>HYPERLINK("https://portal.genego.com/cgi/entity_page.cgi?term=100&amp;id=-2079879172","Mature microRNA-208b-3p")</f>
        <v>Mature microRNA-208b-3p</v>
      </c>
      <c r="G1651" s="4"/>
      <c r="H1651" s="3" t="str">
        <f>HYPERLINK("https://www.cortellis.com/drugdiscovery/entity/biomarkers/9894","microRNA 208b")</f>
        <v>microRNA 208b</v>
      </c>
      <c r="I1651" s="2" t="s">
        <v>80</v>
      </c>
      <c r="J1651" s="2" t="s">
        <v>19</v>
      </c>
      <c r="K1651" s="4" t="str">
        <f>HYPERLINK("https://www.cortellis.com/drugdiscovery/result/proxy/related-content/biomarkers/genestargets/9894","microRNA 208b")</f>
        <v>microRNA 208b</v>
      </c>
    </row>
    <row r="1652" spans="1:11" ht="60" customHeight="1" x14ac:dyDescent="0.2">
      <c r="A1652" s="2">
        <v>1649</v>
      </c>
      <c r="B1652" s="3" t="str">
        <f>HYPERLINK("https://portal.genego.com/cgi/entity_page.cgi?term=100&amp;id=-2079879172","miR-208b-3p")</f>
        <v>miR-208b-3p</v>
      </c>
      <c r="C1652" s="3" t="str">
        <f>HYPERLINK("https://portal.genego.com/cgi/entity_page.cgi?term=20&amp;id=-1760999767","MIR208B")</f>
        <v>MIR208B</v>
      </c>
      <c r="D1652" s="3" t="str">
        <f>HYPERLINK("https://portal.genego.com/cgi/entity_page.cgi?term=7&amp;id=-308782935","hsa-miR-208b-3p")</f>
        <v>hsa-miR-208b-3p</v>
      </c>
      <c r="E1652" s="2" t="s">
        <v>72</v>
      </c>
      <c r="F1652" s="3" t="str">
        <f>HYPERLINK("https://portal.genego.com/cgi/entity_page.cgi?term=100&amp;id=-2079879172","Mature microRNA-208b-3p")</f>
        <v>Mature microRNA-208b-3p</v>
      </c>
      <c r="G1652" s="4"/>
      <c r="H1652" s="3" t="str">
        <f>HYPERLINK("https://www.cortellis.com/drugdiscovery/entity/biomarkers/42307","microRNA 208b-3p")</f>
        <v>microRNA 208b-3p</v>
      </c>
      <c r="I1652" s="2" t="s">
        <v>95</v>
      </c>
      <c r="J1652" s="2" t="s">
        <v>19</v>
      </c>
      <c r="K1652" s="4" t="str">
        <f>HYPERLINK("https://www.cortellis.com/drugdiscovery/result/proxy/related-content/biomarkers/genestargets/42307","microRNA 208b")</f>
        <v>microRNA 208b</v>
      </c>
    </row>
    <row r="1653" spans="1:11" ht="60" customHeight="1" x14ac:dyDescent="0.2">
      <c r="A1653" s="2">
        <v>1650</v>
      </c>
      <c r="B1653" s="3" t="str">
        <f>HYPERLINK("https://portal.genego.com/cgi/entity_page.cgi?term=100&amp;id=-1030357222","miR-208b-5p")</f>
        <v>miR-208b-5p</v>
      </c>
      <c r="C1653" s="3" t="str">
        <f>HYPERLINK("https://portal.genego.com/cgi/entity_page.cgi?term=20&amp;id=-1760999767","MIR208B")</f>
        <v>MIR208B</v>
      </c>
      <c r="D1653" s="3" t="str">
        <f>HYPERLINK("https://portal.genego.com/cgi/entity_page.cgi?term=7&amp;id=-1350759842","hsa-miR-208b-5p")</f>
        <v>hsa-miR-208b-5p</v>
      </c>
      <c r="E1653" s="2" t="s">
        <v>72</v>
      </c>
      <c r="F1653" s="3" t="str">
        <f>HYPERLINK("https://portal.genego.com/cgi/entity_page.cgi?term=100&amp;id=-1030357222","Mature microRNA-208b-5p")</f>
        <v>Mature microRNA-208b-5p</v>
      </c>
      <c r="G1653" s="4"/>
      <c r="H1653" s="3" t="str">
        <f>HYPERLINK("https://www.cortellis.com/drugdiscovery/entity/biomarkers/9894","microRNA 208b")</f>
        <v>microRNA 208b</v>
      </c>
      <c r="I1653" s="2" t="s">
        <v>80</v>
      </c>
      <c r="J1653" s="2" t="s">
        <v>19</v>
      </c>
      <c r="K1653" s="4" t="str">
        <f>HYPERLINK("https://www.cortellis.com/drugdiscovery/result/proxy/related-content/biomarkers/genestargets/9894","microRNA 208b")</f>
        <v>microRNA 208b</v>
      </c>
    </row>
    <row r="1654" spans="1:11" ht="60" customHeight="1" x14ac:dyDescent="0.2">
      <c r="A1654" s="2">
        <v>1651</v>
      </c>
      <c r="B1654" s="3" t="str">
        <f>HYPERLINK("https://portal.genego.com/cgi/entity_page.cgi?term=100&amp;id=-1030357222","miR-208b-5p")</f>
        <v>miR-208b-5p</v>
      </c>
      <c r="C1654" s="3" t="str">
        <f>HYPERLINK("https://portal.genego.com/cgi/entity_page.cgi?term=20&amp;id=-1760999767","MIR208B")</f>
        <v>MIR208B</v>
      </c>
      <c r="D1654" s="3" t="str">
        <f>HYPERLINK("https://portal.genego.com/cgi/entity_page.cgi?term=7&amp;id=-1350759842","hsa-miR-208b-5p")</f>
        <v>hsa-miR-208b-5p</v>
      </c>
      <c r="E1654" s="2" t="s">
        <v>72</v>
      </c>
      <c r="F1654" s="3" t="str">
        <f>HYPERLINK("https://portal.genego.com/cgi/entity_page.cgi?term=100&amp;id=-1030357222","Mature microRNA-208b-5p")</f>
        <v>Mature microRNA-208b-5p</v>
      </c>
      <c r="G1654" s="4"/>
      <c r="H1654" s="3" t="str">
        <f>HYPERLINK("https://www.cortellis.com/drugdiscovery/entity/biomarkers/42307","microRNA 208b-3p")</f>
        <v>microRNA 208b-3p</v>
      </c>
      <c r="I1654" s="2" t="s">
        <v>95</v>
      </c>
      <c r="J1654" s="2" t="s">
        <v>19</v>
      </c>
      <c r="K1654" s="4" t="str">
        <f>HYPERLINK("https://www.cortellis.com/drugdiscovery/result/proxy/related-content/biomarkers/genestargets/42307","microRNA 208b")</f>
        <v>microRNA 208b</v>
      </c>
    </row>
    <row r="1655" spans="1:11" ht="60" customHeight="1" x14ac:dyDescent="0.2">
      <c r="A1655" s="2">
        <v>1652</v>
      </c>
      <c r="B1655" s="3" t="str">
        <f t="shared" ref="B1655:B1664" si="270">HYPERLINK("https://portal.genego.com/cgi/entity_page.cgi?term=100&amp;id=-812784915","miR-214-3p")</f>
        <v>miR-214-3p</v>
      </c>
      <c r="C1655" s="3" t="str">
        <f t="shared" ref="C1655:C1674" si="271">HYPERLINK("https://portal.genego.com/cgi/entity_page.cgi?term=20&amp;id=-1245577285","MIR214")</f>
        <v>MIR214</v>
      </c>
      <c r="D1655" s="3" t="str">
        <f t="shared" ref="D1655:D1664" si="272">HYPERLINK("https://portal.genego.com/cgi/entity_page.cgi?term=7&amp;id=-1563399931","hsa-miR-214-3p")</f>
        <v>hsa-miR-214-3p</v>
      </c>
      <c r="E1655" s="2" t="s">
        <v>72</v>
      </c>
      <c r="F1655" s="3" t="str">
        <f t="shared" ref="F1655:F1664" si="273">HYPERLINK("https://portal.genego.com/cgi/entity_page.cgi?term=100&amp;id=-812784915","Mature microRNA-214-3p")</f>
        <v>Mature microRNA-214-3p</v>
      </c>
      <c r="G1655" s="4"/>
      <c r="H1655" s="3" t="str">
        <f>HYPERLINK("https://www.cortellis.com/drugdiscovery/entity/biomarkers/7218","microRNA 214")</f>
        <v>microRNA 214</v>
      </c>
      <c r="I1655" s="2" t="s">
        <v>96</v>
      </c>
      <c r="J1655" s="2" t="s">
        <v>19</v>
      </c>
      <c r="K1655" s="4" t="str">
        <f>HYPERLINK("https://www.cortellis.com/drugdiscovery/result/proxy/related-content/biomarkers/genestargets/7218","microRNA 214")</f>
        <v>microRNA 214</v>
      </c>
    </row>
    <row r="1656" spans="1:11" ht="60" customHeight="1" x14ac:dyDescent="0.2">
      <c r="A1656" s="2">
        <v>1653</v>
      </c>
      <c r="B1656" s="3" t="str">
        <f t="shared" si="270"/>
        <v>miR-214-3p</v>
      </c>
      <c r="C1656" s="3" t="str">
        <f t="shared" si="271"/>
        <v>MIR214</v>
      </c>
      <c r="D1656" s="3" t="str">
        <f t="shared" si="272"/>
        <v>hsa-miR-214-3p</v>
      </c>
      <c r="E1656" s="2" t="s">
        <v>72</v>
      </c>
      <c r="F1656" s="3" t="str">
        <f t="shared" si="273"/>
        <v>Mature microRNA-214-3p</v>
      </c>
      <c r="G1656" s="4"/>
      <c r="H1656" s="3" t="str">
        <f>HYPERLINK("https://www.cortellis.com/drugdiscovery/entity/biomarkers/24189","miRview mets")</f>
        <v>miRview mets</v>
      </c>
      <c r="I1656" s="2" t="s">
        <v>23</v>
      </c>
      <c r="J1656" s="2" t="s">
        <v>19</v>
      </c>
      <c r="K1656" s="4" t="str">
        <f>HYPERLINK("https://www.cortellis.com/drugdiscovery/result/proxy/related-content/biomarkers/genestargets/24189","microRNA 146a; microRNA 214")</f>
        <v>microRNA 146a; microRNA 214</v>
      </c>
    </row>
    <row r="1657" spans="1:11" ht="60" customHeight="1" x14ac:dyDescent="0.2">
      <c r="A1657" s="2">
        <v>1654</v>
      </c>
      <c r="B1657" s="3" t="str">
        <f t="shared" si="270"/>
        <v>miR-214-3p</v>
      </c>
      <c r="C1657" s="3" t="str">
        <f t="shared" si="271"/>
        <v>MIR214</v>
      </c>
      <c r="D1657" s="3" t="str">
        <f t="shared" si="272"/>
        <v>hsa-miR-214-3p</v>
      </c>
      <c r="E1657" s="2" t="s">
        <v>72</v>
      </c>
      <c r="F1657" s="3" t="str">
        <f t="shared" si="273"/>
        <v>Mature microRNA-214-3p</v>
      </c>
      <c r="G1657" s="4"/>
      <c r="H1657" s="3" t="str">
        <f>HYPERLINK("https://www.cortellis.com/drugdiscovery/entity/biomarkers/27309","57-microRNA mouth cancer panel")</f>
        <v>57-microRNA mouth cancer panel</v>
      </c>
      <c r="I1657" s="2" t="s">
        <v>23</v>
      </c>
      <c r="J1657" s="2" t="s">
        <v>19</v>
      </c>
      <c r="K1657" s="4" t="str">
        <f>HYPERLINK("https://www.cortellis.com/drugdiscovery/result/proxy/related-content/biomarkers/genestargets/27309","microRNA 146a; microRNA 155; microRNA 214; microRNA 223")</f>
        <v>microRNA 146a; microRNA 155; microRNA 214; microRNA 223</v>
      </c>
    </row>
    <row r="1658" spans="1:11" ht="60" customHeight="1" x14ac:dyDescent="0.2">
      <c r="A1658" s="2">
        <v>1655</v>
      </c>
      <c r="B1658" s="3" t="str">
        <f t="shared" si="270"/>
        <v>miR-214-3p</v>
      </c>
      <c r="C1658" s="3" t="str">
        <f t="shared" si="271"/>
        <v>MIR214</v>
      </c>
      <c r="D1658" s="3" t="str">
        <f t="shared" si="272"/>
        <v>hsa-miR-214-3p</v>
      </c>
      <c r="E1658" s="2" t="s">
        <v>72</v>
      </c>
      <c r="F1658" s="3" t="str">
        <f t="shared" si="273"/>
        <v>Mature microRNA-214-3p</v>
      </c>
      <c r="G1658" s="4"/>
      <c r="H1658" s="3" t="str">
        <f>HYPERLINK("https://www.cortellis.com/drugdiscovery/entity/biomarkers/41825","microRNA 214-3p")</f>
        <v>microRNA 214-3p</v>
      </c>
      <c r="I1658" s="2" t="s">
        <v>97</v>
      </c>
      <c r="J1658" s="2" t="s">
        <v>19</v>
      </c>
      <c r="K1658" s="4" t="str">
        <f>HYPERLINK("https://www.cortellis.com/drugdiscovery/result/proxy/related-content/biomarkers/genestargets/41825","microRNA 214")</f>
        <v>microRNA 214</v>
      </c>
    </row>
    <row r="1659" spans="1:11" ht="60" customHeight="1" x14ac:dyDescent="0.2">
      <c r="A1659" s="2">
        <v>1656</v>
      </c>
      <c r="B1659" s="3" t="str">
        <f t="shared" si="270"/>
        <v>miR-214-3p</v>
      </c>
      <c r="C1659" s="3" t="str">
        <f t="shared" si="271"/>
        <v>MIR214</v>
      </c>
      <c r="D1659" s="3" t="str">
        <f t="shared" si="272"/>
        <v>hsa-miR-214-3p</v>
      </c>
      <c r="E1659" s="2" t="s">
        <v>72</v>
      </c>
      <c r="F1659" s="3" t="str">
        <f t="shared" si="273"/>
        <v>Mature microRNA-214-3p</v>
      </c>
      <c r="G1659" s="4"/>
      <c r="H1659" s="3" t="str">
        <f>HYPERLINK("https://www.cortellis.com/drugdiscovery/entity/biomarkers/42167","microRNa 214-5p")</f>
        <v>microRNa 214-5p</v>
      </c>
      <c r="I1659" s="2" t="s">
        <v>98</v>
      </c>
      <c r="J1659" s="2" t="s">
        <v>19</v>
      </c>
      <c r="K1659" s="4" t="str">
        <f>HYPERLINK("https://www.cortellis.com/drugdiscovery/result/proxy/related-content/biomarkers/genestargets/42167","microRNA 214")</f>
        <v>microRNA 214</v>
      </c>
    </row>
    <row r="1660" spans="1:11" ht="60" customHeight="1" x14ac:dyDescent="0.2">
      <c r="A1660" s="2">
        <v>1657</v>
      </c>
      <c r="B1660" s="3" t="str">
        <f t="shared" si="270"/>
        <v>miR-214-3p</v>
      </c>
      <c r="C1660" s="3" t="str">
        <f t="shared" si="271"/>
        <v>MIR214</v>
      </c>
      <c r="D1660" s="3" t="str">
        <f t="shared" si="272"/>
        <v>hsa-miR-214-3p</v>
      </c>
      <c r="E1660" s="2" t="s">
        <v>72</v>
      </c>
      <c r="F1660" s="3" t="str">
        <f t="shared" si="273"/>
        <v>Mature microRNA-214-3p</v>
      </c>
      <c r="G1660" s="4"/>
      <c r="H1660" s="3" t="str">
        <f>HYPERLINK("https://www.cortellis.com/drugdiscovery/entity/biomarkers/50824","5-microRNA non small cell lung cancer panel")</f>
        <v>5-microRNA non small cell lung cancer panel</v>
      </c>
      <c r="I1660" s="2" t="s">
        <v>23</v>
      </c>
      <c r="J1660" s="2" t="s">
        <v>19</v>
      </c>
      <c r="K1660" s="4" t="str">
        <f>HYPERLINK("https://www.cortellis.com/drugdiscovery/result/proxy/related-content/biomarkers/genestargets/50824","microRNA 214")</f>
        <v>microRNA 214</v>
      </c>
    </row>
    <row r="1661" spans="1:11" ht="60" customHeight="1" x14ac:dyDescent="0.2">
      <c r="A1661" s="2">
        <v>1658</v>
      </c>
      <c r="B1661" s="3" t="str">
        <f t="shared" si="270"/>
        <v>miR-214-3p</v>
      </c>
      <c r="C1661" s="3" t="str">
        <f t="shared" si="271"/>
        <v>MIR214</v>
      </c>
      <c r="D1661" s="3" t="str">
        <f t="shared" si="272"/>
        <v>hsa-miR-214-3p</v>
      </c>
      <c r="E1661" s="2" t="s">
        <v>72</v>
      </c>
      <c r="F1661" s="3" t="str">
        <f t="shared" si="273"/>
        <v>Mature microRNA-214-3p</v>
      </c>
      <c r="G1661" s="4"/>
      <c r="H1661" s="3" t="str">
        <f>HYPERLINK("https://www.cortellis.com/drugdiscovery/entity/biomarkers/53082","4-microRNA expression neurological disorders panel")</f>
        <v>4-microRNA expression neurological disorders panel</v>
      </c>
      <c r="I1661" s="2" t="s">
        <v>23</v>
      </c>
      <c r="J1661" s="2" t="s">
        <v>19</v>
      </c>
      <c r="K1661" s="4" t="str">
        <f>HYPERLINK("https://www.cortellis.com/drugdiscovery/result/proxy/related-content/biomarkers/genestargets/53082","microRNA 146b; microRNA 214")</f>
        <v>microRNA 146b; microRNA 214</v>
      </c>
    </row>
    <row r="1662" spans="1:11" ht="60" customHeight="1" x14ac:dyDescent="0.2">
      <c r="A1662" s="2">
        <v>1659</v>
      </c>
      <c r="B1662" s="3" t="str">
        <f t="shared" si="270"/>
        <v>miR-214-3p</v>
      </c>
      <c r="C1662" s="3" t="str">
        <f t="shared" si="271"/>
        <v>MIR214</v>
      </c>
      <c r="D1662" s="3" t="str">
        <f t="shared" si="272"/>
        <v>hsa-miR-214-3p</v>
      </c>
      <c r="E1662" s="2" t="s">
        <v>72</v>
      </c>
      <c r="F1662" s="3" t="str">
        <f t="shared" si="273"/>
        <v>Mature microRNA-214-3p</v>
      </c>
      <c r="G1662" s="4"/>
      <c r="H1662" s="3" t="str">
        <f>HYPERLINK("https://www.cortellis.com/drugdiscovery/entity/biomarkers/55927","4-microRNA HCV-related, hepatocellular carcinoma panel")</f>
        <v>4-microRNA HCV-related, hepatocellular carcinoma panel</v>
      </c>
      <c r="I1662" s="2" t="s">
        <v>52</v>
      </c>
      <c r="J1662" s="2" t="s">
        <v>19</v>
      </c>
      <c r="K1662" s="4" t="str">
        <f>HYPERLINK("https://www.cortellis.com/drugdiscovery/result/proxy/related-content/biomarkers/genestargets/55927","microRNA 214")</f>
        <v>microRNA 214</v>
      </c>
    </row>
    <row r="1663" spans="1:11" ht="60" customHeight="1" x14ac:dyDescent="0.2">
      <c r="A1663" s="2">
        <v>1660</v>
      </c>
      <c r="B1663" s="3" t="str">
        <f t="shared" si="270"/>
        <v>miR-214-3p</v>
      </c>
      <c r="C1663" s="3" t="str">
        <f t="shared" si="271"/>
        <v>MIR214</v>
      </c>
      <c r="D1663" s="3" t="str">
        <f t="shared" si="272"/>
        <v>hsa-miR-214-3p</v>
      </c>
      <c r="E1663" s="2" t="s">
        <v>72</v>
      </c>
      <c r="F1663" s="3" t="str">
        <f t="shared" si="273"/>
        <v>Mature microRNA-214-3p</v>
      </c>
      <c r="G1663" s="4"/>
      <c r="H1663" s="3" t="str">
        <f>HYPERLINK("https://www.cortellis.com/drugdiscovery/entity/biomarkers/60069","4-microRNA breast cancer panel")</f>
        <v>4-microRNA breast cancer panel</v>
      </c>
      <c r="I1663" s="2" t="s">
        <v>25</v>
      </c>
      <c r="J1663" s="2" t="s">
        <v>19</v>
      </c>
      <c r="K1663" s="4" t="str">
        <f>HYPERLINK("https://www.cortellis.com/drugdiscovery/result/proxy/related-content/biomarkers/genestargets/60069","microRNA 214")</f>
        <v>microRNA 214</v>
      </c>
    </row>
    <row r="1664" spans="1:11" ht="60" customHeight="1" x14ac:dyDescent="0.2">
      <c r="A1664" s="2">
        <v>1661</v>
      </c>
      <c r="B1664" s="3" t="str">
        <f t="shared" si="270"/>
        <v>miR-214-3p</v>
      </c>
      <c r="C1664" s="3" t="str">
        <f t="shared" si="271"/>
        <v>MIR214</v>
      </c>
      <c r="D1664" s="3" t="str">
        <f t="shared" si="272"/>
        <v>hsa-miR-214-3p</v>
      </c>
      <c r="E1664" s="2" t="s">
        <v>72</v>
      </c>
      <c r="F1664" s="3" t="str">
        <f t="shared" si="273"/>
        <v>Mature microRNA-214-3p</v>
      </c>
      <c r="G1664" s="4"/>
      <c r="H1664" s="3" t="str">
        <f>HYPERLINK("https://www.cortellis.com/drugdiscovery/entity/biomarkers/65103","5-microRNA non-small-cell lung cancer panel")</f>
        <v>5-microRNA non-small-cell lung cancer panel</v>
      </c>
      <c r="I1664" s="2" t="s">
        <v>75</v>
      </c>
      <c r="J1664" s="2" t="s">
        <v>19</v>
      </c>
      <c r="K1664" s="4" t="str">
        <f>HYPERLINK("https://www.cortellis.com/drugdiscovery/result/proxy/related-content/biomarkers/genestargets/65103","microRNA 1-1; microRNA 1-2; microRNA 214")</f>
        <v>microRNA 1-1; microRNA 1-2; microRNA 214</v>
      </c>
    </row>
    <row r="1665" spans="1:11" ht="60" customHeight="1" x14ac:dyDescent="0.2">
      <c r="A1665" s="2">
        <v>1662</v>
      </c>
      <c r="B1665" s="3" t="str">
        <f t="shared" ref="B1665:B1674" si="274">HYPERLINK("https://portal.genego.com/cgi/entity_page.cgi?term=100&amp;id=-24650911","miR-214-5p")</f>
        <v>miR-214-5p</v>
      </c>
      <c r="C1665" s="3" t="str">
        <f t="shared" si="271"/>
        <v>MIR214</v>
      </c>
      <c r="D1665" s="3" t="str">
        <f t="shared" ref="D1665:D1674" si="275">HYPERLINK("https://portal.genego.com/cgi/entity_page.cgi?term=7&amp;id=-717492883","hsa-miR-214-5p")</f>
        <v>hsa-miR-214-5p</v>
      </c>
      <c r="E1665" s="2" t="s">
        <v>72</v>
      </c>
      <c r="F1665" s="3" t="str">
        <f t="shared" ref="F1665:F1674" si="276">HYPERLINK("https://portal.genego.com/cgi/entity_page.cgi?term=100&amp;id=-24650911","Mature microRNA-214-5p")</f>
        <v>Mature microRNA-214-5p</v>
      </c>
      <c r="G1665" s="4"/>
      <c r="H1665" s="3" t="str">
        <f>HYPERLINK("https://www.cortellis.com/drugdiscovery/entity/biomarkers/7218","microRNA 214")</f>
        <v>microRNA 214</v>
      </c>
      <c r="I1665" s="2" t="s">
        <v>96</v>
      </c>
      <c r="J1665" s="2" t="s">
        <v>19</v>
      </c>
      <c r="K1665" s="4" t="str">
        <f>HYPERLINK("https://www.cortellis.com/drugdiscovery/result/proxy/related-content/biomarkers/genestargets/7218","microRNA 214")</f>
        <v>microRNA 214</v>
      </c>
    </row>
    <row r="1666" spans="1:11" ht="60" customHeight="1" x14ac:dyDescent="0.2">
      <c r="A1666" s="2">
        <v>1663</v>
      </c>
      <c r="B1666" s="3" t="str">
        <f t="shared" si="274"/>
        <v>miR-214-5p</v>
      </c>
      <c r="C1666" s="3" t="str">
        <f t="shared" si="271"/>
        <v>MIR214</v>
      </c>
      <c r="D1666" s="3" t="str">
        <f t="shared" si="275"/>
        <v>hsa-miR-214-5p</v>
      </c>
      <c r="E1666" s="2" t="s">
        <v>72</v>
      </c>
      <c r="F1666" s="3" t="str">
        <f t="shared" si="276"/>
        <v>Mature microRNA-214-5p</v>
      </c>
      <c r="G1666" s="4"/>
      <c r="H1666" s="3" t="str">
        <f>HYPERLINK("https://www.cortellis.com/drugdiscovery/entity/biomarkers/24189","miRview mets")</f>
        <v>miRview mets</v>
      </c>
      <c r="I1666" s="2" t="s">
        <v>23</v>
      </c>
      <c r="J1666" s="2" t="s">
        <v>19</v>
      </c>
      <c r="K1666" s="4" t="str">
        <f>HYPERLINK("https://www.cortellis.com/drugdiscovery/result/proxy/related-content/biomarkers/genestargets/24189","microRNA 146a; microRNA 214")</f>
        <v>microRNA 146a; microRNA 214</v>
      </c>
    </row>
    <row r="1667" spans="1:11" ht="60" customHeight="1" x14ac:dyDescent="0.2">
      <c r="A1667" s="2">
        <v>1664</v>
      </c>
      <c r="B1667" s="3" t="str">
        <f t="shared" si="274"/>
        <v>miR-214-5p</v>
      </c>
      <c r="C1667" s="3" t="str">
        <f t="shared" si="271"/>
        <v>MIR214</v>
      </c>
      <c r="D1667" s="3" t="str">
        <f t="shared" si="275"/>
        <v>hsa-miR-214-5p</v>
      </c>
      <c r="E1667" s="2" t="s">
        <v>72</v>
      </c>
      <c r="F1667" s="3" t="str">
        <f t="shared" si="276"/>
        <v>Mature microRNA-214-5p</v>
      </c>
      <c r="G1667" s="4"/>
      <c r="H1667" s="3" t="str">
        <f>HYPERLINK("https://www.cortellis.com/drugdiscovery/entity/biomarkers/27309","57-microRNA mouth cancer panel")</f>
        <v>57-microRNA mouth cancer panel</v>
      </c>
      <c r="I1667" s="2" t="s">
        <v>23</v>
      </c>
      <c r="J1667" s="2" t="s">
        <v>19</v>
      </c>
      <c r="K1667" s="4" t="str">
        <f>HYPERLINK("https://www.cortellis.com/drugdiscovery/result/proxy/related-content/biomarkers/genestargets/27309","microRNA 146a; microRNA 155; microRNA 214; microRNA 223")</f>
        <v>microRNA 146a; microRNA 155; microRNA 214; microRNA 223</v>
      </c>
    </row>
    <row r="1668" spans="1:11" ht="60" customHeight="1" x14ac:dyDescent="0.2">
      <c r="A1668" s="2">
        <v>1665</v>
      </c>
      <c r="B1668" s="3" t="str">
        <f t="shared" si="274"/>
        <v>miR-214-5p</v>
      </c>
      <c r="C1668" s="3" t="str">
        <f t="shared" si="271"/>
        <v>MIR214</v>
      </c>
      <c r="D1668" s="3" t="str">
        <f t="shared" si="275"/>
        <v>hsa-miR-214-5p</v>
      </c>
      <c r="E1668" s="2" t="s">
        <v>72</v>
      </c>
      <c r="F1668" s="3" t="str">
        <f t="shared" si="276"/>
        <v>Mature microRNA-214-5p</v>
      </c>
      <c r="G1668" s="4"/>
      <c r="H1668" s="3" t="str">
        <f>HYPERLINK("https://www.cortellis.com/drugdiscovery/entity/biomarkers/41825","microRNA 214-3p")</f>
        <v>microRNA 214-3p</v>
      </c>
      <c r="I1668" s="2" t="s">
        <v>97</v>
      </c>
      <c r="J1668" s="2" t="s">
        <v>19</v>
      </c>
      <c r="K1668" s="4" t="str">
        <f>HYPERLINK("https://www.cortellis.com/drugdiscovery/result/proxy/related-content/biomarkers/genestargets/41825","microRNA 214")</f>
        <v>microRNA 214</v>
      </c>
    </row>
    <row r="1669" spans="1:11" ht="60" customHeight="1" x14ac:dyDescent="0.2">
      <c r="A1669" s="2">
        <v>1666</v>
      </c>
      <c r="B1669" s="3" t="str">
        <f t="shared" si="274"/>
        <v>miR-214-5p</v>
      </c>
      <c r="C1669" s="3" t="str">
        <f t="shared" si="271"/>
        <v>MIR214</v>
      </c>
      <c r="D1669" s="3" t="str">
        <f t="shared" si="275"/>
        <v>hsa-miR-214-5p</v>
      </c>
      <c r="E1669" s="2" t="s">
        <v>72</v>
      </c>
      <c r="F1669" s="3" t="str">
        <f t="shared" si="276"/>
        <v>Mature microRNA-214-5p</v>
      </c>
      <c r="G1669" s="4"/>
      <c r="H1669" s="3" t="str">
        <f>HYPERLINK("https://www.cortellis.com/drugdiscovery/entity/biomarkers/42167","microRNa 214-5p")</f>
        <v>microRNa 214-5p</v>
      </c>
      <c r="I1669" s="2" t="s">
        <v>98</v>
      </c>
      <c r="J1669" s="2" t="s">
        <v>19</v>
      </c>
      <c r="K1669" s="4" t="str">
        <f>HYPERLINK("https://www.cortellis.com/drugdiscovery/result/proxy/related-content/biomarkers/genestargets/42167","microRNA 214")</f>
        <v>microRNA 214</v>
      </c>
    </row>
    <row r="1670" spans="1:11" ht="60" customHeight="1" x14ac:dyDescent="0.2">
      <c r="A1670" s="2">
        <v>1667</v>
      </c>
      <c r="B1670" s="3" t="str">
        <f t="shared" si="274"/>
        <v>miR-214-5p</v>
      </c>
      <c r="C1670" s="3" t="str">
        <f t="shared" si="271"/>
        <v>MIR214</v>
      </c>
      <c r="D1670" s="3" t="str">
        <f t="shared" si="275"/>
        <v>hsa-miR-214-5p</v>
      </c>
      <c r="E1670" s="2" t="s">
        <v>72</v>
      </c>
      <c r="F1670" s="3" t="str">
        <f t="shared" si="276"/>
        <v>Mature microRNA-214-5p</v>
      </c>
      <c r="G1670" s="4"/>
      <c r="H1670" s="3" t="str">
        <f>HYPERLINK("https://www.cortellis.com/drugdiscovery/entity/biomarkers/50824","5-microRNA non small cell lung cancer panel")</f>
        <v>5-microRNA non small cell lung cancer panel</v>
      </c>
      <c r="I1670" s="2" t="s">
        <v>23</v>
      </c>
      <c r="J1670" s="2" t="s">
        <v>19</v>
      </c>
      <c r="K1670" s="4" t="str">
        <f>HYPERLINK("https://www.cortellis.com/drugdiscovery/result/proxy/related-content/biomarkers/genestargets/50824","microRNA 214")</f>
        <v>microRNA 214</v>
      </c>
    </row>
    <row r="1671" spans="1:11" ht="60" customHeight="1" x14ac:dyDescent="0.2">
      <c r="A1671" s="2">
        <v>1668</v>
      </c>
      <c r="B1671" s="3" t="str">
        <f t="shared" si="274"/>
        <v>miR-214-5p</v>
      </c>
      <c r="C1671" s="3" t="str">
        <f t="shared" si="271"/>
        <v>MIR214</v>
      </c>
      <c r="D1671" s="3" t="str">
        <f t="shared" si="275"/>
        <v>hsa-miR-214-5p</v>
      </c>
      <c r="E1671" s="2" t="s">
        <v>72</v>
      </c>
      <c r="F1671" s="3" t="str">
        <f t="shared" si="276"/>
        <v>Mature microRNA-214-5p</v>
      </c>
      <c r="G1671" s="4"/>
      <c r="H1671" s="3" t="str">
        <f>HYPERLINK("https://www.cortellis.com/drugdiscovery/entity/biomarkers/53082","4-microRNA expression neurological disorders panel")</f>
        <v>4-microRNA expression neurological disorders panel</v>
      </c>
      <c r="I1671" s="2" t="s">
        <v>23</v>
      </c>
      <c r="J1671" s="2" t="s">
        <v>19</v>
      </c>
      <c r="K1671" s="4" t="str">
        <f>HYPERLINK("https://www.cortellis.com/drugdiscovery/result/proxy/related-content/biomarkers/genestargets/53082","microRNA 146b; microRNA 214")</f>
        <v>microRNA 146b; microRNA 214</v>
      </c>
    </row>
    <row r="1672" spans="1:11" ht="60" customHeight="1" x14ac:dyDescent="0.2">
      <c r="A1672" s="2">
        <v>1669</v>
      </c>
      <c r="B1672" s="3" t="str">
        <f t="shared" si="274"/>
        <v>miR-214-5p</v>
      </c>
      <c r="C1672" s="3" t="str">
        <f t="shared" si="271"/>
        <v>MIR214</v>
      </c>
      <c r="D1672" s="3" t="str">
        <f t="shared" si="275"/>
        <v>hsa-miR-214-5p</v>
      </c>
      <c r="E1672" s="2" t="s">
        <v>72</v>
      </c>
      <c r="F1672" s="3" t="str">
        <f t="shared" si="276"/>
        <v>Mature microRNA-214-5p</v>
      </c>
      <c r="G1672" s="4"/>
      <c r="H1672" s="3" t="str">
        <f>HYPERLINK("https://www.cortellis.com/drugdiscovery/entity/biomarkers/55927","4-microRNA HCV-related, hepatocellular carcinoma panel")</f>
        <v>4-microRNA HCV-related, hepatocellular carcinoma panel</v>
      </c>
      <c r="I1672" s="2" t="s">
        <v>52</v>
      </c>
      <c r="J1672" s="2" t="s">
        <v>19</v>
      </c>
      <c r="K1672" s="4" t="str">
        <f>HYPERLINK("https://www.cortellis.com/drugdiscovery/result/proxy/related-content/biomarkers/genestargets/55927","microRNA 214")</f>
        <v>microRNA 214</v>
      </c>
    </row>
    <row r="1673" spans="1:11" ht="60" customHeight="1" x14ac:dyDescent="0.2">
      <c r="A1673" s="2">
        <v>1670</v>
      </c>
      <c r="B1673" s="3" t="str">
        <f t="shared" si="274"/>
        <v>miR-214-5p</v>
      </c>
      <c r="C1673" s="3" t="str">
        <f t="shared" si="271"/>
        <v>MIR214</v>
      </c>
      <c r="D1673" s="3" t="str">
        <f t="shared" si="275"/>
        <v>hsa-miR-214-5p</v>
      </c>
      <c r="E1673" s="2" t="s">
        <v>72</v>
      </c>
      <c r="F1673" s="3" t="str">
        <f t="shared" si="276"/>
        <v>Mature microRNA-214-5p</v>
      </c>
      <c r="G1673" s="4"/>
      <c r="H1673" s="3" t="str">
        <f>HYPERLINK("https://www.cortellis.com/drugdiscovery/entity/biomarkers/60069","4-microRNA breast cancer panel")</f>
        <v>4-microRNA breast cancer panel</v>
      </c>
      <c r="I1673" s="2" t="s">
        <v>25</v>
      </c>
      <c r="J1673" s="2" t="s">
        <v>19</v>
      </c>
      <c r="K1673" s="4" t="str">
        <f>HYPERLINK("https://www.cortellis.com/drugdiscovery/result/proxy/related-content/biomarkers/genestargets/60069","microRNA 214")</f>
        <v>microRNA 214</v>
      </c>
    </row>
    <row r="1674" spans="1:11" ht="60" customHeight="1" x14ac:dyDescent="0.2">
      <c r="A1674" s="2">
        <v>1671</v>
      </c>
      <c r="B1674" s="3" t="str">
        <f t="shared" si="274"/>
        <v>miR-214-5p</v>
      </c>
      <c r="C1674" s="3" t="str">
        <f t="shared" si="271"/>
        <v>MIR214</v>
      </c>
      <c r="D1674" s="3" t="str">
        <f t="shared" si="275"/>
        <v>hsa-miR-214-5p</v>
      </c>
      <c r="E1674" s="2" t="s">
        <v>72</v>
      </c>
      <c r="F1674" s="3" t="str">
        <f t="shared" si="276"/>
        <v>Mature microRNA-214-5p</v>
      </c>
      <c r="G1674" s="4"/>
      <c r="H1674" s="3" t="str">
        <f>HYPERLINK("https://www.cortellis.com/drugdiscovery/entity/biomarkers/65103","5-microRNA non-small-cell lung cancer panel")</f>
        <v>5-microRNA non-small-cell lung cancer panel</v>
      </c>
      <c r="I1674" s="2" t="s">
        <v>75</v>
      </c>
      <c r="J1674" s="2" t="s">
        <v>19</v>
      </c>
      <c r="K1674" s="4" t="str">
        <f>HYPERLINK("https://www.cortellis.com/drugdiscovery/result/proxy/related-content/biomarkers/genestargets/65103","microRNA 1-1; microRNA 1-2; microRNA 214")</f>
        <v>microRNA 1-1; microRNA 1-2; microRNA 214</v>
      </c>
    </row>
    <row r="1675" spans="1:11" ht="60" customHeight="1" x14ac:dyDescent="0.2">
      <c r="A1675" s="2">
        <v>1672</v>
      </c>
      <c r="B1675" s="3" t="str">
        <f t="shared" ref="B1675:B1693" si="277">HYPERLINK("https://portal.genego.com/cgi/entity_page.cgi?term=100&amp;id=-84553559","miR-223-3p")</f>
        <v>miR-223-3p</v>
      </c>
      <c r="C1675" s="3" t="str">
        <f t="shared" ref="C1675:C1712" si="278">HYPERLINK("https://portal.genego.com/cgi/entity_page.cgi?term=20&amp;id=-117210674","MIR223")</f>
        <v>MIR223</v>
      </c>
      <c r="D1675" s="3" t="str">
        <f t="shared" ref="D1675:D1693" si="279">HYPERLINK("https://portal.genego.com/cgi/entity_page.cgi?term=7&amp;id=-448614553","hsa-miR-223-3p")</f>
        <v>hsa-miR-223-3p</v>
      </c>
      <c r="E1675" s="2" t="s">
        <v>72</v>
      </c>
      <c r="F1675" s="3" t="str">
        <f t="shared" ref="F1675:F1693" si="280">HYPERLINK("https://portal.genego.com/cgi/entity_page.cgi?term=100&amp;id=-84553559","Mature microRNA-223-3p")</f>
        <v>Mature microRNA-223-3p</v>
      </c>
      <c r="G1675" s="4"/>
      <c r="H1675" s="3" t="str">
        <f>HYPERLINK("https://www.cortellis.com/drugdiscovery/entity/biomarkers/2543","microRNA 223")</f>
        <v>microRNA 223</v>
      </c>
      <c r="I1675" s="2" t="s">
        <v>56</v>
      </c>
      <c r="J1675" s="2" t="s">
        <v>19</v>
      </c>
      <c r="K1675" s="4" t="str">
        <f>HYPERLINK("https://www.cortellis.com/drugdiscovery/result/proxy/related-content/biomarkers/genestargets/2543","microRNA 223")</f>
        <v>microRNA 223</v>
      </c>
    </row>
    <row r="1676" spans="1:11" ht="60" customHeight="1" x14ac:dyDescent="0.2">
      <c r="A1676" s="2">
        <v>1673</v>
      </c>
      <c r="B1676" s="3" t="str">
        <f t="shared" si="277"/>
        <v>miR-223-3p</v>
      </c>
      <c r="C1676" s="3" t="str">
        <f t="shared" si="278"/>
        <v>MIR223</v>
      </c>
      <c r="D1676" s="3" t="str">
        <f t="shared" si="279"/>
        <v>hsa-miR-223-3p</v>
      </c>
      <c r="E1676" s="2" t="s">
        <v>72</v>
      </c>
      <c r="F1676" s="3" t="str">
        <f t="shared" si="280"/>
        <v>Mature microRNA-223-3p</v>
      </c>
      <c r="G1676" s="4"/>
      <c r="H1676" s="3" t="str">
        <f>HYPERLINK("https://www.cortellis.com/drugdiscovery/entity/biomarkers/24383","7-microRNA esophageal cancer panel")</f>
        <v>7-microRNA esophageal cancer panel</v>
      </c>
      <c r="I1676" s="2" t="s">
        <v>23</v>
      </c>
      <c r="J1676" s="2" t="s">
        <v>19</v>
      </c>
      <c r="K1676" s="4" t="str">
        <f>HYPERLINK("https://www.cortellis.com/drugdiscovery/result/proxy/related-content/biomarkers/genestargets/24383","microRNA 133a-1; microRNA 133a-2; microRNA 223")</f>
        <v>microRNA 133a-1; microRNA 133a-2; microRNA 223</v>
      </c>
    </row>
    <row r="1677" spans="1:11" ht="60" customHeight="1" x14ac:dyDescent="0.2">
      <c r="A1677" s="2">
        <v>1674</v>
      </c>
      <c r="B1677" s="3" t="str">
        <f t="shared" si="277"/>
        <v>miR-223-3p</v>
      </c>
      <c r="C1677" s="3" t="str">
        <f t="shared" si="278"/>
        <v>MIR223</v>
      </c>
      <c r="D1677" s="3" t="str">
        <f t="shared" si="279"/>
        <v>hsa-miR-223-3p</v>
      </c>
      <c r="E1677" s="2" t="s">
        <v>72</v>
      </c>
      <c r="F1677" s="3" t="str">
        <f t="shared" si="280"/>
        <v>Mature microRNA-223-3p</v>
      </c>
      <c r="G1677" s="4"/>
      <c r="H1677" s="3" t="str">
        <f>HYPERLINK("https://www.cortellis.com/drugdiscovery/entity/biomarkers/27309","57-microRNA mouth cancer panel")</f>
        <v>57-microRNA mouth cancer panel</v>
      </c>
      <c r="I1677" s="2" t="s">
        <v>23</v>
      </c>
      <c r="J1677" s="2" t="s">
        <v>19</v>
      </c>
      <c r="K1677" s="4" t="str">
        <f>HYPERLINK("https://www.cortellis.com/drugdiscovery/result/proxy/related-content/biomarkers/genestargets/27309","microRNA 146a; microRNA 155; microRNA 214; microRNA 223")</f>
        <v>microRNA 146a; microRNA 155; microRNA 214; microRNA 223</v>
      </c>
    </row>
    <row r="1678" spans="1:11" ht="60" customHeight="1" x14ac:dyDescent="0.2">
      <c r="A1678" s="2">
        <v>1675</v>
      </c>
      <c r="B1678" s="3" t="str">
        <f t="shared" si="277"/>
        <v>miR-223-3p</v>
      </c>
      <c r="C1678" s="3" t="str">
        <f t="shared" si="278"/>
        <v>MIR223</v>
      </c>
      <c r="D1678" s="3" t="str">
        <f t="shared" si="279"/>
        <v>hsa-miR-223-3p</v>
      </c>
      <c r="E1678" s="2" t="s">
        <v>72</v>
      </c>
      <c r="F1678" s="3" t="str">
        <f t="shared" si="280"/>
        <v>Mature microRNA-223-3p</v>
      </c>
      <c r="G1678" s="4"/>
      <c r="H1678" s="3" t="str">
        <f>HYPERLINK("https://www.cortellis.com/drugdiscovery/entity/biomarkers/27395","13-microRNA liver cancer panel")</f>
        <v>13-microRNA liver cancer panel</v>
      </c>
      <c r="I1678" s="2" t="s">
        <v>52</v>
      </c>
      <c r="J1678" s="2" t="s">
        <v>19</v>
      </c>
      <c r="K1678" s="4" t="str">
        <f>HYPERLINK("https://www.cortellis.com/drugdiscovery/result/proxy/related-content/biomarkers/genestargets/27395","microRNA 150; microRNA 223")</f>
        <v>microRNA 150; microRNA 223</v>
      </c>
    </row>
    <row r="1679" spans="1:11" ht="60" customHeight="1" x14ac:dyDescent="0.2">
      <c r="A1679" s="2">
        <v>1676</v>
      </c>
      <c r="B1679" s="3" t="str">
        <f t="shared" si="277"/>
        <v>miR-223-3p</v>
      </c>
      <c r="C1679" s="3" t="str">
        <f t="shared" si="278"/>
        <v>MIR223</v>
      </c>
      <c r="D1679" s="3" t="str">
        <f t="shared" si="279"/>
        <v>hsa-miR-223-3p</v>
      </c>
      <c r="E1679" s="2" t="s">
        <v>72</v>
      </c>
      <c r="F1679" s="3" t="str">
        <f t="shared" si="280"/>
        <v>Mature microRNA-223-3p</v>
      </c>
      <c r="G1679" s="4"/>
      <c r="H1679" s="3" t="str">
        <f>HYPERLINK("https://www.cortellis.com/drugdiscovery/entity/biomarkers/28446","7-microRNA gastric cancer panel")</f>
        <v>7-microRNA gastric cancer panel</v>
      </c>
      <c r="I1679" s="2" t="s">
        <v>25</v>
      </c>
      <c r="J1679" s="2" t="s">
        <v>19</v>
      </c>
      <c r="K1679" s="4" t="str">
        <f>HYPERLINK("https://www.cortellis.com/drugdiscovery/result/proxy/related-content/biomarkers/genestargets/28446","microRNA 223")</f>
        <v>microRNA 223</v>
      </c>
    </row>
    <row r="1680" spans="1:11" ht="60" customHeight="1" x14ac:dyDescent="0.2">
      <c r="A1680" s="2">
        <v>1677</v>
      </c>
      <c r="B1680" s="3" t="str">
        <f t="shared" si="277"/>
        <v>miR-223-3p</v>
      </c>
      <c r="C1680" s="3" t="str">
        <f t="shared" si="278"/>
        <v>MIR223</v>
      </c>
      <c r="D1680" s="3" t="str">
        <f t="shared" si="279"/>
        <v>hsa-miR-223-3p</v>
      </c>
      <c r="E1680" s="2" t="s">
        <v>72</v>
      </c>
      <c r="F1680" s="3" t="str">
        <f t="shared" si="280"/>
        <v>Mature microRNA-223-3p</v>
      </c>
      <c r="G1680" s="4"/>
      <c r="H1680" s="3" t="str">
        <f>HYPERLINK("https://www.cortellis.com/drugdiscovery/entity/biomarkers/31110","3-microRNA B-cell chronic lymphocytic leukemia panel")</f>
        <v>3-microRNA B-cell chronic lymphocytic leukemia panel</v>
      </c>
      <c r="I1680" s="2" t="s">
        <v>25</v>
      </c>
      <c r="J1680" s="2" t="s">
        <v>19</v>
      </c>
      <c r="K1680" s="4" t="str">
        <f>HYPERLINK("https://www.cortellis.com/drugdiscovery/result/proxy/related-content/biomarkers/genestargets/31110","microRNA 223")</f>
        <v>microRNA 223</v>
      </c>
    </row>
    <row r="1681" spans="1:11" ht="60" customHeight="1" x14ac:dyDescent="0.2">
      <c r="A1681" s="2">
        <v>1678</v>
      </c>
      <c r="B1681" s="3" t="str">
        <f t="shared" si="277"/>
        <v>miR-223-3p</v>
      </c>
      <c r="C1681" s="3" t="str">
        <f t="shared" si="278"/>
        <v>MIR223</v>
      </c>
      <c r="D1681" s="3" t="str">
        <f t="shared" si="279"/>
        <v>hsa-miR-223-3p</v>
      </c>
      <c r="E1681" s="2" t="s">
        <v>72</v>
      </c>
      <c r="F1681" s="3" t="str">
        <f t="shared" si="280"/>
        <v>Mature microRNA-223-3p</v>
      </c>
      <c r="G1681" s="4"/>
      <c r="H1681" s="3" t="str">
        <f>HYPERLINK("https://www.cortellis.com/drugdiscovery/entity/biomarkers/36533","7-microRNA liver panel")</f>
        <v>7-microRNA liver panel</v>
      </c>
      <c r="I1681" s="2" t="s">
        <v>52</v>
      </c>
      <c r="J1681" s="2" t="s">
        <v>19</v>
      </c>
      <c r="K1681" s="4" t="str">
        <f>HYPERLINK("https://www.cortellis.com/drugdiscovery/result/proxy/related-content/biomarkers/genestargets/36533","microRNA 223")</f>
        <v>microRNA 223</v>
      </c>
    </row>
    <row r="1682" spans="1:11" ht="60" customHeight="1" x14ac:dyDescent="0.2">
      <c r="A1682" s="2">
        <v>1679</v>
      </c>
      <c r="B1682" s="3" t="str">
        <f t="shared" si="277"/>
        <v>miR-223-3p</v>
      </c>
      <c r="C1682" s="3" t="str">
        <f t="shared" si="278"/>
        <v>MIR223</v>
      </c>
      <c r="D1682" s="3" t="str">
        <f t="shared" si="279"/>
        <v>hsa-miR-223-3p</v>
      </c>
      <c r="E1682" s="2" t="s">
        <v>72</v>
      </c>
      <c r="F1682" s="3" t="str">
        <f t="shared" si="280"/>
        <v>Mature microRNA-223-3p</v>
      </c>
      <c r="G1682" s="4"/>
      <c r="H1682" s="3" t="str">
        <f>HYPERLINK("https://www.cortellis.com/drugdiscovery/entity/biomarkers/40925","microRNA 223-3p")</f>
        <v>microRNA 223-3p</v>
      </c>
      <c r="I1682" s="2" t="s">
        <v>99</v>
      </c>
      <c r="J1682" s="2" t="s">
        <v>19</v>
      </c>
      <c r="K1682" s="4" t="str">
        <f>HYPERLINK("https://www.cortellis.com/drugdiscovery/result/proxy/related-content/biomarkers/genestargets/40925","microRNA 223")</f>
        <v>microRNA 223</v>
      </c>
    </row>
    <row r="1683" spans="1:11" ht="60" customHeight="1" x14ac:dyDescent="0.2">
      <c r="A1683" s="2">
        <v>1680</v>
      </c>
      <c r="B1683" s="3" t="str">
        <f t="shared" si="277"/>
        <v>miR-223-3p</v>
      </c>
      <c r="C1683" s="3" t="str">
        <f t="shared" si="278"/>
        <v>MIR223</v>
      </c>
      <c r="D1683" s="3" t="str">
        <f t="shared" si="279"/>
        <v>hsa-miR-223-3p</v>
      </c>
      <c r="E1683" s="2" t="s">
        <v>72</v>
      </c>
      <c r="F1683" s="3" t="str">
        <f t="shared" si="280"/>
        <v>Mature microRNA-223-3p</v>
      </c>
      <c r="G1683" s="4"/>
      <c r="H1683" s="3" t="str">
        <f>HYPERLINK("https://www.cortellis.com/drugdiscovery/entity/biomarkers/41006","microRNA 223-5p")</f>
        <v>microRNA 223-5p</v>
      </c>
      <c r="I1683" s="2" t="s">
        <v>80</v>
      </c>
      <c r="J1683" s="2" t="s">
        <v>19</v>
      </c>
      <c r="K1683" s="4" t="str">
        <f>HYPERLINK("https://www.cortellis.com/drugdiscovery/result/proxy/related-content/biomarkers/genestargets/41006","microRNA 223")</f>
        <v>microRNA 223</v>
      </c>
    </row>
    <row r="1684" spans="1:11" ht="60" customHeight="1" x14ac:dyDescent="0.2">
      <c r="A1684" s="2">
        <v>1681</v>
      </c>
      <c r="B1684" s="3" t="str">
        <f t="shared" si="277"/>
        <v>miR-223-3p</v>
      </c>
      <c r="C1684" s="3" t="str">
        <f t="shared" si="278"/>
        <v>MIR223</v>
      </c>
      <c r="D1684" s="3" t="str">
        <f t="shared" si="279"/>
        <v>hsa-miR-223-3p</v>
      </c>
      <c r="E1684" s="2" t="s">
        <v>72</v>
      </c>
      <c r="F1684" s="3" t="str">
        <f t="shared" si="280"/>
        <v>Mature microRNA-223-3p</v>
      </c>
      <c r="G1684" s="4"/>
      <c r="H1684" s="3" t="str">
        <f>HYPERLINK("https://www.cortellis.com/drugdiscovery/entity/biomarkers/43209","15-microRNA pulmonary tuberculosis panel")</f>
        <v>15-microRNA pulmonary tuberculosis panel</v>
      </c>
      <c r="I1684" s="2" t="s">
        <v>34</v>
      </c>
      <c r="J1684" s="2" t="s">
        <v>19</v>
      </c>
      <c r="K1684" s="4" t="str">
        <f>HYPERLINK("https://www.cortellis.com/drugdiscovery/result/proxy/related-content/biomarkers/genestargets/43209","microRNA 146a; microRNA 223")</f>
        <v>microRNA 146a; microRNA 223</v>
      </c>
    </row>
    <row r="1685" spans="1:11" ht="60" customHeight="1" x14ac:dyDescent="0.2">
      <c r="A1685" s="2">
        <v>1682</v>
      </c>
      <c r="B1685" s="3" t="str">
        <f t="shared" si="277"/>
        <v>miR-223-3p</v>
      </c>
      <c r="C1685" s="3" t="str">
        <f t="shared" si="278"/>
        <v>MIR223</v>
      </c>
      <c r="D1685" s="3" t="str">
        <f t="shared" si="279"/>
        <v>hsa-miR-223-3p</v>
      </c>
      <c r="E1685" s="2" t="s">
        <v>72</v>
      </c>
      <c r="F1685" s="3" t="str">
        <f t="shared" si="280"/>
        <v>Mature microRNA-223-3p</v>
      </c>
      <c r="G1685" s="4"/>
      <c r="H1685" s="3" t="str">
        <f>HYPERLINK("https://www.cortellis.com/drugdiscovery/entity/biomarkers/45275","4-microRNA colorectal cancer panel")</f>
        <v>4-microRNA colorectal cancer panel</v>
      </c>
      <c r="I1685" s="2" t="s">
        <v>52</v>
      </c>
      <c r="J1685" s="2" t="s">
        <v>19</v>
      </c>
      <c r="K1685" s="4" t="str">
        <f>HYPERLINK("https://www.cortellis.com/drugdiscovery/result/proxy/related-content/biomarkers/genestargets/45275","microRNA 223")</f>
        <v>microRNA 223</v>
      </c>
    </row>
    <row r="1686" spans="1:11" ht="60" customHeight="1" x14ac:dyDescent="0.2">
      <c r="A1686" s="2">
        <v>1683</v>
      </c>
      <c r="B1686" s="3" t="str">
        <f t="shared" si="277"/>
        <v>miR-223-3p</v>
      </c>
      <c r="C1686" s="3" t="str">
        <f t="shared" si="278"/>
        <v>MIR223</v>
      </c>
      <c r="D1686" s="3" t="str">
        <f t="shared" si="279"/>
        <v>hsa-miR-223-3p</v>
      </c>
      <c r="E1686" s="2" t="s">
        <v>72</v>
      </c>
      <c r="F1686" s="3" t="str">
        <f t="shared" si="280"/>
        <v>Mature microRNA-223-3p</v>
      </c>
      <c r="G1686" s="4"/>
      <c r="H1686" s="3" t="str">
        <f>HYPERLINK("https://www.cortellis.com/drugdiscovery/entity/biomarkers/45276","7-microRNA esophageal cancer panel")</f>
        <v>7-microRNA esophageal cancer panel</v>
      </c>
      <c r="I1686" s="2" t="s">
        <v>23</v>
      </c>
      <c r="J1686" s="2" t="s">
        <v>19</v>
      </c>
      <c r="K1686" s="4" t="str">
        <f>HYPERLINK("https://www.cortellis.com/drugdiscovery/result/proxy/related-content/biomarkers/genestargets/45276","microRNA 223")</f>
        <v>microRNA 223</v>
      </c>
    </row>
    <row r="1687" spans="1:11" ht="60" customHeight="1" x14ac:dyDescent="0.2">
      <c r="A1687" s="2">
        <v>1684</v>
      </c>
      <c r="B1687" s="3" t="str">
        <f t="shared" si="277"/>
        <v>miR-223-3p</v>
      </c>
      <c r="C1687" s="3" t="str">
        <f t="shared" si="278"/>
        <v>MIR223</v>
      </c>
      <c r="D1687" s="3" t="str">
        <f t="shared" si="279"/>
        <v>hsa-miR-223-3p</v>
      </c>
      <c r="E1687" s="2" t="s">
        <v>72</v>
      </c>
      <c r="F1687" s="3" t="str">
        <f t="shared" si="280"/>
        <v>Mature microRNA-223-3p</v>
      </c>
      <c r="G1687" s="4"/>
      <c r="H1687" s="3" t="str">
        <f>HYPERLINK("https://www.cortellis.com/drugdiscovery/entity/biomarkers/46588","4-microRNA colorectal cancer panel")</f>
        <v>4-microRNA colorectal cancer panel</v>
      </c>
      <c r="I1687" s="2" t="s">
        <v>100</v>
      </c>
      <c r="J1687" s="2" t="s">
        <v>19</v>
      </c>
      <c r="K1687" s="4" t="str">
        <f>HYPERLINK("https://www.cortellis.com/drugdiscovery/result/proxy/related-content/biomarkers/genestargets/46588","microRNA 223")</f>
        <v>microRNA 223</v>
      </c>
    </row>
    <row r="1688" spans="1:11" ht="60" customHeight="1" x14ac:dyDescent="0.2">
      <c r="A1688" s="2">
        <v>1685</v>
      </c>
      <c r="B1688" s="3" t="str">
        <f t="shared" si="277"/>
        <v>miR-223-3p</v>
      </c>
      <c r="C1688" s="3" t="str">
        <f t="shared" si="278"/>
        <v>MIR223</v>
      </c>
      <c r="D1688" s="3" t="str">
        <f t="shared" si="279"/>
        <v>hsa-miR-223-3p</v>
      </c>
      <c r="E1688" s="2" t="s">
        <v>72</v>
      </c>
      <c r="F1688" s="3" t="str">
        <f t="shared" si="280"/>
        <v>Mature microRNA-223-3p</v>
      </c>
      <c r="G1688" s="4"/>
      <c r="H1688" s="3" t="str">
        <f>HYPERLINK("https://www.cortellis.com/drugdiscovery/entity/biomarkers/50406","22-microRNA expression clear cell renal cell cancer panel")</f>
        <v>22-microRNA expression clear cell renal cell cancer panel</v>
      </c>
      <c r="I1688" s="2" t="s">
        <v>66</v>
      </c>
      <c r="J1688" s="2" t="s">
        <v>19</v>
      </c>
      <c r="K1688" s="4" t="str">
        <f>HYPERLINK("https://www.cortellis.com/drugdiscovery/result/proxy/related-content/biomarkers/genestargets/50406","microRNA 146b; microRNA 223")</f>
        <v>microRNA 146b; microRNA 223</v>
      </c>
    </row>
    <row r="1689" spans="1:11" ht="60" customHeight="1" x14ac:dyDescent="0.2">
      <c r="A1689" s="2">
        <v>1686</v>
      </c>
      <c r="B1689" s="3" t="str">
        <f t="shared" si="277"/>
        <v>miR-223-3p</v>
      </c>
      <c r="C1689" s="3" t="str">
        <f t="shared" si="278"/>
        <v>MIR223</v>
      </c>
      <c r="D1689" s="3" t="str">
        <f t="shared" si="279"/>
        <v>hsa-miR-223-3p</v>
      </c>
      <c r="E1689" s="2" t="s">
        <v>72</v>
      </c>
      <c r="F1689" s="3" t="str">
        <f t="shared" si="280"/>
        <v>Mature microRNA-223-3p</v>
      </c>
      <c r="G1689" s="4"/>
      <c r="H1689" s="3" t="str">
        <f>HYPERLINK("https://www.cortellis.com/drugdiscovery/entity/biomarkers/50455","6-microRNA expression chronic lymphocytic leukemia panel")</f>
        <v>6-microRNA expression chronic lymphocytic leukemia panel</v>
      </c>
      <c r="I1689" s="2" t="s">
        <v>23</v>
      </c>
      <c r="J1689" s="2" t="s">
        <v>19</v>
      </c>
      <c r="K1689" s="4" t="str">
        <f>HYPERLINK("https://www.cortellis.com/drugdiscovery/result/proxy/related-content/biomarkers/genestargets/50455","microRNA 150; microRNA 155; microRNA 223")</f>
        <v>microRNA 150; microRNA 155; microRNA 223</v>
      </c>
    </row>
    <row r="1690" spans="1:11" ht="60" customHeight="1" x14ac:dyDescent="0.2">
      <c r="A1690" s="2">
        <v>1687</v>
      </c>
      <c r="B1690" s="3" t="str">
        <f t="shared" si="277"/>
        <v>miR-223-3p</v>
      </c>
      <c r="C1690" s="3" t="str">
        <f t="shared" si="278"/>
        <v>MIR223</v>
      </c>
      <c r="D1690" s="3" t="str">
        <f t="shared" si="279"/>
        <v>hsa-miR-223-3p</v>
      </c>
      <c r="E1690" s="2" t="s">
        <v>72</v>
      </c>
      <c r="F1690" s="3" t="str">
        <f t="shared" si="280"/>
        <v>Mature microRNA-223-3p</v>
      </c>
      <c r="G1690" s="4"/>
      <c r="H1690" s="3" t="str">
        <f>HYPERLINK("https://www.cortellis.com/drugdiscovery/entity/biomarkers/53164","6-microRNA gastric cancer panel")</f>
        <v>6-microRNA gastric cancer panel</v>
      </c>
      <c r="I1690" s="2" t="s">
        <v>23</v>
      </c>
      <c r="J1690" s="2" t="s">
        <v>19</v>
      </c>
      <c r="K1690" s="4" t="str">
        <f>HYPERLINK("https://www.cortellis.com/drugdiscovery/result/proxy/related-content/biomarkers/genestargets/53164","microRNA 223")</f>
        <v>microRNA 223</v>
      </c>
    </row>
    <row r="1691" spans="1:11" ht="60" customHeight="1" x14ac:dyDescent="0.2">
      <c r="A1691" s="2">
        <v>1688</v>
      </c>
      <c r="B1691" s="3" t="str">
        <f t="shared" si="277"/>
        <v>miR-223-3p</v>
      </c>
      <c r="C1691" s="3" t="str">
        <f t="shared" si="278"/>
        <v>MIR223</v>
      </c>
      <c r="D1691" s="3" t="str">
        <f t="shared" si="279"/>
        <v>hsa-miR-223-3p</v>
      </c>
      <c r="E1691" s="2" t="s">
        <v>72</v>
      </c>
      <c r="F1691" s="3" t="str">
        <f t="shared" si="280"/>
        <v>Mature microRNA-223-3p</v>
      </c>
      <c r="G1691" s="4"/>
      <c r="H1691" s="3" t="str">
        <f>HYPERLINK("https://www.cortellis.com/drugdiscovery/entity/biomarkers/54404","4 microRNA gene expression idiopathic scoliosis panel")</f>
        <v>4 microRNA gene expression idiopathic scoliosis panel</v>
      </c>
      <c r="I1691" s="2" t="s">
        <v>20</v>
      </c>
      <c r="J1691" s="2" t="s">
        <v>15</v>
      </c>
      <c r="K1691" s="4" t="str">
        <f>HYPERLINK("https://www.cortellis.com/drugdiscovery/result/proxy/related-content/biomarkers/genestargets/54404","microRNA 223")</f>
        <v>microRNA 223</v>
      </c>
    </row>
    <row r="1692" spans="1:11" ht="60" customHeight="1" x14ac:dyDescent="0.2">
      <c r="A1692" s="2">
        <v>1689</v>
      </c>
      <c r="B1692" s="3" t="str">
        <f t="shared" si="277"/>
        <v>miR-223-3p</v>
      </c>
      <c r="C1692" s="3" t="str">
        <f t="shared" si="278"/>
        <v>MIR223</v>
      </c>
      <c r="D1692" s="3" t="str">
        <f t="shared" si="279"/>
        <v>hsa-miR-223-3p</v>
      </c>
      <c r="E1692" s="2" t="s">
        <v>72</v>
      </c>
      <c r="F1692" s="3" t="str">
        <f t="shared" si="280"/>
        <v>Mature microRNA-223-3p</v>
      </c>
      <c r="G1692" s="4"/>
      <c r="H1692" s="3" t="str">
        <f>HYPERLINK("https://www.cortellis.com/drugdiscovery/entity/biomarkers/56520","8-microRNA spontaneous preterm birth panel")</f>
        <v>8-microRNA spontaneous preterm birth panel</v>
      </c>
      <c r="I1692" s="2" t="s">
        <v>23</v>
      </c>
      <c r="J1692" s="2" t="s">
        <v>19</v>
      </c>
      <c r="K1692" s="4" t="str">
        <f>HYPERLINK("https://www.cortellis.com/drugdiscovery/result/proxy/related-content/biomarkers/genestargets/56520","microRNA 223")</f>
        <v>microRNA 223</v>
      </c>
    </row>
    <row r="1693" spans="1:11" ht="60" customHeight="1" x14ac:dyDescent="0.2">
      <c r="A1693" s="2">
        <v>1690</v>
      </c>
      <c r="B1693" s="3" t="str">
        <f t="shared" si="277"/>
        <v>miR-223-3p</v>
      </c>
      <c r="C1693" s="3" t="str">
        <f t="shared" si="278"/>
        <v>MIR223</v>
      </c>
      <c r="D1693" s="3" t="str">
        <f t="shared" si="279"/>
        <v>hsa-miR-223-3p</v>
      </c>
      <c r="E1693" s="2" t="s">
        <v>72</v>
      </c>
      <c r="F1693" s="3" t="str">
        <f t="shared" si="280"/>
        <v>Mature microRNA-223-3p</v>
      </c>
      <c r="G1693" s="4"/>
      <c r="H1693" s="3" t="str">
        <f>HYPERLINK("https://www.cortellis.com/drugdiscovery/entity/biomarkers/57434","16-microRNA colon cancer panel")</f>
        <v>16-microRNA colon cancer panel</v>
      </c>
      <c r="I1693" s="2" t="s">
        <v>41</v>
      </c>
      <c r="J1693" s="2" t="s">
        <v>19</v>
      </c>
      <c r="K1693" s="4" t="str">
        <f>HYPERLINK("https://www.cortellis.com/drugdiscovery/result/proxy/related-content/biomarkers/genestargets/57434","microRNA 146a; microRNA 150; microRNA 223")</f>
        <v>microRNA 146a; microRNA 150; microRNA 223</v>
      </c>
    </row>
    <row r="1694" spans="1:11" ht="60" customHeight="1" x14ac:dyDescent="0.2">
      <c r="A1694" s="2">
        <v>1691</v>
      </c>
      <c r="B1694" s="3" t="str">
        <f t="shared" ref="B1694:B1712" si="281">HYPERLINK("https://portal.genego.com/cgi/entity_page.cgi?term=100&amp;id=-1500695873","miR-223-5p")</f>
        <v>miR-223-5p</v>
      </c>
      <c r="C1694" s="3" t="str">
        <f t="shared" si="278"/>
        <v>MIR223</v>
      </c>
      <c r="D1694" s="3" t="str">
        <f t="shared" ref="D1694:D1712" si="282">HYPERLINK("https://portal.genego.com/cgi/entity_page.cgi?term=7&amp;id=-275762106","hsa-miR-223-5p")</f>
        <v>hsa-miR-223-5p</v>
      </c>
      <c r="E1694" s="2" t="s">
        <v>72</v>
      </c>
      <c r="F1694" s="3" t="str">
        <f t="shared" ref="F1694:F1712" si="283">HYPERLINK("https://portal.genego.com/cgi/entity_page.cgi?term=100&amp;id=-1500695873","Mature microRNA-223-5p")</f>
        <v>Mature microRNA-223-5p</v>
      </c>
      <c r="G1694" s="4"/>
      <c r="H1694" s="3" t="str">
        <f>HYPERLINK("https://www.cortellis.com/drugdiscovery/entity/biomarkers/2543","microRNA 223")</f>
        <v>microRNA 223</v>
      </c>
      <c r="I1694" s="2" t="s">
        <v>56</v>
      </c>
      <c r="J1694" s="2" t="s">
        <v>19</v>
      </c>
      <c r="K1694" s="4" t="str">
        <f>HYPERLINK("https://www.cortellis.com/drugdiscovery/result/proxy/related-content/biomarkers/genestargets/2543","microRNA 223")</f>
        <v>microRNA 223</v>
      </c>
    </row>
    <row r="1695" spans="1:11" ht="60" customHeight="1" x14ac:dyDescent="0.2">
      <c r="A1695" s="2">
        <v>1692</v>
      </c>
      <c r="B1695" s="3" t="str">
        <f t="shared" si="281"/>
        <v>miR-223-5p</v>
      </c>
      <c r="C1695" s="3" t="str">
        <f t="shared" si="278"/>
        <v>MIR223</v>
      </c>
      <c r="D1695" s="3" t="str">
        <f t="shared" si="282"/>
        <v>hsa-miR-223-5p</v>
      </c>
      <c r="E1695" s="2" t="s">
        <v>72</v>
      </c>
      <c r="F1695" s="3" t="str">
        <f t="shared" si="283"/>
        <v>Mature microRNA-223-5p</v>
      </c>
      <c r="G1695" s="4"/>
      <c r="H1695" s="3" t="str">
        <f>HYPERLINK("https://www.cortellis.com/drugdiscovery/entity/biomarkers/24383","7-microRNA esophageal cancer panel")</f>
        <v>7-microRNA esophageal cancer panel</v>
      </c>
      <c r="I1695" s="2" t="s">
        <v>23</v>
      </c>
      <c r="J1695" s="2" t="s">
        <v>19</v>
      </c>
      <c r="K1695" s="4" t="str">
        <f>HYPERLINK("https://www.cortellis.com/drugdiscovery/result/proxy/related-content/biomarkers/genestargets/24383","microRNA 133a-1; microRNA 133a-2; microRNA 223")</f>
        <v>microRNA 133a-1; microRNA 133a-2; microRNA 223</v>
      </c>
    </row>
    <row r="1696" spans="1:11" ht="60" customHeight="1" x14ac:dyDescent="0.2">
      <c r="A1696" s="2">
        <v>1693</v>
      </c>
      <c r="B1696" s="3" t="str">
        <f t="shared" si="281"/>
        <v>miR-223-5p</v>
      </c>
      <c r="C1696" s="3" t="str">
        <f t="shared" si="278"/>
        <v>MIR223</v>
      </c>
      <c r="D1696" s="3" t="str">
        <f t="shared" si="282"/>
        <v>hsa-miR-223-5p</v>
      </c>
      <c r="E1696" s="2" t="s">
        <v>72</v>
      </c>
      <c r="F1696" s="3" t="str">
        <f t="shared" si="283"/>
        <v>Mature microRNA-223-5p</v>
      </c>
      <c r="G1696" s="4"/>
      <c r="H1696" s="3" t="str">
        <f>HYPERLINK("https://www.cortellis.com/drugdiscovery/entity/biomarkers/27309","57-microRNA mouth cancer panel")</f>
        <v>57-microRNA mouth cancer panel</v>
      </c>
      <c r="I1696" s="2" t="s">
        <v>23</v>
      </c>
      <c r="J1696" s="2" t="s">
        <v>19</v>
      </c>
      <c r="K1696" s="4" t="str">
        <f>HYPERLINK("https://www.cortellis.com/drugdiscovery/result/proxy/related-content/biomarkers/genestargets/27309","microRNA 146a; microRNA 155; microRNA 214; microRNA 223")</f>
        <v>microRNA 146a; microRNA 155; microRNA 214; microRNA 223</v>
      </c>
    </row>
    <row r="1697" spans="1:11" ht="60" customHeight="1" x14ac:dyDescent="0.2">
      <c r="A1697" s="2">
        <v>1694</v>
      </c>
      <c r="B1697" s="3" t="str">
        <f t="shared" si="281"/>
        <v>miR-223-5p</v>
      </c>
      <c r="C1697" s="3" t="str">
        <f t="shared" si="278"/>
        <v>MIR223</v>
      </c>
      <c r="D1697" s="3" t="str">
        <f t="shared" si="282"/>
        <v>hsa-miR-223-5p</v>
      </c>
      <c r="E1697" s="2" t="s">
        <v>72</v>
      </c>
      <c r="F1697" s="3" t="str">
        <f t="shared" si="283"/>
        <v>Mature microRNA-223-5p</v>
      </c>
      <c r="G1697" s="4"/>
      <c r="H1697" s="3" t="str">
        <f>HYPERLINK("https://www.cortellis.com/drugdiscovery/entity/biomarkers/27395","13-microRNA liver cancer panel")</f>
        <v>13-microRNA liver cancer panel</v>
      </c>
      <c r="I1697" s="2" t="s">
        <v>52</v>
      </c>
      <c r="J1697" s="2" t="s">
        <v>19</v>
      </c>
      <c r="K1697" s="4" t="str">
        <f>HYPERLINK("https://www.cortellis.com/drugdiscovery/result/proxy/related-content/biomarkers/genestargets/27395","microRNA 150; microRNA 223")</f>
        <v>microRNA 150; microRNA 223</v>
      </c>
    </row>
    <row r="1698" spans="1:11" ht="60" customHeight="1" x14ac:dyDescent="0.2">
      <c r="A1698" s="2">
        <v>1695</v>
      </c>
      <c r="B1698" s="3" t="str">
        <f t="shared" si="281"/>
        <v>miR-223-5p</v>
      </c>
      <c r="C1698" s="3" t="str">
        <f t="shared" si="278"/>
        <v>MIR223</v>
      </c>
      <c r="D1698" s="3" t="str">
        <f t="shared" si="282"/>
        <v>hsa-miR-223-5p</v>
      </c>
      <c r="E1698" s="2" t="s">
        <v>72</v>
      </c>
      <c r="F1698" s="3" t="str">
        <f t="shared" si="283"/>
        <v>Mature microRNA-223-5p</v>
      </c>
      <c r="G1698" s="4"/>
      <c r="H1698" s="3" t="str">
        <f>HYPERLINK("https://www.cortellis.com/drugdiscovery/entity/biomarkers/28446","7-microRNA gastric cancer panel")</f>
        <v>7-microRNA gastric cancer panel</v>
      </c>
      <c r="I1698" s="2" t="s">
        <v>25</v>
      </c>
      <c r="J1698" s="2" t="s">
        <v>19</v>
      </c>
      <c r="K1698" s="4" t="str">
        <f>HYPERLINK("https://www.cortellis.com/drugdiscovery/result/proxy/related-content/biomarkers/genestargets/28446","microRNA 223")</f>
        <v>microRNA 223</v>
      </c>
    </row>
    <row r="1699" spans="1:11" ht="60" customHeight="1" x14ac:dyDescent="0.2">
      <c r="A1699" s="2">
        <v>1696</v>
      </c>
      <c r="B1699" s="3" t="str">
        <f t="shared" si="281"/>
        <v>miR-223-5p</v>
      </c>
      <c r="C1699" s="3" t="str">
        <f t="shared" si="278"/>
        <v>MIR223</v>
      </c>
      <c r="D1699" s="3" t="str">
        <f t="shared" si="282"/>
        <v>hsa-miR-223-5p</v>
      </c>
      <c r="E1699" s="2" t="s">
        <v>72</v>
      </c>
      <c r="F1699" s="3" t="str">
        <f t="shared" si="283"/>
        <v>Mature microRNA-223-5p</v>
      </c>
      <c r="G1699" s="4"/>
      <c r="H1699" s="3" t="str">
        <f>HYPERLINK("https://www.cortellis.com/drugdiscovery/entity/biomarkers/31110","3-microRNA B-cell chronic lymphocytic leukemia panel")</f>
        <v>3-microRNA B-cell chronic lymphocytic leukemia panel</v>
      </c>
      <c r="I1699" s="2" t="s">
        <v>25</v>
      </c>
      <c r="J1699" s="2" t="s">
        <v>19</v>
      </c>
      <c r="K1699" s="4" t="str">
        <f>HYPERLINK("https://www.cortellis.com/drugdiscovery/result/proxy/related-content/biomarkers/genestargets/31110","microRNA 223")</f>
        <v>microRNA 223</v>
      </c>
    </row>
    <row r="1700" spans="1:11" ht="60" customHeight="1" x14ac:dyDescent="0.2">
      <c r="A1700" s="2">
        <v>1697</v>
      </c>
      <c r="B1700" s="3" t="str">
        <f t="shared" si="281"/>
        <v>miR-223-5p</v>
      </c>
      <c r="C1700" s="3" t="str">
        <f t="shared" si="278"/>
        <v>MIR223</v>
      </c>
      <c r="D1700" s="3" t="str">
        <f t="shared" si="282"/>
        <v>hsa-miR-223-5p</v>
      </c>
      <c r="E1700" s="2" t="s">
        <v>72</v>
      </c>
      <c r="F1700" s="3" t="str">
        <f t="shared" si="283"/>
        <v>Mature microRNA-223-5p</v>
      </c>
      <c r="G1700" s="4"/>
      <c r="H1700" s="3" t="str">
        <f>HYPERLINK("https://www.cortellis.com/drugdiscovery/entity/biomarkers/36533","7-microRNA liver panel")</f>
        <v>7-microRNA liver panel</v>
      </c>
      <c r="I1700" s="2" t="s">
        <v>52</v>
      </c>
      <c r="J1700" s="2" t="s">
        <v>19</v>
      </c>
      <c r="K1700" s="4" t="str">
        <f>HYPERLINK("https://www.cortellis.com/drugdiscovery/result/proxy/related-content/biomarkers/genestargets/36533","microRNA 223")</f>
        <v>microRNA 223</v>
      </c>
    </row>
    <row r="1701" spans="1:11" ht="60" customHeight="1" x14ac:dyDescent="0.2">
      <c r="A1701" s="2">
        <v>1698</v>
      </c>
      <c r="B1701" s="3" t="str">
        <f t="shared" si="281"/>
        <v>miR-223-5p</v>
      </c>
      <c r="C1701" s="3" t="str">
        <f t="shared" si="278"/>
        <v>MIR223</v>
      </c>
      <c r="D1701" s="3" t="str">
        <f t="shared" si="282"/>
        <v>hsa-miR-223-5p</v>
      </c>
      <c r="E1701" s="2" t="s">
        <v>72</v>
      </c>
      <c r="F1701" s="3" t="str">
        <f t="shared" si="283"/>
        <v>Mature microRNA-223-5p</v>
      </c>
      <c r="G1701" s="4"/>
      <c r="H1701" s="3" t="str">
        <f>HYPERLINK("https://www.cortellis.com/drugdiscovery/entity/biomarkers/40925","microRNA 223-3p")</f>
        <v>microRNA 223-3p</v>
      </c>
      <c r="I1701" s="2" t="s">
        <v>99</v>
      </c>
      <c r="J1701" s="2" t="s">
        <v>19</v>
      </c>
      <c r="K1701" s="4" t="str">
        <f>HYPERLINK("https://www.cortellis.com/drugdiscovery/result/proxy/related-content/biomarkers/genestargets/40925","microRNA 223")</f>
        <v>microRNA 223</v>
      </c>
    </row>
    <row r="1702" spans="1:11" ht="60" customHeight="1" x14ac:dyDescent="0.2">
      <c r="A1702" s="2">
        <v>1699</v>
      </c>
      <c r="B1702" s="3" t="str">
        <f t="shared" si="281"/>
        <v>miR-223-5p</v>
      </c>
      <c r="C1702" s="3" t="str">
        <f t="shared" si="278"/>
        <v>MIR223</v>
      </c>
      <c r="D1702" s="3" t="str">
        <f t="shared" si="282"/>
        <v>hsa-miR-223-5p</v>
      </c>
      <c r="E1702" s="2" t="s">
        <v>72</v>
      </c>
      <c r="F1702" s="3" t="str">
        <f t="shared" si="283"/>
        <v>Mature microRNA-223-5p</v>
      </c>
      <c r="G1702" s="4"/>
      <c r="H1702" s="3" t="str">
        <f>HYPERLINK("https://www.cortellis.com/drugdiscovery/entity/biomarkers/41006","microRNA 223-5p")</f>
        <v>microRNA 223-5p</v>
      </c>
      <c r="I1702" s="2" t="s">
        <v>80</v>
      </c>
      <c r="J1702" s="2" t="s">
        <v>19</v>
      </c>
      <c r="K1702" s="4" t="str">
        <f>HYPERLINK("https://www.cortellis.com/drugdiscovery/result/proxy/related-content/biomarkers/genestargets/41006","microRNA 223")</f>
        <v>microRNA 223</v>
      </c>
    </row>
    <row r="1703" spans="1:11" ht="60" customHeight="1" x14ac:dyDescent="0.2">
      <c r="A1703" s="2">
        <v>1700</v>
      </c>
      <c r="B1703" s="3" t="str">
        <f t="shared" si="281"/>
        <v>miR-223-5p</v>
      </c>
      <c r="C1703" s="3" t="str">
        <f t="shared" si="278"/>
        <v>MIR223</v>
      </c>
      <c r="D1703" s="3" t="str">
        <f t="shared" si="282"/>
        <v>hsa-miR-223-5p</v>
      </c>
      <c r="E1703" s="2" t="s">
        <v>72</v>
      </c>
      <c r="F1703" s="3" t="str">
        <f t="shared" si="283"/>
        <v>Mature microRNA-223-5p</v>
      </c>
      <c r="G1703" s="4"/>
      <c r="H1703" s="3" t="str">
        <f>HYPERLINK("https://www.cortellis.com/drugdiscovery/entity/biomarkers/43209","15-microRNA pulmonary tuberculosis panel")</f>
        <v>15-microRNA pulmonary tuberculosis panel</v>
      </c>
      <c r="I1703" s="2" t="s">
        <v>34</v>
      </c>
      <c r="J1703" s="2" t="s">
        <v>19</v>
      </c>
      <c r="K1703" s="4" t="str">
        <f>HYPERLINK("https://www.cortellis.com/drugdiscovery/result/proxy/related-content/biomarkers/genestargets/43209","microRNA 146a; microRNA 223")</f>
        <v>microRNA 146a; microRNA 223</v>
      </c>
    </row>
    <row r="1704" spans="1:11" ht="60" customHeight="1" x14ac:dyDescent="0.2">
      <c r="A1704" s="2">
        <v>1701</v>
      </c>
      <c r="B1704" s="3" t="str">
        <f t="shared" si="281"/>
        <v>miR-223-5p</v>
      </c>
      <c r="C1704" s="3" t="str">
        <f t="shared" si="278"/>
        <v>MIR223</v>
      </c>
      <c r="D1704" s="3" t="str">
        <f t="shared" si="282"/>
        <v>hsa-miR-223-5p</v>
      </c>
      <c r="E1704" s="2" t="s">
        <v>72</v>
      </c>
      <c r="F1704" s="3" t="str">
        <f t="shared" si="283"/>
        <v>Mature microRNA-223-5p</v>
      </c>
      <c r="G1704" s="4"/>
      <c r="H1704" s="3" t="str">
        <f>HYPERLINK("https://www.cortellis.com/drugdiscovery/entity/biomarkers/45275","4-microRNA colorectal cancer panel")</f>
        <v>4-microRNA colorectal cancer panel</v>
      </c>
      <c r="I1704" s="2" t="s">
        <v>52</v>
      </c>
      <c r="J1704" s="2" t="s">
        <v>19</v>
      </c>
      <c r="K1704" s="4" t="str">
        <f>HYPERLINK("https://www.cortellis.com/drugdiscovery/result/proxy/related-content/biomarkers/genestargets/45275","microRNA 223")</f>
        <v>microRNA 223</v>
      </c>
    </row>
    <row r="1705" spans="1:11" ht="60" customHeight="1" x14ac:dyDescent="0.2">
      <c r="A1705" s="2">
        <v>1702</v>
      </c>
      <c r="B1705" s="3" t="str">
        <f t="shared" si="281"/>
        <v>miR-223-5p</v>
      </c>
      <c r="C1705" s="3" t="str">
        <f t="shared" si="278"/>
        <v>MIR223</v>
      </c>
      <c r="D1705" s="3" t="str">
        <f t="shared" si="282"/>
        <v>hsa-miR-223-5p</v>
      </c>
      <c r="E1705" s="2" t="s">
        <v>72</v>
      </c>
      <c r="F1705" s="3" t="str">
        <f t="shared" si="283"/>
        <v>Mature microRNA-223-5p</v>
      </c>
      <c r="G1705" s="4"/>
      <c r="H1705" s="3" t="str">
        <f>HYPERLINK("https://www.cortellis.com/drugdiscovery/entity/biomarkers/45276","7-microRNA esophageal cancer panel")</f>
        <v>7-microRNA esophageal cancer panel</v>
      </c>
      <c r="I1705" s="2" t="s">
        <v>23</v>
      </c>
      <c r="J1705" s="2" t="s">
        <v>19</v>
      </c>
      <c r="K1705" s="4" t="str">
        <f>HYPERLINK("https://www.cortellis.com/drugdiscovery/result/proxy/related-content/biomarkers/genestargets/45276","microRNA 223")</f>
        <v>microRNA 223</v>
      </c>
    </row>
    <row r="1706" spans="1:11" ht="60" customHeight="1" x14ac:dyDescent="0.2">
      <c r="A1706" s="2">
        <v>1703</v>
      </c>
      <c r="B1706" s="3" t="str">
        <f t="shared" si="281"/>
        <v>miR-223-5p</v>
      </c>
      <c r="C1706" s="3" t="str">
        <f t="shared" si="278"/>
        <v>MIR223</v>
      </c>
      <c r="D1706" s="3" t="str">
        <f t="shared" si="282"/>
        <v>hsa-miR-223-5p</v>
      </c>
      <c r="E1706" s="2" t="s">
        <v>72</v>
      </c>
      <c r="F1706" s="3" t="str">
        <f t="shared" si="283"/>
        <v>Mature microRNA-223-5p</v>
      </c>
      <c r="G1706" s="4"/>
      <c r="H1706" s="3" t="str">
        <f>HYPERLINK("https://www.cortellis.com/drugdiscovery/entity/biomarkers/46588","4-microRNA colorectal cancer panel")</f>
        <v>4-microRNA colorectal cancer panel</v>
      </c>
      <c r="I1706" s="2" t="s">
        <v>100</v>
      </c>
      <c r="J1706" s="2" t="s">
        <v>19</v>
      </c>
      <c r="K1706" s="4" t="str">
        <f>HYPERLINK("https://www.cortellis.com/drugdiscovery/result/proxy/related-content/biomarkers/genestargets/46588","microRNA 223")</f>
        <v>microRNA 223</v>
      </c>
    </row>
    <row r="1707" spans="1:11" ht="60" customHeight="1" x14ac:dyDescent="0.2">
      <c r="A1707" s="2">
        <v>1704</v>
      </c>
      <c r="B1707" s="3" t="str">
        <f t="shared" si="281"/>
        <v>miR-223-5p</v>
      </c>
      <c r="C1707" s="3" t="str">
        <f t="shared" si="278"/>
        <v>MIR223</v>
      </c>
      <c r="D1707" s="3" t="str">
        <f t="shared" si="282"/>
        <v>hsa-miR-223-5p</v>
      </c>
      <c r="E1707" s="2" t="s">
        <v>72</v>
      </c>
      <c r="F1707" s="3" t="str">
        <f t="shared" si="283"/>
        <v>Mature microRNA-223-5p</v>
      </c>
      <c r="G1707" s="4"/>
      <c r="H1707" s="3" t="str">
        <f>HYPERLINK("https://www.cortellis.com/drugdiscovery/entity/biomarkers/50406","22-microRNA expression clear cell renal cell cancer panel")</f>
        <v>22-microRNA expression clear cell renal cell cancer panel</v>
      </c>
      <c r="I1707" s="2" t="s">
        <v>66</v>
      </c>
      <c r="J1707" s="2" t="s">
        <v>19</v>
      </c>
      <c r="K1707" s="4" t="str">
        <f>HYPERLINK("https://www.cortellis.com/drugdiscovery/result/proxy/related-content/biomarkers/genestargets/50406","microRNA 146b; microRNA 223")</f>
        <v>microRNA 146b; microRNA 223</v>
      </c>
    </row>
    <row r="1708" spans="1:11" ht="60" customHeight="1" x14ac:dyDescent="0.2">
      <c r="A1708" s="2">
        <v>1705</v>
      </c>
      <c r="B1708" s="3" t="str">
        <f t="shared" si="281"/>
        <v>miR-223-5p</v>
      </c>
      <c r="C1708" s="3" t="str">
        <f t="shared" si="278"/>
        <v>MIR223</v>
      </c>
      <c r="D1708" s="3" t="str">
        <f t="shared" si="282"/>
        <v>hsa-miR-223-5p</v>
      </c>
      <c r="E1708" s="2" t="s">
        <v>72</v>
      </c>
      <c r="F1708" s="3" t="str">
        <f t="shared" si="283"/>
        <v>Mature microRNA-223-5p</v>
      </c>
      <c r="G1708" s="4"/>
      <c r="H1708" s="3" t="str">
        <f>HYPERLINK("https://www.cortellis.com/drugdiscovery/entity/biomarkers/50455","6-microRNA expression chronic lymphocytic leukemia panel")</f>
        <v>6-microRNA expression chronic lymphocytic leukemia panel</v>
      </c>
      <c r="I1708" s="2" t="s">
        <v>23</v>
      </c>
      <c r="J1708" s="2" t="s">
        <v>19</v>
      </c>
      <c r="K1708" s="4" t="str">
        <f>HYPERLINK("https://www.cortellis.com/drugdiscovery/result/proxy/related-content/biomarkers/genestargets/50455","microRNA 150; microRNA 155; microRNA 223")</f>
        <v>microRNA 150; microRNA 155; microRNA 223</v>
      </c>
    </row>
    <row r="1709" spans="1:11" ht="60" customHeight="1" x14ac:dyDescent="0.2">
      <c r="A1709" s="2">
        <v>1706</v>
      </c>
      <c r="B1709" s="3" t="str">
        <f t="shared" si="281"/>
        <v>miR-223-5p</v>
      </c>
      <c r="C1709" s="3" t="str">
        <f t="shared" si="278"/>
        <v>MIR223</v>
      </c>
      <c r="D1709" s="3" t="str">
        <f t="shared" si="282"/>
        <v>hsa-miR-223-5p</v>
      </c>
      <c r="E1709" s="2" t="s">
        <v>72</v>
      </c>
      <c r="F1709" s="3" t="str">
        <f t="shared" si="283"/>
        <v>Mature microRNA-223-5p</v>
      </c>
      <c r="G1709" s="4"/>
      <c r="H1709" s="3" t="str">
        <f>HYPERLINK("https://www.cortellis.com/drugdiscovery/entity/biomarkers/53164","6-microRNA gastric cancer panel")</f>
        <v>6-microRNA gastric cancer panel</v>
      </c>
      <c r="I1709" s="2" t="s">
        <v>23</v>
      </c>
      <c r="J1709" s="2" t="s">
        <v>19</v>
      </c>
      <c r="K1709" s="4" t="str">
        <f>HYPERLINK("https://www.cortellis.com/drugdiscovery/result/proxy/related-content/biomarkers/genestargets/53164","microRNA 223")</f>
        <v>microRNA 223</v>
      </c>
    </row>
    <row r="1710" spans="1:11" ht="60" customHeight="1" x14ac:dyDescent="0.2">
      <c r="A1710" s="2">
        <v>1707</v>
      </c>
      <c r="B1710" s="3" t="str">
        <f t="shared" si="281"/>
        <v>miR-223-5p</v>
      </c>
      <c r="C1710" s="3" t="str">
        <f t="shared" si="278"/>
        <v>MIR223</v>
      </c>
      <c r="D1710" s="3" t="str">
        <f t="shared" si="282"/>
        <v>hsa-miR-223-5p</v>
      </c>
      <c r="E1710" s="2" t="s">
        <v>72</v>
      </c>
      <c r="F1710" s="3" t="str">
        <f t="shared" si="283"/>
        <v>Mature microRNA-223-5p</v>
      </c>
      <c r="G1710" s="4"/>
      <c r="H1710" s="3" t="str">
        <f>HYPERLINK("https://www.cortellis.com/drugdiscovery/entity/biomarkers/54404","4 microRNA gene expression idiopathic scoliosis panel")</f>
        <v>4 microRNA gene expression idiopathic scoliosis panel</v>
      </c>
      <c r="I1710" s="2" t="s">
        <v>20</v>
      </c>
      <c r="J1710" s="2" t="s">
        <v>15</v>
      </c>
      <c r="K1710" s="4" t="str">
        <f>HYPERLINK("https://www.cortellis.com/drugdiscovery/result/proxy/related-content/biomarkers/genestargets/54404","microRNA 223")</f>
        <v>microRNA 223</v>
      </c>
    </row>
    <row r="1711" spans="1:11" ht="60" customHeight="1" x14ac:dyDescent="0.2">
      <c r="A1711" s="2">
        <v>1708</v>
      </c>
      <c r="B1711" s="3" t="str">
        <f t="shared" si="281"/>
        <v>miR-223-5p</v>
      </c>
      <c r="C1711" s="3" t="str">
        <f t="shared" si="278"/>
        <v>MIR223</v>
      </c>
      <c r="D1711" s="3" t="str">
        <f t="shared" si="282"/>
        <v>hsa-miR-223-5p</v>
      </c>
      <c r="E1711" s="2" t="s">
        <v>72</v>
      </c>
      <c r="F1711" s="3" t="str">
        <f t="shared" si="283"/>
        <v>Mature microRNA-223-5p</v>
      </c>
      <c r="G1711" s="4"/>
      <c r="H1711" s="3" t="str">
        <f>HYPERLINK("https://www.cortellis.com/drugdiscovery/entity/biomarkers/56520","8-microRNA spontaneous preterm birth panel")</f>
        <v>8-microRNA spontaneous preterm birth panel</v>
      </c>
      <c r="I1711" s="2" t="s">
        <v>23</v>
      </c>
      <c r="J1711" s="2" t="s">
        <v>19</v>
      </c>
      <c r="K1711" s="4" t="str">
        <f>HYPERLINK("https://www.cortellis.com/drugdiscovery/result/proxy/related-content/biomarkers/genestargets/56520","microRNA 223")</f>
        <v>microRNA 223</v>
      </c>
    </row>
    <row r="1712" spans="1:11" ht="60" customHeight="1" x14ac:dyDescent="0.2">
      <c r="A1712" s="2">
        <v>1709</v>
      </c>
      <c r="B1712" s="3" t="str">
        <f t="shared" si="281"/>
        <v>miR-223-5p</v>
      </c>
      <c r="C1712" s="3" t="str">
        <f t="shared" si="278"/>
        <v>MIR223</v>
      </c>
      <c r="D1712" s="3" t="str">
        <f t="shared" si="282"/>
        <v>hsa-miR-223-5p</v>
      </c>
      <c r="E1712" s="2" t="s">
        <v>72</v>
      </c>
      <c r="F1712" s="3" t="str">
        <f t="shared" si="283"/>
        <v>Mature microRNA-223-5p</v>
      </c>
      <c r="G1712" s="4"/>
      <c r="H1712" s="3" t="str">
        <f>HYPERLINK("https://www.cortellis.com/drugdiscovery/entity/biomarkers/57434","16-microRNA colon cancer panel")</f>
        <v>16-microRNA colon cancer panel</v>
      </c>
      <c r="I1712" s="2" t="s">
        <v>41</v>
      </c>
      <c r="J1712" s="2" t="s">
        <v>19</v>
      </c>
      <c r="K1712" s="4" t="str">
        <f>HYPERLINK("https://www.cortellis.com/drugdiscovery/result/proxy/related-content/biomarkers/genestargets/57434","microRNA 146a; microRNA 150; microRNA 223")</f>
        <v>microRNA 146a; microRNA 150; microRNA 223</v>
      </c>
    </row>
    <row r="1713" spans="1:11" ht="60" customHeight="1" x14ac:dyDescent="0.2">
      <c r="A1713" s="2">
        <v>1710</v>
      </c>
      <c r="B1713" s="3" t="str">
        <f t="shared" ref="B1713:B1722" si="284">HYPERLINK("https://portal.genego.com/cgi/entity_page.cgi?term=100&amp;id=-1446093462","miR1a-1-5p")</f>
        <v>miR1a-1-5p</v>
      </c>
      <c r="C1713" s="3" t="str">
        <f t="shared" ref="C1713:C1732" si="285">HYPERLINK("https://portal.genego.com/cgi/entity_page.cgi?term=20&amp;id=-1487577337","MIR1-1")</f>
        <v>MIR1-1</v>
      </c>
      <c r="D1713" s="3" t="str">
        <f t="shared" ref="D1713:D1722" si="286">HYPERLINK("https://portal.genego.com/cgi/entity_page.cgi?term=7&amp;id=-1013716375","hsa-miR-1-5p")</f>
        <v>hsa-miR-1-5p</v>
      </c>
      <c r="E1713" s="2" t="s">
        <v>72</v>
      </c>
      <c r="F1713" s="3" t="str">
        <f t="shared" ref="F1713:F1722" si="287">HYPERLINK("https://portal.genego.com/cgi/entity_page.cgi?term=100&amp;id=-1446093462","Mature microRNA-1-5p")</f>
        <v>Mature microRNA-1-5p</v>
      </c>
      <c r="G1713" s="4"/>
      <c r="H1713" s="3" t="str">
        <f>HYPERLINK("https://www.cortellis.com/drugdiscovery/entity/biomarkers/7491","microRNA 1-1")</f>
        <v>microRNA 1-1</v>
      </c>
      <c r="I1713" s="2" t="s">
        <v>73</v>
      </c>
      <c r="J1713" s="2" t="s">
        <v>19</v>
      </c>
      <c r="K1713" s="4" t="str">
        <f>HYPERLINK("https://www.cortellis.com/drugdiscovery/result/proxy/related-content/biomarkers/genestargets/7491","microRNA 1-1")</f>
        <v>microRNA 1-1</v>
      </c>
    </row>
    <row r="1714" spans="1:11" ht="60" customHeight="1" x14ac:dyDescent="0.2">
      <c r="A1714" s="2">
        <v>1711</v>
      </c>
      <c r="B1714" s="3" t="str">
        <f t="shared" si="284"/>
        <v>miR1a-1-5p</v>
      </c>
      <c r="C1714" s="3" t="str">
        <f t="shared" si="285"/>
        <v>MIR1-1</v>
      </c>
      <c r="D1714" s="3" t="str">
        <f t="shared" si="286"/>
        <v>hsa-miR-1-5p</v>
      </c>
      <c r="E1714" s="2" t="s">
        <v>72</v>
      </c>
      <c r="F1714" s="3" t="str">
        <f t="shared" si="287"/>
        <v>Mature microRNA-1-5p</v>
      </c>
      <c r="G1714" s="4"/>
      <c r="H1714" s="3" t="str">
        <f>HYPERLINK("https://www.cortellis.com/drugdiscovery/entity/biomarkers/8906","microRNA 1")</f>
        <v>microRNA 1</v>
      </c>
      <c r="I1714" s="2" t="s">
        <v>74</v>
      </c>
      <c r="J1714" s="2" t="s">
        <v>19</v>
      </c>
      <c r="K1714" s="4" t="str">
        <f>HYPERLINK("https://www.cortellis.com/drugdiscovery/result/proxy/related-content/biomarkers/genestargets/8906","microRNA 1-1; microRNA 1-2")</f>
        <v>microRNA 1-1; microRNA 1-2</v>
      </c>
    </row>
    <row r="1715" spans="1:11" ht="60" customHeight="1" x14ac:dyDescent="0.2">
      <c r="A1715" s="2">
        <v>1712</v>
      </c>
      <c r="B1715" s="3" t="str">
        <f t="shared" si="284"/>
        <v>miR1a-1-5p</v>
      </c>
      <c r="C1715" s="3" t="str">
        <f t="shared" si="285"/>
        <v>MIR1-1</v>
      </c>
      <c r="D1715" s="3" t="str">
        <f t="shared" si="286"/>
        <v>hsa-miR-1-5p</v>
      </c>
      <c r="E1715" s="2" t="s">
        <v>72</v>
      </c>
      <c r="F1715" s="3" t="str">
        <f t="shared" si="287"/>
        <v>Mature microRNA-1-5p</v>
      </c>
      <c r="G1715" s="4"/>
      <c r="H1715" s="3" t="str">
        <f>HYPERLINK("https://www.cortellis.com/drugdiscovery/entity/biomarkers/24381","5-microRNA gastric cancer panel")</f>
        <v>5-microRNA gastric cancer panel</v>
      </c>
      <c r="I1715" s="2" t="s">
        <v>75</v>
      </c>
      <c r="J1715" s="2" t="s">
        <v>19</v>
      </c>
      <c r="K1715" s="4" t="str">
        <f>HYPERLINK("https://www.cortellis.com/drugdiscovery/result/proxy/related-content/biomarkers/genestargets/24381","microRNA 1-1; microRNA 1-2")</f>
        <v>microRNA 1-1; microRNA 1-2</v>
      </c>
    </row>
    <row r="1716" spans="1:11" ht="60" customHeight="1" x14ac:dyDescent="0.2">
      <c r="A1716" s="2">
        <v>1713</v>
      </c>
      <c r="B1716" s="3" t="str">
        <f t="shared" si="284"/>
        <v>miR1a-1-5p</v>
      </c>
      <c r="C1716" s="3" t="str">
        <f t="shared" si="285"/>
        <v>MIR1-1</v>
      </c>
      <c r="D1716" s="3" t="str">
        <f t="shared" si="286"/>
        <v>hsa-miR-1-5p</v>
      </c>
      <c r="E1716" s="2" t="s">
        <v>72</v>
      </c>
      <c r="F1716" s="3" t="str">
        <f t="shared" si="287"/>
        <v>Mature microRNA-1-5p</v>
      </c>
      <c r="G1716" s="4"/>
      <c r="H1716" s="3" t="str">
        <f>HYPERLINK("https://www.cortellis.com/drugdiscovery/entity/biomarkers/27376","4-microRNA lung cancer panel")</f>
        <v>4-microRNA lung cancer panel</v>
      </c>
      <c r="I1716" s="2" t="s">
        <v>25</v>
      </c>
      <c r="J1716" s="2" t="s">
        <v>19</v>
      </c>
      <c r="K1716" s="4" t="str">
        <f>HYPERLINK("https://www.cortellis.com/drugdiscovery/result/proxy/related-content/biomarkers/genestargets/27376","microRNA 1-1; microRNA 1-2")</f>
        <v>microRNA 1-1; microRNA 1-2</v>
      </c>
    </row>
    <row r="1717" spans="1:11" ht="60" customHeight="1" x14ac:dyDescent="0.2">
      <c r="A1717" s="2">
        <v>1714</v>
      </c>
      <c r="B1717" s="3" t="str">
        <f t="shared" si="284"/>
        <v>miR1a-1-5p</v>
      </c>
      <c r="C1717" s="3" t="str">
        <f t="shared" si="285"/>
        <v>MIR1-1</v>
      </c>
      <c r="D1717" s="3" t="str">
        <f t="shared" si="286"/>
        <v>hsa-miR-1-5p</v>
      </c>
      <c r="E1717" s="2" t="s">
        <v>72</v>
      </c>
      <c r="F1717" s="3" t="str">
        <f t="shared" si="287"/>
        <v>Mature microRNA-1-5p</v>
      </c>
      <c r="G1717" s="4"/>
      <c r="H1717" s="3" t="str">
        <f>HYPERLINK("https://www.cortellis.com/drugdiscovery/entity/biomarkers/28458","23-microRNA prostate cancer panel")</f>
        <v>23-microRNA prostate cancer panel</v>
      </c>
      <c r="I1717" s="2" t="s">
        <v>23</v>
      </c>
      <c r="J1717" s="2" t="s">
        <v>19</v>
      </c>
      <c r="K1717" s="4" t="str">
        <f>HYPERLINK("https://www.cortellis.com/drugdiscovery/result/proxy/related-content/biomarkers/genestargets/28458","microRNA 1-1; microRNA 1-2; microRNA 133a-1; microRNA 133a-2")</f>
        <v>microRNA 1-1; microRNA 1-2; microRNA 133a-1; microRNA 133a-2</v>
      </c>
    </row>
    <row r="1718" spans="1:11" ht="60" customHeight="1" x14ac:dyDescent="0.2">
      <c r="A1718" s="2">
        <v>1715</v>
      </c>
      <c r="B1718" s="3" t="str">
        <f t="shared" si="284"/>
        <v>miR1a-1-5p</v>
      </c>
      <c r="C1718" s="3" t="str">
        <f t="shared" si="285"/>
        <v>MIR1-1</v>
      </c>
      <c r="D1718" s="3" t="str">
        <f t="shared" si="286"/>
        <v>hsa-miR-1-5p</v>
      </c>
      <c r="E1718" s="2" t="s">
        <v>72</v>
      </c>
      <c r="F1718" s="3" t="str">
        <f t="shared" si="287"/>
        <v>Mature microRNA-1-5p</v>
      </c>
      <c r="G1718" s="4"/>
      <c r="H1718" s="3" t="str">
        <f>HYPERLINK("https://www.cortellis.com/drugdiscovery/entity/biomarkers/51306","microRNA 1-3p")</f>
        <v>microRNA 1-3p</v>
      </c>
      <c r="I1718" s="2" t="s">
        <v>76</v>
      </c>
      <c r="J1718" s="2" t="s">
        <v>19</v>
      </c>
      <c r="K1718" s="4" t="str">
        <f>HYPERLINK("https://www.cortellis.com/drugdiscovery/result/proxy/related-content/biomarkers/genestargets/51306","microRNA 1-1; microRNA 1-2")</f>
        <v>microRNA 1-1; microRNA 1-2</v>
      </c>
    </row>
    <row r="1719" spans="1:11" ht="60" customHeight="1" x14ac:dyDescent="0.2">
      <c r="A1719" s="2">
        <v>1716</v>
      </c>
      <c r="B1719" s="3" t="str">
        <f t="shared" si="284"/>
        <v>miR1a-1-5p</v>
      </c>
      <c r="C1719" s="3" t="str">
        <f t="shared" si="285"/>
        <v>MIR1-1</v>
      </c>
      <c r="D1719" s="3" t="str">
        <f t="shared" si="286"/>
        <v>hsa-miR-1-5p</v>
      </c>
      <c r="E1719" s="2" t="s">
        <v>72</v>
      </c>
      <c r="F1719" s="3" t="str">
        <f t="shared" si="287"/>
        <v>Mature microRNA-1-5p</v>
      </c>
      <c r="G1719" s="4"/>
      <c r="H1719" s="3" t="str">
        <f>HYPERLINK("https://www.cortellis.com/drugdiscovery/entity/biomarkers/57005","microRNA 1-5p")</f>
        <v>microRNA 1-5p</v>
      </c>
      <c r="I1719" s="2" t="s">
        <v>34</v>
      </c>
      <c r="J1719" s="2" t="s">
        <v>19</v>
      </c>
      <c r="K1719" s="4" t="str">
        <f>HYPERLINK("https://www.cortellis.com/drugdiscovery/result/proxy/related-content/biomarkers/genestargets/57005","microRNA 1-1")</f>
        <v>microRNA 1-1</v>
      </c>
    </row>
    <row r="1720" spans="1:11" ht="60" customHeight="1" x14ac:dyDescent="0.2">
      <c r="A1720" s="2">
        <v>1717</v>
      </c>
      <c r="B1720" s="3" t="str">
        <f t="shared" si="284"/>
        <v>miR1a-1-5p</v>
      </c>
      <c r="C1720" s="3" t="str">
        <f t="shared" si="285"/>
        <v>MIR1-1</v>
      </c>
      <c r="D1720" s="3" t="str">
        <f t="shared" si="286"/>
        <v>hsa-miR-1-5p</v>
      </c>
      <c r="E1720" s="2" t="s">
        <v>72</v>
      </c>
      <c r="F1720" s="3" t="str">
        <f t="shared" si="287"/>
        <v>Mature microRNA-1-5p</v>
      </c>
      <c r="G1720" s="4"/>
      <c r="H1720" s="3" t="str">
        <f>HYPERLINK("https://www.cortellis.com/drugdiscovery/entity/biomarkers/65103","5-microRNA non-small-cell lung cancer panel")</f>
        <v>5-microRNA non-small-cell lung cancer panel</v>
      </c>
      <c r="I1720" s="2" t="s">
        <v>75</v>
      </c>
      <c r="J1720" s="2" t="s">
        <v>19</v>
      </c>
      <c r="K1720" s="4" t="str">
        <f>HYPERLINK("https://www.cortellis.com/drugdiscovery/result/proxy/related-content/biomarkers/genestargets/65103","microRNA 1-1; microRNA 1-2; microRNA 214")</f>
        <v>microRNA 1-1; microRNA 1-2; microRNA 214</v>
      </c>
    </row>
    <row r="1721" spans="1:11" ht="60" customHeight="1" x14ac:dyDescent="0.2">
      <c r="A1721" s="2">
        <v>1718</v>
      </c>
      <c r="B1721" s="3" t="str">
        <f t="shared" si="284"/>
        <v>miR1a-1-5p</v>
      </c>
      <c r="C1721" s="3" t="str">
        <f t="shared" si="285"/>
        <v>MIR1-1</v>
      </c>
      <c r="D1721" s="3" t="str">
        <f t="shared" si="286"/>
        <v>hsa-miR-1-5p</v>
      </c>
      <c r="E1721" s="2" t="s">
        <v>72</v>
      </c>
      <c r="F1721" s="3" t="str">
        <f t="shared" si="287"/>
        <v>Mature microRNA-1-5p</v>
      </c>
      <c r="G1721" s="4"/>
      <c r="H1721" s="3" t="str">
        <f>HYPERLINK("https://www.cortellis.com/drugdiscovery/entity/biomarkers/65163","4-microRNA gastric cancer panel")</f>
        <v>4-microRNA gastric cancer panel</v>
      </c>
      <c r="I1721" s="2" t="s">
        <v>23</v>
      </c>
      <c r="J1721" s="2" t="s">
        <v>19</v>
      </c>
      <c r="K1721" s="4" t="str">
        <f>HYPERLINK("https://www.cortellis.com/drugdiscovery/result/proxy/related-content/biomarkers/genestargets/65163","microRNA 1-1; microRNA 1-2")</f>
        <v>microRNA 1-1; microRNA 1-2</v>
      </c>
    </row>
    <row r="1722" spans="1:11" ht="60" customHeight="1" x14ac:dyDescent="0.2">
      <c r="A1722" s="2">
        <v>1719</v>
      </c>
      <c r="B1722" s="3" t="str">
        <f t="shared" si="284"/>
        <v>miR1a-1-5p</v>
      </c>
      <c r="C1722" s="3" t="str">
        <f t="shared" si="285"/>
        <v>MIR1-1</v>
      </c>
      <c r="D1722" s="3" t="str">
        <f t="shared" si="286"/>
        <v>hsa-miR-1-5p</v>
      </c>
      <c r="E1722" s="2" t="s">
        <v>72</v>
      </c>
      <c r="F1722" s="3" t="str">
        <f t="shared" si="287"/>
        <v>Mature microRNA-1-5p</v>
      </c>
      <c r="G1722" s="4"/>
      <c r="H1722" s="3" t="str">
        <f>HYPERLINK("https://www.cortellis.com/drugdiscovery/entity/biomarkers/65724","microRNA 1-1-3p")</f>
        <v>microRNA 1-1-3p</v>
      </c>
      <c r="I1722" s="2" t="s">
        <v>28</v>
      </c>
      <c r="J1722" s="2" t="s">
        <v>19</v>
      </c>
      <c r="K1722" s="4" t="str">
        <f>HYPERLINK("https://www.cortellis.com/drugdiscovery/result/proxy/related-content/biomarkers/genestargets/65724","microRNA 1-1")</f>
        <v>microRNA 1-1</v>
      </c>
    </row>
    <row r="1723" spans="1:11" ht="60" customHeight="1" x14ac:dyDescent="0.2">
      <c r="A1723" s="2">
        <v>1720</v>
      </c>
      <c r="B1723" s="3" t="str">
        <f t="shared" ref="B1723:B1732" si="288">HYPERLINK("https://portal.genego.com/cgi/entity_page.cgi?term=100&amp;id=-42077208","microRNA 1-1")</f>
        <v>microRNA 1-1</v>
      </c>
      <c r="C1723" s="3" t="str">
        <f t="shared" si="285"/>
        <v>MIR1-1</v>
      </c>
      <c r="D1723" s="3" t="str">
        <f t="shared" ref="D1723:D1732" si="289">HYPERLINK("https://portal.genego.com/cgi/entity_page.cgi?term=7&amp;id=-1430088510","hsa-mir-1-1")</f>
        <v>hsa-mir-1-1</v>
      </c>
      <c r="E1723" s="2" t="s">
        <v>72</v>
      </c>
      <c r="F1723" s="3" t="str">
        <f t="shared" ref="F1723:F1732" si="290">HYPERLINK("https://portal.genego.com/cgi/entity_page.cgi?term=100&amp;id=-42077208","microRNA 1-1")</f>
        <v>microRNA 1-1</v>
      </c>
      <c r="G1723" s="4"/>
      <c r="H1723" s="3" t="str">
        <f>HYPERLINK("https://www.cortellis.com/drugdiscovery/entity/biomarkers/7491","microRNA 1-1")</f>
        <v>microRNA 1-1</v>
      </c>
      <c r="I1723" s="2" t="s">
        <v>73</v>
      </c>
      <c r="J1723" s="2" t="s">
        <v>19</v>
      </c>
      <c r="K1723" s="4" t="str">
        <f>HYPERLINK("https://www.cortellis.com/drugdiscovery/result/proxy/related-content/biomarkers/genestargets/7491","microRNA 1-1")</f>
        <v>microRNA 1-1</v>
      </c>
    </row>
    <row r="1724" spans="1:11" ht="60" customHeight="1" x14ac:dyDescent="0.2">
      <c r="A1724" s="2">
        <v>1721</v>
      </c>
      <c r="B1724" s="3" t="str">
        <f t="shared" si="288"/>
        <v>microRNA 1-1</v>
      </c>
      <c r="C1724" s="3" t="str">
        <f t="shared" si="285"/>
        <v>MIR1-1</v>
      </c>
      <c r="D1724" s="3" t="str">
        <f t="shared" si="289"/>
        <v>hsa-mir-1-1</v>
      </c>
      <c r="E1724" s="2" t="s">
        <v>72</v>
      </c>
      <c r="F1724" s="3" t="str">
        <f t="shared" si="290"/>
        <v>microRNA 1-1</v>
      </c>
      <c r="G1724" s="4"/>
      <c r="H1724" s="3" t="str">
        <f>HYPERLINK("https://www.cortellis.com/drugdiscovery/entity/biomarkers/8906","microRNA 1")</f>
        <v>microRNA 1</v>
      </c>
      <c r="I1724" s="2" t="s">
        <v>74</v>
      </c>
      <c r="J1724" s="2" t="s">
        <v>19</v>
      </c>
      <c r="K1724" s="4" t="str">
        <f>HYPERLINK("https://www.cortellis.com/drugdiscovery/result/proxy/related-content/biomarkers/genestargets/8906","microRNA 1-1; microRNA 1-2")</f>
        <v>microRNA 1-1; microRNA 1-2</v>
      </c>
    </row>
    <row r="1725" spans="1:11" ht="60" customHeight="1" x14ac:dyDescent="0.2">
      <c r="A1725" s="2">
        <v>1722</v>
      </c>
      <c r="B1725" s="3" t="str">
        <f t="shared" si="288"/>
        <v>microRNA 1-1</v>
      </c>
      <c r="C1725" s="3" t="str">
        <f t="shared" si="285"/>
        <v>MIR1-1</v>
      </c>
      <c r="D1725" s="3" t="str">
        <f t="shared" si="289"/>
        <v>hsa-mir-1-1</v>
      </c>
      <c r="E1725" s="2" t="s">
        <v>72</v>
      </c>
      <c r="F1725" s="3" t="str">
        <f t="shared" si="290"/>
        <v>microRNA 1-1</v>
      </c>
      <c r="G1725" s="4"/>
      <c r="H1725" s="3" t="str">
        <f>HYPERLINK("https://www.cortellis.com/drugdiscovery/entity/biomarkers/24381","5-microRNA gastric cancer panel")</f>
        <v>5-microRNA gastric cancer panel</v>
      </c>
      <c r="I1725" s="2" t="s">
        <v>75</v>
      </c>
      <c r="J1725" s="2" t="s">
        <v>19</v>
      </c>
      <c r="K1725" s="4" t="str">
        <f>HYPERLINK("https://www.cortellis.com/drugdiscovery/result/proxy/related-content/biomarkers/genestargets/24381","microRNA 1-1; microRNA 1-2")</f>
        <v>microRNA 1-1; microRNA 1-2</v>
      </c>
    </row>
    <row r="1726" spans="1:11" ht="60" customHeight="1" x14ac:dyDescent="0.2">
      <c r="A1726" s="2">
        <v>1723</v>
      </c>
      <c r="B1726" s="3" t="str">
        <f t="shared" si="288"/>
        <v>microRNA 1-1</v>
      </c>
      <c r="C1726" s="3" t="str">
        <f t="shared" si="285"/>
        <v>MIR1-1</v>
      </c>
      <c r="D1726" s="3" t="str">
        <f t="shared" si="289"/>
        <v>hsa-mir-1-1</v>
      </c>
      <c r="E1726" s="2" t="s">
        <v>72</v>
      </c>
      <c r="F1726" s="3" t="str">
        <f t="shared" si="290"/>
        <v>microRNA 1-1</v>
      </c>
      <c r="G1726" s="4"/>
      <c r="H1726" s="3" t="str">
        <f>HYPERLINK("https://www.cortellis.com/drugdiscovery/entity/biomarkers/27376","4-microRNA lung cancer panel")</f>
        <v>4-microRNA lung cancer panel</v>
      </c>
      <c r="I1726" s="2" t="s">
        <v>25</v>
      </c>
      <c r="J1726" s="2" t="s">
        <v>19</v>
      </c>
      <c r="K1726" s="4" t="str">
        <f>HYPERLINK("https://www.cortellis.com/drugdiscovery/result/proxy/related-content/biomarkers/genestargets/27376","microRNA 1-1; microRNA 1-2")</f>
        <v>microRNA 1-1; microRNA 1-2</v>
      </c>
    </row>
    <row r="1727" spans="1:11" ht="60" customHeight="1" x14ac:dyDescent="0.2">
      <c r="A1727" s="2">
        <v>1724</v>
      </c>
      <c r="B1727" s="3" t="str">
        <f t="shared" si="288"/>
        <v>microRNA 1-1</v>
      </c>
      <c r="C1727" s="3" t="str">
        <f t="shared" si="285"/>
        <v>MIR1-1</v>
      </c>
      <c r="D1727" s="3" t="str">
        <f t="shared" si="289"/>
        <v>hsa-mir-1-1</v>
      </c>
      <c r="E1727" s="2" t="s">
        <v>72</v>
      </c>
      <c r="F1727" s="3" t="str">
        <f t="shared" si="290"/>
        <v>microRNA 1-1</v>
      </c>
      <c r="G1727" s="4"/>
      <c r="H1727" s="3" t="str">
        <f>HYPERLINK("https://www.cortellis.com/drugdiscovery/entity/biomarkers/28458","23-microRNA prostate cancer panel")</f>
        <v>23-microRNA prostate cancer panel</v>
      </c>
      <c r="I1727" s="2" t="s">
        <v>23</v>
      </c>
      <c r="J1727" s="2" t="s">
        <v>19</v>
      </c>
      <c r="K1727" s="4" t="str">
        <f>HYPERLINK("https://www.cortellis.com/drugdiscovery/result/proxy/related-content/biomarkers/genestargets/28458","microRNA 1-1; microRNA 1-2; microRNA 133a-1; microRNA 133a-2")</f>
        <v>microRNA 1-1; microRNA 1-2; microRNA 133a-1; microRNA 133a-2</v>
      </c>
    </row>
    <row r="1728" spans="1:11" ht="60" customHeight="1" x14ac:dyDescent="0.2">
      <c r="A1728" s="2">
        <v>1725</v>
      </c>
      <c r="B1728" s="3" t="str">
        <f t="shared" si="288"/>
        <v>microRNA 1-1</v>
      </c>
      <c r="C1728" s="3" t="str">
        <f t="shared" si="285"/>
        <v>MIR1-1</v>
      </c>
      <c r="D1728" s="3" t="str">
        <f t="shared" si="289"/>
        <v>hsa-mir-1-1</v>
      </c>
      <c r="E1728" s="2" t="s">
        <v>72</v>
      </c>
      <c r="F1728" s="3" t="str">
        <f t="shared" si="290"/>
        <v>microRNA 1-1</v>
      </c>
      <c r="G1728" s="4"/>
      <c r="H1728" s="3" t="str">
        <f>HYPERLINK("https://www.cortellis.com/drugdiscovery/entity/biomarkers/51306","microRNA 1-3p")</f>
        <v>microRNA 1-3p</v>
      </c>
      <c r="I1728" s="2" t="s">
        <v>76</v>
      </c>
      <c r="J1728" s="2" t="s">
        <v>19</v>
      </c>
      <c r="K1728" s="4" t="str">
        <f>HYPERLINK("https://www.cortellis.com/drugdiscovery/result/proxy/related-content/biomarkers/genestargets/51306","microRNA 1-1; microRNA 1-2")</f>
        <v>microRNA 1-1; microRNA 1-2</v>
      </c>
    </row>
    <row r="1729" spans="1:11" ht="60" customHeight="1" x14ac:dyDescent="0.2">
      <c r="A1729" s="2">
        <v>1726</v>
      </c>
      <c r="B1729" s="3" t="str">
        <f t="shared" si="288"/>
        <v>microRNA 1-1</v>
      </c>
      <c r="C1729" s="3" t="str">
        <f t="shared" si="285"/>
        <v>MIR1-1</v>
      </c>
      <c r="D1729" s="3" t="str">
        <f t="shared" si="289"/>
        <v>hsa-mir-1-1</v>
      </c>
      <c r="E1729" s="2" t="s">
        <v>72</v>
      </c>
      <c r="F1729" s="3" t="str">
        <f t="shared" si="290"/>
        <v>microRNA 1-1</v>
      </c>
      <c r="G1729" s="4"/>
      <c r="H1729" s="3" t="str">
        <f>HYPERLINK("https://www.cortellis.com/drugdiscovery/entity/biomarkers/57005","microRNA 1-5p")</f>
        <v>microRNA 1-5p</v>
      </c>
      <c r="I1729" s="2" t="s">
        <v>34</v>
      </c>
      <c r="J1729" s="2" t="s">
        <v>19</v>
      </c>
      <c r="K1729" s="4" t="str">
        <f>HYPERLINK("https://www.cortellis.com/drugdiscovery/result/proxy/related-content/biomarkers/genestargets/57005","microRNA 1-1")</f>
        <v>microRNA 1-1</v>
      </c>
    </row>
    <row r="1730" spans="1:11" ht="60" customHeight="1" x14ac:dyDescent="0.2">
      <c r="A1730" s="2">
        <v>1727</v>
      </c>
      <c r="B1730" s="3" t="str">
        <f t="shared" si="288"/>
        <v>microRNA 1-1</v>
      </c>
      <c r="C1730" s="3" t="str">
        <f t="shared" si="285"/>
        <v>MIR1-1</v>
      </c>
      <c r="D1730" s="3" t="str">
        <f t="shared" si="289"/>
        <v>hsa-mir-1-1</v>
      </c>
      <c r="E1730" s="2" t="s">
        <v>72</v>
      </c>
      <c r="F1730" s="3" t="str">
        <f t="shared" si="290"/>
        <v>microRNA 1-1</v>
      </c>
      <c r="G1730" s="4"/>
      <c r="H1730" s="3" t="str">
        <f>HYPERLINK("https://www.cortellis.com/drugdiscovery/entity/biomarkers/65103","5-microRNA non-small-cell lung cancer panel")</f>
        <v>5-microRNA non-small-cell lung cancer panel</v>
      </c>
      <c r="I1730" s="2" t="s">
        <v>75</v>
      </c>
      <c r="J1730" s="2" t="s">
        <v>19</v>
      </c>
      <c r="K1730" s="4" t="str">
        <f>HYPERLINK("https://www.cortellis.com/drugdiscovery/result/proxy/related-content/biomarkers/genestargets/65103","microRNA 1-1; microRNA 1-2; microRNA 214")</f>
        <v>microRNA 1-1; microRNA 1-2; microRNA 214</v>
      </c>
    </row>
    <row r="1731" spans="1:11" ht="60" customHeight="1" x14ac:dyDescent="0.2">
      <c r="A1731" s="2">
        <v>1728</v>
      </c>
      <c r="B1731" s="3" t="str">
        <f t="shared" si="288"/>
        <v>microRNA 1-1</v>
      </c>
      <c r="C1731" s="3" t="str">
        <f t="shared" si="285"/>
        <v>MIR1-1</v>
      </c>
      <c r="D1731" s="3" t="str">
        <f t="shared" si="289"/>
        <v>hsa-mir-1-1</v>
      </c>
      <c r="E1731" s="2" t="s">
        <v>72</v>
      </c>
      <c r="F1731" s="3" t="str">
        <f t="shared" si="290"/>
        <v>microRNA 1-1</v>
      </c>
      <c r="G1731" s="4"/>
      <c r="H1731" s="3" t="str">
        <f>HYPERLINK("https://www.cortellis.com/drugdiscovery/entity/biomarkers/65163","4-microRNA gastric cancer panel")</f>
        <v>4-microRNA gastric cancer panel</v>
      </c>
      <c r="I1731" s="2" t="s">
        <v>23</v>
      </c>
      <c r="J1731" s="2" t="s">
        <v>19</v>
      </c>
      <c r="K1731" s="4" t="str">
        <f>HYPERLINK("https://www.cortellis.com/drugdiscovery/result/proxy/related-content/biomarkers/genestargets/65163","microRNA 1-1; microRNA 1-2")</f>
        <v>microRNA 1-1; microRNA 1-2</v>
      </c>
    </row>
    <row r="1732" spans="1:11" ht="60" customHeight="1" x14ac:dyDescent="0.2">
      <c r="A1732" s="2">
        <v>1729</v>
      </c>
      <c r="B1732" s="3" t="str">
        <f t="shared" si="288"/>
        <v>microRNA 1-1</v>
      </c>
      <c r="C1732" s="3" t="str">
        <f t="shared" si="285"/>
        <v>MIR1-1</v>
      </c>
      <c r="D1732" s="3" t="str">
        <f t="shared" si="289"/>
        <v>hsa-mir-1-1</v>
      </c>
      <c r="E1732" s="2" t="s">
        <v>72</v>
      </c>
      <c r="F1732" s="3" t="str">
        <f t="shared" si="290"/>
        <v>microRNA 1-1</v>
      </c>
      <c r="G1732" s="4"/>
      <c r="H1732" s="3" t="str">
        <f>HYPERLINK("https://www.cortellis.com/drugdiscovery/entity/biomarkers/65724","microRNA 1-1-3p")</f>
        <v>microRNA 1-1-3p</v>
      </c>
      <c r="I1732" s="2" t="s">
        <v>28</v>
      </c>
      <c r="J1732" s="2" t="s">
        <v>19</v>
      </c>
      <c r="K1732" s="4" t="str">
        <f>HYPERLINK("https://www.cortellis.com/drugdiscovery/result/proxy/related-content/biomarkers/genestargets/65724","microRNA 1-1")</f>
        <v>microRNA 1-1</v>
      </c>
    </row>
    <row r="1733" spans="1:11" ht="60" customHeight="1" x14ac:dyDescent="0.2">
      <c r="A1733" s="2">
        <v>1730</v>
      </c>
      <c r="B1733" s="3" t="str">
        <f t="shared" ref="B1733:B1741" si="291">HYPERLINK("https://portal.genego.com/cgi/entity_page.cgi?term=100&amp;id=-1624944262","microRNA 1-2")</f>
        <v>microRNA 1-2</v>
      </c>
      <c r="C1733" s="3" t="str">
        <f t="shared" ref="C1733:C1741" si="292">HYPERLINK("https://portal.genego.com/cgi/entity_page.cgi?term=20&amp;id=-948256790","MIR1-2")</f>
        <v>MIR1-2</v>
      </c>
      <c r="D1733" s="3" t="str">
        <f t="shared" ref="D1733:D1741" si="293">HYPERLINK("https://portal.genego.com/cgi/entity_page.cgi?term=7&amp;id=-936552407","hsa-mir-1-2")</f>
        <v>hsa-mir-1-2</v>
      </c>
      <c r="E1733" s="2" t="s">
        <v>72</v>
      </c>
      <c r="F1733" s="3" t="str">
        <f t="shared" ref="F1733:F1741" si="294">HYPERLINK("https://portal.genego.com/cgi/entity_page.cgi?term=100&amp;id=-1624944262","microRNA 1-2")</f>
        <v>microRNA 1-2</v>
      </c>
      <c r="G1733" s="4"/>
      <c r="H1733" s="3" t="str">
        <f>HYPERLINK("https://www.cortellis.com/drugdiscovery/entity/biomarkers/7489","microRNA 1-2")</f>
        <v>microRNA 1-2</v>
      </c>
      <c r="I1733" s="2" t="s">
        <v>77</v>
      </c>
      <c r="J1733" s="2" t="s">
        <v>19</v>
      </c>
      <c r="K1733" s="4" t="str">
        <f>HYPERLINK("https://www.cortellis.com/drugdiscovery/result/proxy/related-content/biomarkers/genestargets/7489","microRNA 1-2")</f>
        <v>microRNA 1-2</v>
      </c>
    </row>
    <row r="1734" spans="1:11" ht="60" customHeight="1" x14ac:dyDescent="0.2">
      <c r="A1734" s="2">
        <v>1731</v>
      </c>
      <c r="B1734" s="3" t="str">
        <f t="shared" si="291"/>
        <v>microRNA 1-2</v>
      </c>
      <c r="C1734" s="3" t="str">
        <f t="shared" si="292"/>
        <v>MIR1-2</v>
      </c>
      <c r="D1734" s="3" t="str">
        <f t="shared" si="293"/>
        <v>hsa-mir-1-2</v>
      </c>
      <c r="E1734" s="2" t="s">
        <v>72</v>
      </c>
      <c r="F1734" s="3" t="str">
        <f t="shared" si="294"/>
        <v>microRNA 1-2</v>
      </c>
      <c r="G1734" s="4"/>
      <c r="H1734" s="3" t="str">
        <f>HYPERLINK("https://www.cortellis.com/drugdiscovery/entity/biomarkers/8906","microRNA 1")</f>
        <v>microRNA 1</v>
      </c>
      <c r="I1734" s="2" t="s">
        <v>74</v>
      </c>
      <c r="J1734" s="2" t="s">
        <v>19</v>
      </c>
      <c r="K1734" s="4" t="str">
        <f>HYPERLINK("https://www.cortellis.com/drugdiscovery/result/proxy/related-content/biomarkers/genestargets/8906","microRNA 1-1; microRNA 1-2")</f>
        <v>microRNA 1-1; microRNA 1-2</v>
      </c>
    </row>
    <row r="1735" spans="1:11" ht="60" customHeight="1" x14ac:dyDescent="0.2">
      <c r="A1735" s="2">
        <v>1732</v>
      </c>
      <c r="B1735" s="3" t="str">
        <f t="shared" si="291"/>
        <v>microRNA 1-2</v>
      </c>
      <c r="C1735" s="3" t="str">
        <f t="shared" si="292"/>
        <v>MIR1-2</v>
      </c>
      <c r="D1735" s="3" t="str">
        <f t="shared" si="293"/>
        <v>hsa-mir-1-2</v>
      </c>
      <c r="E1735" s="2" t="s">
        <v>72</v>
      </c>
      <c r="F1735" s="3" t="str">
        <f t="shared" si="294"/>
        <v>microRNA 1-2</v>
      </c>
      <c r="G1735" s="4"/>
      <c r="H1735" s="3" t="str">
        <f>HYPERLINK("https://www.cortellis.com/drugdiscovery/entity/biomarkers/24381","5-microRNA gastric cancer panel")</f>
        <v>5-microRNA gastric cancer panel</v>
      </c>
      <c r="I1735" s="2" t="s">
        <v>75</v>
      </c>
      <c r="J1735" s="2" t="s">
        <v>19</v>
      </c>
      <c r="K1735" s="4" t="str">
        <f>HYPERLINK("https://www.cortellis.com/drugdiscovery/result/proxy/related-content/biomarkers/genestargets/24381","microRNA 1-1; microRNA 1-2")</f>
        <v>microRNA 1-1; microRNA 1-2</v>
      </c>
    </row>
    <row r="1736" spans="1:11" ht="60" customHeight="1" x14ac:dyDescent="0.2">
      <c r="A1736" s="2">
        <v>1733</v>
      </c>
      <c r="B1736" s="3" t="str">
        <f t="shared" si="291"/>
        <v>microRNA 1-2</v>
      </c>
      <c r="C1736" s="3" t="str">
        <f t="shared" si="292"/>
        <v>MIR1-2</v>
      </c>
      <c r="D1736" s="3" t="str">
        <f t="shared" si="293"/>
        <v>hsa-mir-1-2</v>
      </c>
      <c r="E1736" s="2" t="s">
        <v>72</v>
      </c>
      <c r="F1736" s="3" t="str">
        <f t="shared" si="294"/>
        <v>microRNA 1-2</v>
      </c>
      <c r="G1736" s="4"/>
      <c r="H1736" s="3" t="str">
        <f>HYPERLINK("https://www.cortellis.com/drugdiscovery/entity/biomarkers/27376","4-microRNA lung cancer panel")</f>
        <v>4-microRNA lung cancer panel</v>
      </c>
      <c r="I1736" s="2" t="s">
        <v>25</v>
      </c>
      <c r="J1736" s="2" t="s">
        <v>19</v>
      </c>
      <c r="K1736" s="4" t="str">
        <f>HYPERLINK("https://www.cortellis.com/drugdiscovery/result/proxy/related-content/biomarkers/genestargets/27376","microRNA 1-1; microRNA 1-2")</f>
        <v>microRNA 1-1; microRNA 1-2</v>
      </c>
    </row>
    <row r="1737" spans="1:11" ht="60" customHeight="1" x14ac:dyDescent="0.2">
      <c r="A1737" s="2">
        <v>1734</v>
      </c>
      <c r="B1737" s="3" t="str">
        <f t="shared" si="291"/>
        <v>microRNA 1-2</v>
      </c>
      <c r="C1737" s="3" t="str">
        <f t="shared" si="292"/>
        <v>MIR1-2</v>
      </c>
      <c r="D1737" s="3" t="str">
        <f t="shared" si="293"/>
        <v>hsa-mir-1-2</v>
      </c>
      <c r="E1737" s="2" t="s">
        <v>72</v>
      </c>
      <c r="F1737" s="3" t="str">
        <f t="shared" si="294"/>
        <v>microRNA 1-2</v>
      </c>
      <c r="G1737" s="4"/>
      <c r="H1737" s="3" t="str">
        <f>HYPERLINK("https://www.cortellis.com/drugdiscovery/entity/biomarkers/28162","20-microRNA liver cancer panel")</f>
        <v>20-microRNA liver cancer panel</v>
      </c>
      <c r="I1737" s="2" t="s">
        <v>25</v>
      </c>
      <c r="J1737" s="2" t="s">
        <v>19</v>
      </c>
      <c r="K1737" s="4" t="str">
        <f>HYPERLINK("https://www.cortellis.com/drugdiscovery/result/proxy/related-content/biomarkers/genestargets/28162","microRNA 1-2")</f>
        <v>microRNA 1-2</v>
      </c>
    </row>
    <row r="1738" spans="1:11" ht="60" customHeight="1" x14ac:dyDescent="0.2">
      <c r="A1738" s="2">
        <v>1735</v>
      </c>
      <c r="B1738" s="3" t="str">
        <f t="shared" si="291"/>
        <v>microRNA 1-2</v>
      </c>
      <c r="C1738" s="3" t="str">
        <f t="shared" si="292"/>
        <v>MIR1-2</v>
      </c>
      <c r="D1738" s="3" t="str">
        <f t="shared" si="293"/>
        <v>hsa-mir-1-2</v>
      </c>
      <c r="E1738" s="2" t="s">
        <v>72</v>
      </c>
      <c r="F1738" s="3" t="str">
        <f t="shared" si="294"/>
        <v>microRNA 1-2</v>
      </c>
      <c r="G1738" s="4"/>
      <c r="H1738" s="3" t="str">
        <f>HYPERLINK("https://www.cortellis.com/drugdiscovery/entity/biomarkers/28458","23-microRNA prostate cancer panel")</f>
        <v>23-microRNA prostate cancer panel</v>
      </c>
      <c r="I1738" s="2" t="s">
        <v>23</v>
      </c>
      <c r="J1738" s="2" t="s">
        <v>19</v>
      </c>
      <c r="K1738" s="4" t="str">
        <f>HYPERLINK("https://www.cortellis.com/drugdiscovery/result/proxy/related-content/biomarkers/genestargets/28458","microRNA 1-1; microRNA 1-2; microRNA 133a-1; microRNA 133a-2")</f>
        <v>microRNA 1-1; microRNA 1-2; microRNA 133a-1; microRNA 133a-2</v>
      </c>
    </row>
    <row r="1739" spans="1:11" ht="60" customHeight="1" x14ac:dyDescent="0.2">
      <c r="A1739" s="2">
        <v>1736</v>
      </c>
      <c r="B1739" s="3" t="str">
        <f t="shared" si="291"/>
        <v>microRNA 1-2</v>
      </c>
      <c r="C1739" s="3" t="str">
        <f t="shared" si="292"/>
        <v>MIR1-2</v>
      </c>
      <c r="D1739" s="3" t="str">
        <f t="shared" si="293"/>
        <v>hsa-mir-1-2</v>
      </c>
      <c r="E1739" s="2" t="s">
        <v>72</v>
      </c>
      <c r="F1739" s="3" t="str">
        <f t="shared" si="294"/>
        <v>microRNA 1-2</v>
      </c>
      <c r="G1739" s="4"/>
      <c r="H1739" s="3" t="str">
        <f>HYPERLINK("https://www.cortellis.com/drugdiscovery/entity/biomarkers/51306","microRNA 1-3p")</f>
        <v>microRNA 1-3p</v>
      </c>
      <c r="I1739" s="2" t="s">
        <v>76</v>
      </c>
      <c r="J1739" s="2" t="s">
        <v>19</v>
      </c>
      <c r="K1739" s="4" t="str">
        <f>HYPERLINK("https://www.cortellis.com/drugdiscovery/result/proxy/related-content/biomarkers/genestargets/51306","microRNA 1-1; microRNA 1-2")</f>
        <v>microRNA 1-1; microRNA 1-2</v>
      </c>
    </row>
    <row r="1740" spans="1:11" ht="60" customHeight="1" x14ac:dyDescent="0.2">
      <c r="A1740" s="2">
        <v>1737</v>
      </c>
      <c r="B1740" s="3" t="str">
        <f t="shared" si="291"/>
        <v>microRNA 1-2</v>
      </c>
      <c r="C1740" s="3" t="str">
        <f t="shared" si="292"/>
        <v>MIR1-2</v>
      </c>
      <c r="D1740" s="3" t="str">
        <f t="shared" si="293"/>
        <v>hsa-mir-1-2</v>
      </c>
      <c r="E1740" s="2" t="s">
        <v>72</v>
      </c>
      <c r="F1740" s="3" t="str">
        <f t="shared" si="294"/>
        <v>microRNA 1-2</v>
      </c>
      <c r="G1740" s="4"/>
      <c r="H1740" s="3" t="str">
        <f>HYPERLINK("https://www.cortellis.com/drugdiscovery/entity/biomarkers/65103","5-microRNA non-small-cell lung cancer panel")</f>
        <v>5-microRNA non-small-cell lung cancer panel</v>
      </c>
      <c r="I1740" s="2" t="s">
        <v>75</v>
      </c>
      <c r="J1740" s="2" t="s">
        <v>19</v>
      </c>
      <c r="K1740" s="4" t="str">
        <f>HYPERLINK("https://www.cortellis.com/drugdiscovery/result/proxy/related-content/biomarkers/genestargets/65103","microRNA 1-1; microRNA 1-2; microRNA 214")</f>
        <v>microRNA 1-1; microRNA 1-2; microRNA 214</v>
      </c>
    </row>
    <row r="1741" spans="1:11" ht="60" customHeight="1" x14ac:dyDescent="0.2">
      <c r="A1741" s="2">
        <v>1738</v>
      </c>
      <c r="B1741" s="3" t="str">
        <f t="shared" si="291"/>
        <v>microRNA 1-2</v>
      </c>
      <c r="C1741" s="3" t="str">
        <f t="shared" si="292"/>
        <v>MIR1-2</v>
      </c>
      <c r="D1741" s="3" t="str">
        <f t="shared" si="293"/>
        <v>hsa-mir-1-2</v>
      </c>
      <c r="E1741" s="2" t="s">
        <v>72</v>
      </c>
      <c r="F1741" s="3" t="str">
        <f t="shared" si="294"/>
        <v>microRNA 1-2</v>
      </c>
      <c r="G1741" s="4"/>
      <c r="H1741" s="3" t="str">
        <f>HYPERLINK("https://www.cortellis.com/drugdiscovery/entity/biomarkers/65163","4-microRNA gastric cancer panel")</f>
        <v>4-microRNA gastric cancer panel</v>
      </c>
      <c r="I1741" s="2" t="s">
        <v>23</v>
      </c>
      <c r="J1741" s="2" t="s">
        <v>19</v>
      </c>
      <c r="K1741" s="4" t="str">
        <f>HYPERLINK("https://www.cortellis.com/drugdiscovery/result/proxy/related-content/biomarkers/genestargets/65163","microRNA 1-1; microRNA 1-2")</f>
        <v>microRNA 1-1; microRNA 1-2</v>
      </c>
    </row>
    <row r="1742" spans="1:11" ht="60" customHeight="1" x14ac:dyDescent="0.2">
      <c r="A1742" s="2">
        <v>1739</v>
      </c>
      <c r="B1742" s="3" t="str">
        <f t="shared" ref="B1742:B1754" si="295">HYPERLINK("https://portal.genego.com/cgi/entity_page.cgi?term=100&amp;id=-2063510179","microRNA 133a-1")</f>
        <v>microRNA 133a-1</v>
      </c>
      <c r="C1742" s="3" t="str">
        <f t="shared" ref="C1742:C1754" si="296">HYPERLINK("https://portal.genego.com/cgi/entity_page.cgi?term=20&amp;id=-625281362","MIR133A1")</f>
        <v>MIR133A1</v>
      </c>
      <c r="D1742" s="3" t="str">
        <f t="shared" ref="D1742:D1754" si="297">HYPERLINK("https://portal.genego.com/cgi/entity_page.cgi?term=7&amp;id=-225439572","hsa-mir-133a-1")</f>
        <v>hsa-mir-133a-1</v>
      </c>
      <c r="E1742" s="2" t="s">
        <v>72</v>
      </c>
      <c r="F1742" s="3" t="str">
        <f t="shared" ref="F1742:F1754" si="298">HYPERLINK("https://portal.genego.com/cgi/entity_page.cgi?term=100&amp;id=-2063510179","microRNA 133a-1")</f>
        <v>microRNA 133a-1</v>
      </c>
      <c r="G1742" s="4"/>
      <c r="H1742" s="3" t="str">
        <f>HYPERLINK("https://www.cortellis.com/drugdiscovery/entity/biomarkers/7206","microRNA 133a-1")</f>
        <v>microRNA 133a-1</v>
      </c>
      <c r="I1742" s="2" t="s">
        <v>78</v>
      </c>
      <c r="J1742" s="2" t="s">
        <v>19</v>
      </c>
      <c r="K1742" s="4" t="str">
        <f>HYPERLINK("https://www.cortellis.com/drugdiscovery/result/proxy/related-content/biomarkers/genestargets/7206","microRNA 133a-1")</f>
        <v>microRNA 133a-1</v>
      </c>
    </row>
    <row r="1743" spans="1:11" ht="60" customHeight="1" x14ac:dyDescent="0.2">
      <c r="A1743" s="2">
        <v>1740</v>
      </c>
      <c r="B1743" s="3" t="str">
        <f t="shared" si="295"/>
        <v>microRNA 133a-1</v>
      </c>
      <c r="C1743" s="3" t="str">
        <f t="shared" si="296"/>
        <v>MIR133A1</v>
      </c>
      <c r="D1743" s="3" t="str">
        <f t="shared" si="297"/>
        <v>hsa-mir-133a-1</v>
      </c>
      <c r="E1743" s="2" t="s">
        <v>72</v>
      </c>
      <c r="F1743" s="3" t="str">
        <f t="shared" si="298"/>
        <v>microRNA 133a-1</v>
      </c>
      <c r="G1743" s="4"/>
      <c r="H1743" s="3" t="str">
        <f>HYPERLINK("https://www.cortellis.com/drugdiscovery/entity/biomarkers/12348","microRNA 133")</f>
        <v>microRNA 133</v>
      </c>
      <c r="I1743" s="2" t="s">
        <v>79</v>
      </c>
      <c r="J1743" s="2" t="s">
        <v>19</v>
      </c>
      <c r="K1743" s="4" t="str">
        <f>HYPERLINK("https://www.cortellis.com/drugdiscovery/result/proxy/related-content/biomarkers/genestargets/12348","microRNA 133a-1; microRNA 133a-2; microRNA 133b")</f>
        <v>microRNA 133a-1; microRNA 133a-2; microRNA 133b</v>
      </c>
    </row>
    <row r="1744" spans="1:11" ht="60" customHeight="1" x14ac:dyDescent="0.2">
      <c r="A1744" s="2">
        <v>1741</v>
      </c>
      <c r="B1744" s="3" t="str">
        <f t="shared" si="295"/>
        <v>microRNA 133a-1</v>
      </c>
      <c r="C1744" s="3" t="str">
        <f t="shared" si="296"/>
        <v>MIR133A1</v>
      </c>
      <c r="D1744" s="3" t="str">
        <f t="shared" si="297"/>
        <v>hsa-mir-133a-1</v>
      </c>
      <c r="E1744" s="2" t="s">
        <v>72</v>
      </c>
      <c r="F1744" s="3" t="str">
        <f t="shared" si="298"/>
        <v>microRNA 133a-1</v>
      </c>
      <c r="G1744" s="4"/>
      <c r="H1744" s="3" t="str">
        <f>HYPERLINK("https://www.cortellis.com/drugdiscovery/entity/biomarkers/13699","microRNA 133a")</f>
        <v>microRNA 133a</v>
      </c>
      <c r="I1744" s="2" t="s">
        <v>74</v>
      </c>
      <c r="J1744" s="2" t="s">
        <v>19</v>
      </c>
      <c r="K1744" s="4" t="str">
        <f>HYPERLINK("https://www.cortellis.com/drugdiscovery/result/proxy/related-content/biomarkers/genestargets/13699","microRNA 133a-1; microRNA 133a-2")</f>
        <v>microRNA 133a-1; microRNA 133a-2</v>
      </c>
    </row>
    <row r="1745" spans="1:11" ht="60" customHeight="1" x14ac:dyDescent="0.2">
      <c r="A1745" s="2">
        <v>1742</v>
      </c>
      <c r="B1745" s="3" t="str">
        <f t="shared" si="295"/>
        <v>microRNA 133a-1</v>
      </c>
      <c r="C1745" s="3" t="str">
        <f t="shared" si="296"/>
        <v>MIR133A1</v>
      </c>
      <c r="D1745" s="3" t="str">
        <f t="shared" si="297"/>
        <v>hsa-mir-133a-1</v>
      </c>
      <c r="E1745" s="2" t="s">
        <v>72</v>
      </c>
      <c r="F1745" s="3" t="str">
        <f t="shared" si="298"/>
        <v>microRNA 133a-1</v>
      </c>
      <c r="G1745" s="4"/>
      <c r="H1745" s="3" t="str">
        <f>HYPERLINK("https://www.cortellis.com/drugdiscovery/entity/biomarkers/24383","7-microRNA esophageal cancer panel")</f>
        <v>7-microRNA esophageal cancer panel</v>
      </c>
      <c r="I1745" s="2" t="s">
        <v>23</v>
      </c>
      <c r="J1745" s="2" t="s">
        <v>19</v>
      </c>
      <c r="K1745" s="4" t="str">
        <f>HYPERLINK("https://www.cortellis.com/drugdiscovery/result/proxy/related-content/biomarkers/genestargets/24383","microRNA 133a-1; microRNA 133a-2; microRNA 223")</f>
        <v>microRNA 133a-1; microRNA 133a-2; microRNA 223</v>
      </c>
    </row>
    <row r="1746" spans="1:11" ht="60" customHeight="1" x14ac:dyDescent="0.2">
      <c r="A1746" s="2">
        <v>1743</v>
      </c>
      <c r="B1746" s="3" t="str">
        <f t="shared" si="295"/>
        <v>microRNA 133a-1</v>
      </c>
      <c r="C1746" s="3" t="str">
        <f t="shared" si="296"/>
        <v>MIR133A1</v>
      </c>
      <c r="D1746" s="3" t="str">
        <f t="shared" si="297"/>
        <v>hsa-mir-133a-1</v>
      </c>
      <c r="E1746" s="2" t="s">
        <v>72</v>
      </c>
      <c r="F1746" s="3" t="str">
        <f t="shared" si="298"/>
        <v>microRNA 133a-1</v>
      </c>
      <c r="G1746" s="4"/>
      <c r="H1746" s="3" t="str">
        <f>HYPERLINK("https://www.cortellis.com/drugdiscovery/entity/biomarkers/28458","23-microRNA prostate cancer panel")</f>
        <v>23-microRNA prostate cancer panel</v>
      </c>
      <c r="I1746" s="2" t="s">
        <v>23</v>
      </c>
      <c r="J1746" s="2" t="s">
        <v>19</v>
      </c>
      <c r="K1746" s="4" t="str">
        <f>HYPERLINK("https://www.cortellis.com/drugdiscovery/result/proxy/related-content/biomarkers/genestargets/28458","microRNA 1-1; microRNA 1-2; microRNA 133a-1; microRNA 133a-2")</f>
        <v>microRNA 1-1; microRNA 1-2; microRNA 133a-1; microRNA 133a-2</v>
      </c>
    </row>
    <row r="1747" spans="1:11" ht="60" customHeight="1" x14ac:dyDescent="0.2">
      <c r="A1747" s="2">
        <v>1744</v>
      </c>
      <c r="B1747" s="3" t="str">
        <f t="shared" si="295"/>
        <v>microRNA 133a-1</v>
      </c>
      <c r="C1747" s="3" t="str">
        <f t="shared" si="296"/>
        <v>MIR133A1</v>
      </c>
      <c r="D1747" s="3" t="str">
        <f t="shared" si="297"/>
        <v>hsa-mir-133a-1</v>
      </c>
      <c r="E1747" s="2" t="s">
        <v>72</v>
      </c>
      <c r="F1747" s="3" t="str">
        <f t="shared" si="298"/>
        <v>microRNA 133a-1</v>
      </c>
      <c r="G1747" s="4"/>
      <c r="H1747" s="3" t="str">
        <f>HYPERLINK("https://www.cortellis.com/drugdiscovery/entity/biomarkers/34436","5-microRNA atherosclerosis panel")</f>
        <v>5-microRNA atherosclerosis panel</v>
      </c>
      <c r="I1747" s="2" t="s">
        <v>25</v>
      </c>
      <c r="J1747" s="2" t="s">
        <v>19</v>
      </c>
      <c r="K1747" s="4" t="str">
        <f>HYPERLINK("https://www.cortellis.com/drugdiscovery/result/proxy/related-content/biomarkers/genestargets/34436","microRNA 133a-1; microRNA 133a-2; microRNA 133b")</f>
        <v>microRNA 133a-1; microRNA 133a-2; microRNA 133b</v>
      </c>
    </row>
    <row r="1748" spans="1:11" ht="60" customHeight="1" x14ac:dyDescent="0.2">
      <c r="A1748" s="2">
        <v>1745</v>
      </c>
      <c r="B1748" s="3" t="str">
        <f t="shared" si="295"/>
        <v>microRNA 133a-1</v>
      </c>
      <c r="C1748" s="3" t="str">
        <f t="shared" si="296"/>
        <v>MIR133A1</v>
      </c>
      <c r="D1748" s="3" t="str">
        <f t="shared" si="297"/>
        <v>hsa-mir-133a-1</v>
      </c>
      <c r="E1748" s="2" t="s">
        <v>72</v>
      </c>
      <c r="F1748" s="3" t="str">
        <f t="shared" si="298"/>
        <v>microRNA 133a-1</v>
      </c>
      <c r="G1748" s="4"/>
      <c r="H1748" s="3" t="str">
        <f>HYPERLINK("https://www.cortellis.com/drugdiscovery/entity/biomarkers/45049","microRNA 133a-3p")</f>
        <v>microRNA 133a-3p</v>
      </c>
      <c r="I1748" s="2" t="s">
        <v>80</v>
      </c>
      <c r="J1748" s="2" t="s">
        <v>19</v>
      </c>
      <c r="K1748" s="4" t="str">
        <f>HYPERLINK("https://www.cortellis.com/drugdiscovery/result/proxy/related-content/biomarkers/genestargets/45049","microRNA 133a-1; microRNA 133a-2")</f>
        <v>microRNA 133a-1; microRNA 133a-2</v>
      </c>
    </row>
    <row r="1749" spans="1:11" ht="60" customHeight="1" x14ac:dyDescent="0.2">
      <c r="A1749" s="2">
        <v>1746</v>
      </c>
      <c r="B1749" s="3" t="str">
        <f t="shared" si="295"/>
        <v>microRNA 133a-1</v>
      </c>
      <c r="C1749" s="3" t="str">
        <f t="shared" si="296"/>
        <v>MIR133A1</v>
      </c>
      <c r="D1749" s="3" t="str">
        <f t="shared" si="297"/>
        <v>hsa-mir-133a-1</v>
      </c>
      <c r="E1749" s="2" t="s">
        <v>72</v>
      </c>
      <c r="F1749" s="3" t="str">
        <f t="shared" si="298"/>
        <v>microRNA 133a-1</v>
      </c>
      <c r="G1749" s="4"/>
      <c r="H1749" s="3" t="str">
        <f>HYPERLINK("https://www.cortellis.com/drugdiscovery/entity/biomarkers/45451","9-microRNA myotonic disorders panel ")</f>
        <v xml:space="preserve">9-microRNA myotonic disorders panel </v>
      </c>
      <c r="I1749" s="2" t="s">
        <v>23</v>
      </c>
      <c r="J1749" s="2" t="s">
        <v>19</v>
      </c>
      <c r="K1749" s="4" t="str">
        <f>HYPERLINK("https://www.cortellis.com/drugdiscovery/result/proxy/related-content/biomarkers/genestargets/45451","microRNA 133a-1; microRNA 133a-2")</f>
        <v>microRNA 133a-1; microRNA 133a-2</v>
      </c>
    </row>
    <row r="1750" spans="1:11" ht="60" customHeight="1" x14ac:dyDescent="0.2">
      <c r="A1750" s="2">
        <v>1747</v>
      </c>
      <c r="B1750" s="3" t="str">
        <f t="shared" si="295"/>
        <v>microRNA 133a-1</v>
      </c>
      <c r="C1750" s="3" t="str">
        <f t="shared" si="296"/>
        <v>MIR133A1</v>
      </c>
      <c r="D1750" s="3" t="str">
        <f t="shared" si="297"/>
        <v>hsa-mir-133a-1</v>
      </c>
      <c r="E1750" s="2" t="s">
        <v>72</v>
      </c>
      <c r="F1750" s="3" t="str">
        <f t="shared" si="298"/>
        <v>microRNA 133a-1</v>
      </c>
      <c r="G1750" s="4"/>
      <c r="H1750" s="3" t="str">
        <f>HYPERLINK("https://www.cortellis.com/drugdiscovery/entity/biomarkers/46660","9-microRNAs breast cancer panel")</f>
        <v>9-microRNAs breast cancer panel</v>
      </c>
      <c r="I1750" s="2" t="s">
        <v>81</v>
      </c>
      <c r="J1750" s="2" t="s">
        <v>19</v>
      </c>
      <c r="K1750" s="4" t="str">
        <f>HYPERLINK("https://www.cortellis.com/drugdiscovery/result/proxy/related-content/biomarkers/genestargets/46660","microRNA 133a-1; microRNA 133a-2")</f>
        <v>microRNA 133a-1; microRNA 133a-2</v>
      </c>
    </row>
    <row r="1751" spans="1:11" ht="60" customHeight="1" x14ac:dyDescent="0.2">
      <c r="A1751" s="2">
        <v>1748</v>
      </c>
      <c r="B1751" s="3" t="str">
        <f t="shared" si="295"/>
        <v>microRNA 133a-1</v>
      </c>
      <c r="C1751" s="3" t="str">
        <f t="shared" si="296"/>
        <v>MIR133A1</v>
      </c>
      <c r="D1751" s="3" t="str">
        <f t="shared" si="297"/>
        <v>hsa-mir-133a-1</v>
      </c>
      <c r="E1751" s="2" t="s">
        <v>72</v>
      </c>
      <c r="F1751" s="3" t="str">
        <f t="shared" si="298"/>
        <v>microRNA 133a-1</v>
      </c>
      <c r="G1751" s="4"/>
      <c r="H1751" s="3" t="str">
        <f>HYPERLINK("https://www.cortellis.com/drugdiscovery/entity/biomarkers/50826","7-microRNA hepatocellular carcinoma panel")</f>
        <v>7-microRNA hepatocellular carcinoma panel</v>
      </c>
      <c r="I1751" s="2" t="s">
        <v>23</v>
      </c>
      <c r="J1751" s="2" t="s">
        <v>19</v>
      </c>
      <c r="K1751" s="4" t="str">
        <f>HYPERLINK("https://www.cortellis.com/drugdiscovery/result/proxy/related-content/biomarkers/genestargets/50826","microRNA 133a-1; microRNA 133a-2")</f>
        <v>microRNA 133a-1; microRNA 133a-2</v>
      </c>
    </row>
    <row r="1752" spans="1:11" ht="60" customHeight="1" x14ac:dyDescent="0.2">
      <c r="A1752" s="2">
        <v>1749</v>
      </c>
      <c r="B1752" s="3" t="str">
        <f t="shared" si="295"/>
        <v>microRNA 133a-1</v>
      </c>
      <c r="C1752" s="3" t="str">
        <f t="shared" si="296"/>
        <v>MIR133A1</v>
      </c>
      <c r="D1752" s="3" t="str">
        <f t="shared" si="297"/>
        <v>hsa-mir-133a-1</v>
      </c>
      <c r="E1752" s="2" t="s">
        <v>72</v>
      </c>
      <c r="F1752" s="3" t="str">
        <f t="shared" si="298"/>
        <v>microRNA 133a-1</v>
      </c>
      <c r="G1752" s="4"/>
      <c r="H1752" s="3" t="str">
        <f>HYPERLINK("https://www.cortellis.com/drugdiscovery/entity/biomarkers/62628","24-microRNA lung cancer panel")</f>
        <v>24-microRNA lung cancer panel</v>
      </c>
      <c r="I1752" s="2" t="s">
        <v>18</v>
      </c>
      <c r="J1752" s="2" t="s">
        <v>19</v>
      </c>
      <c r="K1752" s="4" t="str">
        <f>HYPERLINK("https://www.cortellis.com/drugdiscovery/result/proxy/related-content/biomarkers/genestargets/62628","microRNA 133a-1; microRNA 133a-2")</f>
        <v>microRNA 133a-1; microRNA 133a-2</v>
      </c>
    </row>
    <row r="1753" spans="1:11" ht="60" customHeight="1" x14ac:dyDescent="0.2">
      <c r="A1753" s="2">
        <v>1750</v>
      </c>
      <c r="B1753" s="3" t="str">
        <f t="shared" si="295"/>
        <v>microRNA 133a-1</v>
      </c>
      <c r="C1753" s="3" t="str">
        <f t="shared" si="296"/>
        <v>MIR133A1</v>
      </c>
      <c r="D1753" s="3" t="str">
        <f t="shared" si="297"/>
        <v>hsa-mir-133a-1</v>
      </c>
      <c r="E1753" s="2" t="s">
        <v>72</v>
      </c>
      <c r="F1753" s="3" t="str">
        <f t="shared" si="298"/>
        <v>microRNA 133a-1</v>
      </c>
      <c r="G1753" s="4"/>
      <c r="H1753" s="3" t="str">
        <f>HYPERLINK("https://www.cortellis.com/drugdiscovery/entity/biomarkers/63397","9-microRNA 3-gene methylation prostate cancer panel")</f>
        <v>9-microRNA 3-gene methylation prostate cancer panel</v>
      </c>
      <c r="I1753" s="2" t="s">
        <v>25</v>
      </c>
      <c r="J1753" s="2" t="s">
        <v>19</v>
      </c>
      <c r="K1753" s="4" t="str">
        <f>HYPERLINK("https://www.cortellis.com/drugdiscovery/result/proxy/related-content/biomarkers/genestargets/63397","microRNA 133a-1; microRNA 133a-2")</f>
        <v>microRNA 133a-1; microRNA 133a-2</v>
      </c>
    </row>
    <row r="1754" spans="1:11" ht="60" customHeight="1" x14ac:dyDescent="0.2">
      <c r="A1754" s="2">
        <v>1751</v>
      </c>
      <c r="B1754" s="3" t="str">
        <f t="shared" si="295"/>
        <v>microRNA 133a-1</v>
      </c>
      <c r="C1754" s="3" t="str">
        <f t="shared" si="296"/>
        <v>MIR133A1</v>
      </c>
      <c r="D1754" s="3" t="str">
        <f t="shared" si="297"/>
        <v>hsa-mir-133a-1</v>
      </c>
      <c r="E1754" s="2" t="s">
        <v>72</v>
      </c>
      <c r="F1754" s="3" t="str">
        <f t="shared" si="298"/>
        <v>microRNA 133a-1</v>
      </c>
      <c r="G1754" s="4"/>
      <c r="H1754" s="3" t="str">
        <f>HYPERLINK("https://www.cortellis.com/drugdiscovery/entity/biomarkers/65718","microRNA 133a-1-3p")</f>
        <v>microRNA 133a-1-3p</v>
      </c>
      <c r="I1754" s="2" t="s">
        <v>28</v>
      </c>
      <c r="J1754" s="2" t="s">
        <v>19</v>
      </c>
      <c r="K1754" s="4" t="str">
        <f>HYPERLINK("https://www.cortellis.com/drugdiscovery/result/proxy/related-content/biomarkers/genestargets/65718","microRNA 133a-1")</f>
        <v>microRNA 133a-1</v>
      </c>
    </row>
    <row r="1755" spans="1:11" ht="60" customHeight="1" x14ac:dyDescent="0.2">
      <c r="A1755" s="2">
        <v>1752</v>
      </c>
      <c r="B1755" s="3" t="str">
        <f t="shared" ref="B1755:B1766" si="299">HYPERLINK("https://portal.genego.com/cgi/entity_page.cgi?term=100&amp;id=-2126826970","microRNA 133a-2")</f>
        <v>microRNA 133a-2</v>
      </c>
      <c r="C1755" s="3" t="str">
        <f t="shared" ref="C1755:C1766" si="300">HYPERLINK("https://portal.genego.com/cgi/entity_page.cgi?term=20&amp;id=-1146695835","MIR133A2")</f>
        <v>MIR133A2</v>
      </c>
      <c r="D1755" s="3" t="str">
        <f t="shared" ref="D1755:D1766" si="301">HYPERLINK("https://portal.genego.com/cgi/entity_page.cgi?term=7&amp;id=-1183023753","hsa-mir-133a-2")</f>
        <v>hsa-mir-133a-2</v>
      </c>
      <c r="E1755" s="2" t="s">
        <v>72</v>
      </c>
      <c r="F1755" s="3" t="str">
        <f t="shared" ref="F1755:F1766" si="302">HYPERLINK("https://portal.genego.com/cgi/entity_page.cgi?term=100&amp;id=-2126826970","microRNA 133a-2")</f>
        <v>microRNA 133a-2</v>
      </c>
      <c r="G1755" s="4"/>
      <c r="H1755" s="3" t="str">
        <f>HYPERLINK("https://www.cortellis.com/drugdiscovery/entity/biomarkers/7207","microRNA 133a-2")</f>
        <v>microRNA 133a-2</v>
      </c>
      <c r="I1755" s="2" t="s">
        <v>73</v>
      </c>
      <c r="J1755" s="2" t="s">
        <v>19</v>
      </c>
      <c r="K1755" s="4" t="str">
        <f>HYPERLINK("https://www.cortellis.com/drugdiscovery/result/proxy/related-content/biomarkers/genestargets/7207","microRNA 133a-2")</f>
        <v>microRNA 133a-2</v>
      </c>
    </row>
    <row r="1756" spans="1:11" ht="60" customHeight="1" x14ac:dyDescent="0.2">
      <c r="A1756" s="2">
        <v>1753</v>
      </c>
      <c r="B1756" s="3" t="str">
        <f t="shared" si="299"/>
        <v>microRNA 133a-2</v>
      </c>
      <c r="C1756" s="3" t="str">
        <f t="shared" si="300"/>
        <v>MIR133A2</v>
      </c>
      <c r="D1756" s="3" t="str">
        <f t="shared" si="301"/>
        <v>hsa-mir-133a-2</v>
      </c>
      <c r="E1756" s="2" t="s">
        <v>72</v>
      </c>
      <c r="F1756" s="3" t="str">
        <f t="shared" si="302"/>
        <v>microRNA 133a-2</v>
      </c>
      <c r="G1756" s="4"/>
      <c r="H1756" s="3" t="str">
        <f>HYPERLINK("https://www.cortellis.com/drugdiscovery/entity/biomarkers/12348","microRNA 133")</f>
        <v>microRNA 133</v>
      </c>
      <c r="I1756" s="2" t="s">
        <v>79</v>
      </c>
      <c r="J1756" s="2" t="s">
        <v>19</v>
      </c>
      <c r="K1756" s="4" t="str">
        <f>HYPERLINK("https://www.cortellis.com/drugdiscovery/result/proxy/related-content/biomarkers/genestargets/12348","microRNA 133a-1; microRNA 133a-2; microRNA 133b")</f>
        <v>microRNA 133a-1; microRNA 133a-2; microRNA 133b</v>
      </c>
    </row>
    <row r="1757" spans="1:11" ht="60" customHeight="1" x14ac:dyDescent="0.2">
      <c r="A1757" s="2">
        <v>1754</v>
      </c>
      <c r="B1757" s="3" t="str">
        <f t="shared" si="299"/>
        <v>microRNA 133a-2</v>
      </c>
      <c r="C1757" s="3" t="str">
        <f t="shared" si="300"/>
        <v>MIR133A2</v>
      </c>
      <c r="D1757" s="3" t="str">
        <f t="shared" si="301"/>
        <v>hsa-mir-133a-2</v>
      </c>
      <c r="E1757" s="2" t="s">
        <v>72</v>
      </c>
      <c r="F1757" s="3" t="str">
        <f t="shared" si="302"/>
        <v>microRNA 133a-2</v>
      </c>
      <c r="G1757" s="4"/>
      <c r="H1757" s="3" t="str">
        <f>HYPERLINK("https://www.cortellis.com/drugdiscovery/entity/biomarkers/13699","microRNA 133a")</f>
        <v>microRNA 133a</v>
      </c>
      <c r="I1757" s="2" t="s">
        <v>74</v>
      </c>
      <c r="J1757" s="2" t="s">
        <v>19</v>
      </c>
      <c r="K1757" s="4" t="str">
        <f>HYPERLINK("https://www.cortellis.com/drugdiscovery/result/proxy/related-content/biomarkers/genestargets/13699","microRNA 133a-1; microRNA 133a-2")</f>
        <v>microRNA 133a-1; microRNA 133a-2</v>
      </c>
    </row>
    <row r="1758" spans="1:11" ht="60" customHeight="1" x14ac:dyDescent="0.2">
      <c r="A1758" s="2">
        <v>1755</v>
      </c>
      <c r="B1758" s="3" t="str">
        <f t="shared" si="299"/>
        <v>microRNA 133a-2</v>
      </c>
      <c r="C1758" s="3" t="str">
        <f t="shared" si="300"/>
        <v>MIR133A2</v>
      </c>
      <c r="D1758" s="3" t="str">
        <f t="shared" si="301"/>
        <v>hsa-mir-133a-2</v>
      </c>
      <c r="E1758" s="2" t="s">
        <v>72</v>
      </c>
      <c r="F1758" s="3" t="str">
        <f t="shared" si="302"/>
        <v>microRNA 133a-2</v>
      </c>
      <c r="G1758" s="4"/>
      <c r="H1758" s="3" t="str">
        <f>HYPERLINK("https://www.cortellis.com/drugdiscovery/entity/biomarkers/24383","7-microRNA esophageal cancer panel")</f>
        <v>7-microRNA esophageal cancer panel</v>
      </c>
      <c r="I1758" s="2" t="s">
        <v>23</v>
      </c>
      <c r="J1758" s="2" t="s">
        <v>19</v>
      </c>
      <c r="K1758" s="4" t="str">
        <f>HYPERLINK("https://www.cortellis.com/drugdiscovery/result/proxy/related-content/biomarkers/genestargets/24383","microRNA 133a-1; microRNA 133a-2; microRNA 223")</f>
        <v>microRNA 133a-1; microRNA 133a-2; microRNA 223</v>
      </c>
    </row>
    <row r="1759" spans="1:11" ht="60" customHeight="1" x14ac:dyDescent="0.2">
      <c r="A1759" s="2">
        <v>1756</v>
      </c>
      <c r="B1759" s="3" t="str">
        <f t="shared" si="299"/>
        <v>microRNA 133a-2</v>
      </c>
      <c r="C1759" s="3" t="str">
        <f t="shared" si="300"/>
        <v>MIR133A2</v>
      </c>
      <c r="D1759" s="3" t="str">
        <f t="shared" si="301"/>
        <v>hsa-mir-133a-2</v>
      </c>
      <c r="E1759" s="2" t="s">
        <v>72</v>
      </c>
      <c r="F1759" s="3" t="str">
        <f t="shared" si="302"/>
        <v>microRNA 133a-2</v>
      </c>
      <c r="G1759" s="4"/>
      <c r="H1759" s="3" t="str">
        <f>HYPERLINK("https://www.cortellis.com/drugdiscovery/entity/biomarkers/28458","23-microRNA prostate cancer panel")</f>
        <v>23-microRNA prostate cancer panel</v>
      </c>
      <c r="I1759" s="2" t="s">
        <v>23</v>
      </c>
      <c r="J1759" s="2" t="s">
        <v>19</v>
      </c>
      <c r="K1759" s="4" t="str">
        <f>HYPERLINK("https://www.cortellis.com/drugdiscovery/result/proxy/related-content/biomarkers/genestargets/28458","microRNA 1-1; microRNA 1-2; microRNA 133a-1; microRNA 133a-2")</f>
        <v>microRNA 1-1; microRNA 1-2; microRNA 133a-1; microRNA 133a-2</v>
      </c>
    </row>
    <row r="1760" spans="1:11" ht="60" customHeight="1" x14ac:dyDescent="0.2">
      <c r="A1760" s="2">
        <v>1757</v>
      </c>
      <c r="B1760" s="3" t="str">
        <f t="shared" si="299"/>
        <v>microRNA 133a-2</v>
      </c>
      <c r="C1760" s="3" t="str">
        <f t="shared" si="300"/>
        <v>MIR133A2</v>
      </c>
      <c r="D1760" s="3" t="str">
        <f t="shared" si="301"/>
        <v>hsa-mir-133a-2</v>
      </c>
      <c r="E1760" s="2" t="s">
        <v>72</v>
      </c>
      <c r="F1760" s="3" t="str">
        <f t="shared" si="302"/>
        <v>microRNA 133a-2</v>
      </c>
      <c r="G1760" s="4"/>
      <c r="H1760" s="3" t="str">
        <f>HYPERLINK("https://www.cortellis.com/drugdiscovery/entity/biomarkers/34436","5-microRNA atherosclerosis panel")</f>
        <v>5-microRNA atherosclerosis panel</v>
      </c>
      <c r="I1760" s="2" t="s">
        <v>25</v>
      </c>
      <c r="J1760" s="2" t="s">
        <v>19</v>
      </c>
      <c r="K1760" s="4" t="str">
        <f>HYPERLINK("https://www.cortellis.com/drugdiscovery/result/proxy/related-content/biomarkers/genestargets/34436","microRNA 133a-1; microRNA 133a-2; microRNA 133b")</f>
        <v>microRNA 133a-1; microRNA 133a-2; microRNA 133b</v>
      </c>
    </row>
    <row r="1761" spans="1:11" ht="60" customHeight="1" x14ac:dyDescent="0.2">
      <c r="A1761" s="2">
        <v>1758</v>
      </c>
      <c r="B1761" s="3" t="str">
        <f t="shared" si="299"/>
        <v>microRNA 133a-2</v>
      </c>
      <c r="C1761" s="3" t="str">
        <f t="shared" si="300"/>
        <v>MIR133A2</v>
      </c>
      <c r="D1761" s="3" t="str">
        <f t="shared" si="301"/>
        <v>hsa-mir-133a-2</v>
      </c>
      <c r="E1761" s="2" t="s">
        <v>72</v>
      </c>
      <c r="F1761" s="3" t="str">
        <f t="shared" si="302"/>
        <v>microRNA 133a-2</v>
      </c>
      <c r="G1761" s="4"/>
      <c r="H1761" s="3" t="str">
        <f>HYPERLINK("https://www.cortellis.com/drugdiscovery/entity/biomarkers/45049","microRNA 133a-3p")</f>
        <v>microRNA 133a-3p</v>
      </c>
      <c r="I1761" s="2" t="s">
        <v>80</v>
      </c>
      <c r="J1761" s="2" t="s">
        <v>19</v>
      </c>
      <c r="K1761" s="4" t="str">
        <f>HYPERLINK("https://www.cortellis.com/drugdiscovery/result/proxy/related-content/biomarkers/genestargets/45049","microRNA 133a-1; microRNA 133a-2")</f>
        <v>microRNA 133a-1; microRNA 133a-2</v>
      </c>
    </row>
    <row r="1762" spans="1:11" ht="60" customHeight="1" x14ac:dyDescent="0.2">
      <c r="A1762" s="2">
        <v>1759</v>
      </c>
      <c r="B1762" s="3" t="str">
        <f t="shared" si="299"/>
        <v>microRNA 133a-2</v>
      </c>
      <c r="C1762" s="3" t="str">
        <f t="shared" si="300"/>
        <v>MIR133A2</v>
      </c>
      <c r="D1762" s="3" t="str">
        <f t="shared" si="301"/>
        <v>hsa-mir-133a-2</v>
      </c>
      <c r="E1762" s="2" t="s">
        <v>72</v>
      </c>
      <c r="F1762" s="3" t="str">
        <f t="shared" si="302"/>
        <v>microRNA 133a-2</v>
      </c>
      <c r="G1762" s="4"/>
      <c r="H1762" s="3" t="str">
        <f>HYPERLINK("https://www.cortellis.com/drugdiscovery/entity/biomarkers/45451","9-microRNA myotonic disorders panel ")</f>
        <v xml:space="preserve">9-microRNA myotonic disorders panel </v>
      </c>
      <c r="I1762" s="2" t="s">
        <v>23</v>
      </c>
      <c r="J1762" s="2" t="s">
        <v>19</v>
      </c>
      <c r="K1762" s="4" t="str">
        <f>HYPERLINK("https://www.cortellis.com/drugdiscovery/result/proxy/related-content/biomarkers/genestargets/45451","microRNA 133a-1; microRNA 133a-2")</f>
        <v>microRNA 133a-1; microRNA 133a-2</v>
      </c>
    </row>
    <row r="1763" spans="1:11" ht="60" customHeight="1" x14ac:dyDescent="0.2">
      <c r="A1763" s="2">
        <v>1760</v>
      </c>
      <c r="B1763" s="3" t="str">
        <f t="shared" si="299"/>
        <v>microRNA 133a-2</v>
      </c>
      <c r="C1763" s="3" t="str">
        <f t="shared" si="300"/>
        <v>MIR133A2</v>
      </c>
      <c r="D1763" s="3" t="str">
        <f t="shared" si="301"/>
        <v>hsa-mir-133a-2</v>
      </c>
      <c r="E1763" s="2" t="s">
        <v>72</v>
      </c>
      <c r="F1763" s="3" t="str">
        <f t="shared" si="302"/>
        <v>microRNA 133a-2</v>
      </c>
      <c r="G1763" s="4"/>
      <c r="H1763" s="3" t="str">
        <f>HYPERLINK("https://www.cortellis.com/drugdiscovery/entity/biomarkers/46660","9-microRNAs breast cancer panel")</f>
        <v>9-microRNAs breast cancer panel</v>
      </c>
      <c r="I1763" s="2" t="s">
        <v>81</v>
      </c>
      <c r="J1763" s="2" t="s">
        <v>19</v>
      </c>
      <c r="K1763" s="4" t="str">
        <f>HYPERLINK("https://www.cortellis.com/drugdiscovery/result/proxy/related-content/biomarkers/genestargets/46660","microRNA 133a-1; microRNA 133a-2")</f>
        <v>microRNA 133a-1; microRNA 133a-2</v>
      </c>
    </row>
    <row r="1764" spans="1:11" ht="60" customHeight="1" x14ac:dyDescent="0.2">
      <c r="A1764" s="2">
        <v>1761</v>
      </c>
      <c r="B1764" s="3" t="str">
        <f t="shared" si="299"/>
        <v>microRNA 133a-2</v>
      </c>
      <c r="C1764" s="3" t="str">
        <f t="shared" si="300"/>
        <v>MIR133A2</v>
      </c>
      <c r="D1764" s="3" t="str">
        <f t="shared" si="301"/>
        <v>hsa-mir-133a-2</v>
      </c>
      <c r="E1764" s="2" t="s">
        <v>72</v>
      </c>
      <c r="F1764" s="3" t="str">
        <f t="shared" si="302"/>
        <v>microRNA 133a-2</v>
      </c>
      <c r="G1764" s="4"/>
      <c r="H1764" s="3" t="str">
        <f>HYPERLINK("https://www.cortellis.com/drugdiscovery/entity/biomarkers/50826","7-microRNA hepatocellular carcinoma panel")</f>
        <v>7-microRNA hepatocellular carcinoma panel</v>
      </c>
      <c r="I1764" s="2" t="s">
        <v>23</v>
      </c>
      <c r="J1764" s="2" t="s">
        <v>19</v>
      </c>
      <c r="K1764" s="4" t="str">
        <f>HYPERLINK("https://www.cortellis.com/drugdiscovery/result/proxy/related-content/biomarkers/genestargets/50826","microRNA 133a-1; microRNA 133a-2")</f>
        <v>microRNA 133a-1; microRNA 133a-2</v>
      </c>
    </row>
    <row r="1765" spans="1:11" ht="60" customHeight="1" x14ac:dyDescent="0.2">
      <c r="A1765" s="2">
        <v>1762</v>
      </c>
      <c r="B1765" s="3" t="str">
        <f t="shared" si="299"/>
        <v>microRNA 133a-2</v>
      </c>
      <c r="C1765" s="3" t="str">
        <f t="shared" si="300"/>
        <v>MIR133A2</v>
      </c>
      <c r="D1765" s="3" t="str">
        <f t="shared" si="301"/>
        <v>hsa-mir-133a-2</v>
      </c>
      <c r="E1765" s="2" t="s">
        <v>72</v>
      </c>
      <c r="F1765" s="3" t="str">
        <f t="shared" si="302"/>
        <v>microRNA 133a-2</v>
      </c>
      <c r="G1765" s="4"/>
      <c r="H1765" s="3" t="str">
        <f>HYPERLINK("https://www.cortellis.com/drugdiscovery/entity/biomarkers/62628","24-microRNA lung cancer panel")</f>
        <v>24-microRNA lung cancer panel</v>
      </c>
      <c r="I1765" s="2" t="s">
        <v>18</v>
      </c>
      <c r="J1765" s="2" t="s">
        <v>19</v>
      </c>
      <c r="K1765" s="4" t="str">
        <f>HYPERLINK("https://www.cortellis.com/drugdiscovery/result/proxy/related-content/biomarkers/genestargets/62628","microRNA 133a-1; microRNA 133a-2")</f>
        <v>microRNA 133a-1; microRNA 133a-2</v>
      </c>
    </row>
    <row r="1766" spans="1:11" ht="60" customHeight="1" x14ac:dyDescent="0.2">
      <c r="A1766" s="2">
        <v>1763</v>
      </c>
      <c r="B1766" s="3" t="str">
        <f t="shared" si="299"/>
        <v>microRNA 133a-2</v>
      </c>
      <c r="C1766" s="3" t="str">
        <f t="shared" si="300"/>
        <v>MIR133A2</v>
      </c>
      <c r="D1766" s="3" t="str">
        <f t="shared" si="301"/>
        <v>hsa-mir-133a-2</v>
      </c>
      <c r="E1766" s="2" t="s">
        <v>72</v>
      </c>
      <c r="F1766" s="3" t="str">
        <f t="shared" si="302"/>
        <v>microRNA 133a-2</v>
      </c>
      <c r="G1766" s="4"/>
      <c r="H1766" s="3" t="str">
        <f>HYPERLINK("https://www.cortellis.com/drugdiscovery/entity/biomarkers/63397","9-microRNA 3-gene methylation prostate cancer panel")</f>
        <v>9-microRNA 3-gene methylation prostate cancer panel</v>
      </c>
      <c r="I1766" s="2" t="s">
        <v>25</v>
      </c>
      <c r="J1766" s="2" t="s">
        <v>19</v>
      </c>
      <c r="K1766" s="4" t="str">
        <f>HYPERLINK("https://www.cortellis.com/drugdiscovery/result/proxy/related-content/biomarkers/genestargets/63397","microRNA 133a-1; microRNA 133a-2")</f>
        <v>microRNA 133a-1; microRNA 133a-2</v>
      </c>
    </row>
    <row r="1767" spans="1:11" ht="60" customHeight="1" x14ac:dyDescent="0.2">
      <c r="A1767" s="2">
        <v>1764</v>
      </c>
      <c r="B1767" s="3" t="str">
        <f>HYPERLINK("https://portal.genego.com/cgi/entity_page.cgi?term=100&amp;id=-1787473934","microRNA 133b")</f>
        <v>microRNA 133b</v>
      </c>
      <c r="C1767" s="3" t="str">
        <f>HYPERLINK("https://portal.genego.com/cgi/entity_page.cgi?term=20&amp;id=-946320102","MIR133B")</f>
        <v>MIR133B</v>
      </c>
      <c r="D1767" s="3" t="str">
        <f>HYPERLINK("https://portal.genego.com/cgi/entity_page.cgi?term=7&amp;id=-2056517229","hsa-mir-133b")</f>
        <v>hsa-mir-133b</v>
      </c>
      <c r="E1767" s="2" t="s">
        <v>72</v>
      </c>
      <c r="F1767" s="3" t="str">
        <f>HYPERLINK("https://portal.genego.com/cgi/entity_page.cgi?term=100&amp;id=-1787473934","microRNA 133b")</f>
        <v>microRNA 133b</v>
      </c>
      <c r="G1767" s="4"/>
      <c r="H1767" s="3" t="str">
        <f>HYPERLINK("https://www.cortellis.com/drugdiscovery/entity/biomarkers/7208","microRNA 133b")</f>
        <v>microRNA 133b</v>
      </c>
      <c r="I1767" s="2" t="s">
        <v>82</v>
      </c>
      <c r="J1767" s="2" t="s">
        <v>19</v>
      </c>
      <c r="K1767" s="4" t="str">
        <f>HYPERLINK("https://www.cortellis.com/drugdiscovery/result/proxy/related-content/biomarkers/genestargets/7208","microRNA 133b")</f>
        <v>microRNA 133b</v>
      </c>
    </row>
    <row r="1768" spans="1:11" ht="60" customHeight="1" x14ac:dyDescent="0.2">
      <c r="A1768" s="2">
        <v>1765</v>
      </c>
      <c r="B1768" s="3" t="str">
        <f>HYPERLINK("https://portal.genego.com/cgi/entity_page.cgi?term=100&amp;id=-1787473934","microRNA 133b")</f>
        <v>microRNA 133b</v>
      </c>
      <c r="C1768" s="3" t="str">
        <f>HYPERLINK("https://portal.genego.com/cgi/entity_page.cgi?term=20&amp;id=-946320102","MIR133B")</f>
        <v>MIR133B</v>
      </c>
      <c r="D1768" s="3" t="str">
        <f>HYPERLINK("https://portal.genego.com/cgi/entity_page.cgi?term=7&amp;id=-2056517229","hsa-mir-133b")</f>
        <v>hsa-mir-133b</v>
      </c>
      <c r="E1768" s="2" t="s">
        <v>72</v>
      </c>
      <c r="F1768" s="3" t="str">
        <f>HYPERLINK("https://portal.genego.com/cgi/entity_page.cgi?term=100&amp;id=-1787473934","microRNA 133b")</f>
        <v>microRNA 133b</v>
      </c>
      <c r="G1768" s="4"/>
      <c r="H1768" s="3" t="str">
        <f>HYPERLINK("https://www.cortellis.com/drugdiscovery/entity/biomarkers/12348","microRNA 133")</f>
        <v>microRNA 133</v>
      </c>
      <c r="I1768" s="2" t="s">
        <v>79</v>
      </c>
      <c r="J1768" s="2" t="s">
        <v>19</v>
      </c>
      <c r="K1768" s="4" t="str">
        <f>HYPERLINK("https://www.cortellis.com/drugdiscovery/result/proxy/related-content/biomarkers/genestargets/12348","microRNA 133a-1; microRNA 133a-2; microRNA 133b")</f>
        <v>microRNA 133a-1; microRNA 133a-2; microRNA 133b</v>
      </c>
    </row>
    <row r="1769" spans="1:11" ht="60" customHeight="1" x14ac:dyDescent="0.2">
      <c r="A1769" s="2">
        <v>1766</v>
      </c>
      <c r="B1769" s="3" t="str">
        <f>HYPERLINK("https://portal.genego.com/cgi/entity_page.cgi?term=100&amp;id=-1787473934","microRNA 133b")</f>
        <v>microRNA 133b</v>
      </c>
      <c r="C1769" s="3" t="str">
        <f>HYPERLINK("https://portal.genego.com/cgi/entity_page.cgi?term=20&amp;id=-946320102","MIR133B")</f>
        <v>MIR133B</v>
      </c>
      <c r="D1769" s="3" t="str">
        <f>HYPERLINK("https://portal.genego.com/cgi/entity_page.cgi?term=7&amp;id=-2056517229","hsa-mir-133b")</f>
        <v>hsa-mir-133b</v>
      </c>
      <c r="E1769" s="2" t="s">
        <v>72</v>
      </c>
      <c r="F1769" s="3" t="str">
        <f>HYPERLINK("https://portal.genego.com/cgi/entity_page.cgi?term=100&amp;id=-1787473934","microRNA 133b")</f>
        <v>microRNA 133b</v>
      </c>
      <c r="G1769" s="4"/>
      <c r="H1769" s="3" t="str">
        <f>HYPERLINK("https://www.cortellis.com/drugdiscovery/entity/biomarkers/34436","5-microRNA atherosclerosis panel")</f>
        <v>5-microRNA atherosclerosis panel</v>
      </c>
      <c r="I1769" s="2" t="s">
        <v>25</v>
      </c>
      <c r="J1769" s="2" t="s">
        <v>19</v>
      </c>
      <c r="K1769" s="4" t="str">
        <f>HYPERLINK("https://www.cortellis.com/drugdiscovery/result/proxy/related-content/biomarkers/genestargets/34436","microRNA 133a-1; microRNA 133a-2; microRNA 133b")</f>
        <v>microRNA 133a-1; microRNA 133a-2; microRNA 133b</v>
      </c>
    </row>
    <row r="1770" spans="1:11" ht="60" customHeight="1" x14ac:dyDescent="0.2">
      <c r="A1770" s="2">
        <v>1767</v>
      </c>
      <c r="B1770" s="3" t="str">
        <f>HYPERLINK("https://portal.genego.com/cgi/entity_page.cgi?term=100&amp;id=-1787473934","microRNA 133b")</f>
        <v>microRNA 133b</v>
      </c>
      <c r="C1770" s="3" t="str">
        <f>HYPERLINK("https://portal.genego.com/cgi/entity_page.cgi?term=20&amp;id=-946320102","MIR133B")</f>
        <v>MIR133B</v>
      </c>
      <c r="D1770" s="3" t="str">
        <f>HYPERLINK("https://portal.genego.com/cgi/entity_page.cgi?term=7&amp;id=-2056517229","hsa-mir-133b")</f>
        <v>hsa-mir-133b</v>
      </c>
      <c r="E1770" s="2" t="s">
        <v>72</v>
      </c>
      <c r="F1770" s="3" t="str">
        <f>HYPERLINK("https://portal.genego.com/cgi/entity_page.cgi?term=100&amp;id=-1787473934","microRNA 133b")</f>
        <v>microRNA 133b</v>
      </c>
      <c r="G1770" s="4"/>
      <c r="H1770" s="3" t="str">
        <f>HYPERLINK("https://www.cortellis.com/drugdiscovery/entity/biomarkers/47226","4-microRNA cancer panel")</f>
        <v>4-microRNA cancer panel</v>
      </c>
      <c r="I1770" s="2" t="s">
        <v>28</v>
      </c>
      <c r="J1770" s="2" t="s">
        <v>19</v>
      </c>
      <c r="K1770" s="4" t="str">
        <f>HYPERLINK("https://www.cortellis.com/drugdiscovery/result/proxy/related-content/biomarkers/genestargets/47226","microRNA 133b")</f>
        <v>microRNA 133b</v>
      </c>
    </row>
    <row r="1771" spans="1:11" ht="60" customHeight="1" x14ac:dyDescent="0.2">
      <c r="A1771" s="2">
        <v>1768</v>
      </c>
      <c r="B1771" s="3" t="str">
        <f t="shared" ref="B1771:B1792" si="303">HYPERLINK("https://portal.genego.com/cgi/entity_page.cgi?term=100&amp;id=-565985880","microRNA 146a")</f>
        <v>microRNA 146a</v>
      </c>
      <c r="C1771" s="3" t="str">
        <f t="shared" ref="C1771:C1792" si="304">HYPERLINK("https://portal.genego.com/cgi/entity_page.cgi?term=20&amp;id=-557394445","MIR146A")</f>
        <v>MIR146A</v>
      </c>
      <c r="D1771" s="3" t="str">
        <f t="shared" ref="D1771:D1792" si="305">HYPERLINK("https://portal.genego.com/cgi/entity_page.cgi?term=7&amp;id=-1582605209","hsa-mir-146a")</f>
        <v>hsa-mir-146a</v>
      </c>
      <c r="E1771" s="2" t="s">
        <v>72</v>
      </c>
      <c r="F1771" s="3" t="str">
        <f t="shared" ref="F1771:F1792" si="306">HYPERLINK("https://portal.genego.com/cgi/entity_page.cgi?term=100&amp;id=-565985880","microRNA 146a")</f>
        <v>microRNA 146a</v>
      </c>
      <c r="G1771" s="4"/>
      <c r="H1771" s="3" t="str">
        <f>HYPERLINK("https://www.cortellis.com/drugdiscovery/entity/biomarkers/7210","microRNA 146a")</f>
        <v>microRNA 146a</v>
      </c>
      <c r="I1771" s="2" t="s">
        <v>31</v>
      </c>
      <c r="J1771" s="2" t="s">
        <v>19</v>
      </c>
      <c r="K1771" s="4" t="str">
        <f>HYPERLINK("https://www.cortellis.com/drugdiscovery/result/proxy/related-content/biomarkers/genestargets/7210","microRNA 146a")</f>
        <v>microRNA 146a</v>
      </c>
    </row>
    <row r="1772" spans="1:11" ht="60" customHeight="1" x14ac:dyDescent="0.2">
      <c r="A1772" s="2">
        <v>1769</v>
      </c>
      <c r="B1772" s="3" t="str">
        <f t="shared" si="303"/>
        <v>microRNA 146a</v>
      </c>
      <c r="C1772" s="3" t="str">
        <f t="shared" si="304"/>
        <v>MIR146A</v>
      </c>
      <c r="D1772" s="3" t="str">
        <f t="shared" si="305"/>
        <v>hsa-mir-146a</v>
      </c>
      <c r="E1772" s="2" t="s">
        <v>72</v>
      </c>
      <c r="F1772" s="3" t="str">
        <f t="shared" si="306"/>
        <v>microRNA 146a</v>
      </c>
      <c r="G1772" s="4"/>
      <c r="H1772" s="3" t="str">
        <f>HYPERLINK("https://www.cortellis.com/drugdiscovery/entity/biomarkers/13640","microRNA146")</f>
        <v>microRNA146</v>
      </c>
      <c r="I1772" s="2" t="s">
        <v>83</v>
      </c>
      <c r="J1772" s="2" t="s">
        <v>19</v>
      </c>
      <c r="K1772" s="4" t="str">
        <f>HYPERLINK("https://www.cortellis.com/drugdiscovery/result/proxy/related-content/biomarkers/genestargets/13640","microRNA 146a; microRNA 146b")</f>
        <v>microRNA 146a; microRNA 146b</v>
      </c>
    </row>
    <row r="1773" spans="1:11" ht="60" customHeight="1" x14ac:dyDescent="0.2">
      <c r="A1773" s="2">
        <v>1770</v>
      </c>
      <c r="B1773" s="3" t="str">
        <f t="shared" si="303"/>
        <v>microRNA 146a</v>
      </c>
      <c r="C1773" s="3" t="str">
        <f t="shared" si="304"/>
        <v>MIR146A</v>
      </c>
      <c r="D1773" s="3" t="str">
        <f t="shared" si="305"/>
        <v>hsa-mir-146a</v>
      </c>
      <c r="E1773" s="2" t="s">
        <v>72</v>
      </c>
      <c r="F1773" s="3" t="str">
        <f t="shared" si="306"/>
        <v>microRNA 146a</v>
      </c>
      <c r="G1773" s="4"/>
      <c r="H1773" s="3" t="str">
        <f>HYPERLINK("https://www.cortellis.com/drugdiscovery/entity/biomarkers/24189","miRview mets")</f>
        <v>miRview mets</v>
      </c>
      <c r="I1773" s="2" t="s">
        <v>23</v>
      </c>
      <c r="J1773" s="2" t="s">
        <v>19</v>
      </c>
      <c r="K1773" s="4" t="str">
        <f>HYPERLINK("https://www.cortellis.com/drugdiscovery/result/proxy/related-content/biomarkers/genestargets/24189","microRNA 146a; microRNA 214")</f>
        <v>microRNA 146a; microRNA 214</v>
      </c>
    </row>
    <row r="1774" spans="1:11" ht="60" customHeight="1" x14ac:dyDescent="0.2">
      <c r="A1774" s="2">
        <v>1771</v>
      </c>
      <c r="B1774" s="3" t="str">
        <f t="shared" si="303"/>
        <v>microRNA 146a</v>
      </c>
      <c r="C1774" s="3" t="str">
        <f t="shared" si="304"/>
        <v>MIR146A</v>
      </c>
      <c r="D1774" s="3" t="str">
        <f t="shared" si="305"/>
        <v>hsa-mir-146a</v>
      </c>
      <c r="E1774" s="2" t="s">
        <v>72</v>
      </c>
      <c r="F1774" s="3" t="str">
        <f t="shared" si="306"/>
        <v>microRNA 146a</v>
      </c>
      <c r="G1774" s="4"/>
      <c r="H1774" s="3" t="str">
        <f>HYPERLINK("https://www.cortellis.com/drugdiscovery/entity/biomarkers/25567","microRNA 146a-5p")</f>
        <v>microRNA 146a-5p</v>
      </c>
      <c r="I1774" s="2" t="s">
        <v>84</v>
      </c>
      <c r="J1774" s="2" t="s">
        <v>19</v>
      </c>
      <c r="K1774" s="4" t="str">
        <f>HYPERLINK("https://www.cortellis.com/drugdiscovery/result/proxy/related-content/biomarkers/genestargets/25567","microRNA 146a")</f>
        <v>microRNA 146a</v>
      </c>
    </row>
    <row r="1775" spans="1:11" ht="60" customHeight="1" x14ac:dyDescent="0.2">
      <c r="A1775" s="2">
        <v>1772</v>
      </c>
      <c r="B1775" s="3" t="str">
        <f t="shared" si="303"/>
        <v>microRNA 146a</v>
      </c>
      <c r="C1775" s="3" t="str">
        <f t="shared" si="304"/>
        <v>MIR146A</v>
      </c>
      <c r="D1775" s="3" t="str">
        <f t="shared" si="305"/>
        <v>hsa-mir-146a</v>
      </c>
      <c r="E1775" s="2" t="s">
        <v>72</v>
      </c>
      <c r="F1775" s="3" t="str">
        <f t="shared" si="306"/>
        <v>microRNA 146a</v>
      </c>
      <c r="G1775" s="4"/>
      <c r="H1775" s="3" t="str">
        <f>HYPERLINK("https://www.cortellis.com/drugdiscovery/entity/biomarkers/27309","57-microRNA mouth cancer panel")</f>
        <v>57-microRNA mouth cancer panel</v>
      </c>
      <c r="I1775" s="2" t="s">
        <v>23</v>
      </c>
      <c r="J1775" s="2" t="s">
        <v>19</v>
      </c>
      <c r="K1775" s="4" t="str">
        <f>HYPERLINK("https://www.cortellis.com/drugdiscovery/result/proxy/related-content/biomarkers/genestargets/27309","microRNA 146a; microRNA 155; microRNA 214; microRNA 223")</f>
        <v>microRNA 146a; microRNA 155; microRNA 214; microRNA 223</v>
      </c>
    </row>
    <row r="1776" spans="1:11" ht="60" customHeight="1" x14ac:dyDescent="0.2">
      <c r="A1776" s="2">
        <v>1773</v>
      </c>
      <c r="B1776" s="3" t="str">
        <f t="shared" si="303"/>
        <v>microRNA 146a</v>
      </c>
      <c r="C1776" s="3" t="str">
        <f t="shared" si="304"/>
        <v>MIR146A</v>
      </c>
      <c r="D1776" s="3" t="str">
        <f t="shared" si="305"/>
        <v>hsa-mir-146a</v>
      </c>
      <c r="E1776" s="2" t="s">
        <v>72</v>
      </c>
      <c r="F1776" s="3" t="str">
        <f t="shared" si="306"/>
        <v>microRNA 146a</v>
      </c>
      <c r="G1776" s="4"/>
      <c r="H1776" s="3" t="str">
        <f>HYPERLINK("https://www.cortellis.com/drugdiscovery/entity/biomarkers/33515","41-microRNA cancer panel")</f>
        <v>41-microRNA cancer panel</v>
      </c>
      <c r="I1776" s="2" t="s">
        <v>23</v>
      </c>
      <c r="J1776" s="2" t="s">
        <v>19</v>
      </c>
      <c r="K1776" s="4" t="str">
        <f>HYPERLINK("https://www.cortellis.com/drugdiscovery/result/proxy/related-content/biomarkers/genestargets/33515","microRNA 146a")</f>
        <v>microRNA 146a</v>
      </c>
    </row>
    <row r="1777" spans="1:11" ht="60" customHeight="1" x14ac:dyDescent="0.2">
      <c r="A1777" s="2">
        <v>1774</v>
      </c>
      <c r="B1777" s="3" t="str">
        <f t="shared" si="303"/>
        <v>microRNA 146a</v>
      </c>
      <c r="C1777" s="3" t="str">
        <f t="shared" si="304"/>
        <v>MIR146A</v>
      </c>
      <c r="D1777" s="3" t="str">
        <f t="shared" si="305"/>
        <v>hsa-mir-146a</v>
      </c>
      <c r="E1777" s="2" t="s">
        <v>72</v>
      </c>
      <c r="F1777" s="3" t="str">
        <f t="shared" si="306"/>
        <v>microRNA 146a</v>
      </c>
      <c r="G1777" s="4"/>
      <c r="H1777" s="3" t="str">
        <f>HYPERLINK("https://www.cortellis.com/drugdiscovery/entity/biomarkers/34964","6-microRNA neurological panel")</f>
        <v>6-microRNA neurological panel</v>
      </c>
      <c r="I1777" s="2" t="s">
        <v>29</v>
      </c>
      <c r="J1777" s="2" t="s">
        <v>19</v>
      </c>
      <c r="K1777" s="4" t="str">
        <f>HYPERLINK("https://www.cortellis.com/drugdiscovery/result/proxy/related-content/biomarkers/genestargets/34964","microRNA 146a")</f>
        <v>microRNA 146a</v>
      </c>
    </row>
    <row r="1778" spans="1:11" ht="60" customHeight="1" x14ac:dyDescent="0.2">
      <c r="A1778" s="2">
        <v>1775</v>
      </c>
      <c r="B1778" s="3" t="str">
        <f t="shared" si="303"/>
        <v>microRNA 146a</v>
      </c>
      <c r="C1778" s="3" t="str">
        <f t="shared" si="304"/>
        <v>MIR146A</v>
      </c>
      <c r="D1778" s="3" t="str">
        <f t="shared" si="305"/>
        <v>hsa-mir-146a</v>
      </c>
      <c r="E1778" s="2" t="s">
        <v>72</v>
      </c>
      <c r="F1778" s="3" t="str">
        <f t="shared" si="306"/>
        <v>microRNA 146a</v>
      </c>
      <c r="G1778" s="4"/>
      <c r="H1778" s="3" t="str">
        <f>HYPERLINK("https://www.cortellis.com/drugdiscovery/entity/biomarkers/40306","6-microRNA expression oropharyngeal squamous cell carcinoma panel")</f>
        <v>6-microRNA expression oropharyngeal squamous cell carcinoma panel</v>
      </c>
      <c r="I1778" s="2" t="s">
        <v>18</v>
      </c>
      <c r="J1778" s="2" t="s">
        <v>19</v>
      </c>
      <c r="K1778" s="4" t="str">
        <f>HYPERLINK("https://www.cortellis.com/drugdiscovery/result/proxy/related-content/biomarkers/genestargets/40306","microRNA 146a")</f>
        <v>microRNA 146a</v>
      </c>
    </row>
    <row r="1779" spans="1:11" ht="60" customHeight="1" x14ac:dyDescent="0.2">
      <c r="A1779" s="2">
        <v>1776</v>
      </c>
      <c r="B1779" s="3" t="str">
        <f t="shared" si="303"/>
        <v>microRNA 146a</v>
      </c>
      <c r="C1779" s="3" t="str">
        <f t="shared" si="304"/>
        <v>MIR146A</v>
      </c>
      <c r="D1779" s="3" t="str">
        <f t="shared" si="305"/>
        <v>hsa-mir-146a</v>
      </c>
      <c r="E1779" s="2" t="s">
        <v>72</v>
      </c>
      <c r="F1779" s="3" t="str">
        <f t="shared" si="306"/>
        <v>microRNA 146a</v>
      </c>
      <c r="G1779" s="4"/>
      <c r="H1779" s="3" t="str">
        <f>HYPERLINK("https://www.cortellis.com/drugdiscovery/entity/biomarkers/40697","7-miRNA expression anapalstic large cell lymphoma")</f>
        <v>7-miRNA expression anapalstic large cell lymphoma</v>
      </c>
      <c r="I1779" s="2" t="s">
        <v>23</v>
      </c>
      <c r="J1779" s="2" t="s">
        <v>19</v>
      </c>
      <c r="K1779" s="4" t="str">
        <f>HYPERLINK("https://www.cortellis.com/drugdiscovery/result/proxy/related-content/biomarkers/genestargets/40697","microRNA 146a; microRNA 155")</f>
        <v>microRNA 146a; microRNA 155</v>
      </c>
    </row>
    <row r="1780" spans="1:11" ht="60" customHeight="1" x14ac:dyDescent="0.2">
      <c r="A1780" s="2">
        <v>1777</v>
      </c>
      <c r="B1780" s="3" t="str">
        <f t="shared" si="303"/>
        <v>microRNA 146a</v>
      </c>
      <c r="C1780" s="3" t="str">
        <f t="shared" si="304"/>
        <v>MIR146A</v>
      </c>
      <c r="D1780" s="3" t="str">
        <f t="shared" si="305"/>
        <v>hsa-mir-146a</v>
      </c>
      <c r="E1780" s="2" t="s">
        <v>72</v>
      </c>
      <c r="F1780" s="3" t="str">
        <f t="shared" si="306"/>
        <v>microRNA 146a</v>
      </c>
      <c r="G1780" s="4"/>
      <c r="H1780" s="3" t="str">
        <f>HYPERLINK("https://www.cortellis.com/drugdiscovery/entity/biomarkers/40698","11-microRNA lympoma panel")</f>
        <v>11-microRNA lympoma panel</v>
      </c>
      <c r="I1780" s="2" t="s">
        <v>28</v>
      </c>
      <c r="J1780" s="2" t="s">
        <v>19</v>
      </c>
      <c r="K1780" s="4" t="str">
        <f>HYPERLINK("https://www.cortellis.com/drugdiscovery/result/proxy/related-content/biomarkers/genestargets/40698","microRNA 146a")</f>
        <v>microRNA 146a</v>
      </c>
    </row>
    <row r="1781" spans="1:11" ht="60" customHeight="1" x14ac:dyDescent="0.2">
      <c r="A1781" s="2">
        <v>1778</v>
      </c>
      <c r="B1781" s="3" t="str">
        <f t="shared" si="303"/>
        <v>microRNA 146a</v>
      </c>
      <c r="C1781" s="3" t="str">
        <f t="shared" si="304"/>
        <v>MIR146A</v>
      </c>
      <c r="D1781" s="3" t="str">
        <f t="shared" si="305"/>
        <v>hsa-mir-146a</v>
      </c>
      <c r="E1781" s="2" t="s">
        <v>72</v>
      </c>
      <c r="F1781" s="3" t="str">
        <f t="shared" si="306"/>
        <v>microRNA 146a</v>
      </c>
      <c r="G1781" s="4"/>
      <c r="H1781" s="3" t="str">
        <f>HYPERLINK("https://www.cortellis.com/drugdiscovery/entity/biomarkers/43209","15-microRNA pulmonary tuberculosis panel")</f>
        <v>15-microRNA pulmonary tuberculosis panel</v>
      </c>
      <c r="I1781" s="2" t="s">
        <v>34</v>
      </c>
      <c r="J1781" s="2" t="s">
        <v>19</v>
      </c>
      <c r="K1781" s="4" t="str">
        <f>HYPERLINK("https://www.cortellis.com/drugdiscovery/result/proxy/related-content/biomarkers/genestargets/43209","microRNA 146a; microRNA 223")</f>
        <v>microRNA 146a; microRNA 223</v>
      </c>
    </row>
    <row r="1782" spans="1:11" ht="60" customHeight="1" x14ac:dyDescent="0.2">
      <c r="A1782" s="2">
        <v>1779</v>
      </c>
      <c r="B1782" s="3" t="str">
        <f t="shared" si="303"/>
        <v>microRNA 146a</v>
      </c>
      <c r="C1782" s="3" t="str">
        <f t="shared" si="304"/>
        <v>MIR146A</v>
      </c>
      <c r="D1782" s="3" t="str">
        <f t="shared" si="305"/>
        <v>hsa-mir-146a</v>
      </c>
      <c r="E1782" s="2" t="s">
        <v>72</v>
      </c>
      <c r="F1782" s="3" t="str">
        <f t="shared" si="306"/>
        <v>microRNA 146a</v>
      </c>
      <c r="G1782" s="4"/>
      <c r="H1782" s="3" t="str">
        <f>HYPERLINK("https://www.cortellis.com/drugdiscovery/entity/biomarkers/44381","microRNA 146-5p")</f>
        <v>microRNA 146-5p</v>
      </c>
      <c r="I1782" s="2" t="s">
        <v>85</v>
      </c>
      <c r="J1782" s="2" t="s">
        <v>19</v>
      </c>
      <c r="K1782" s="4" t="str">
        <f>HYPERLINK("https://www.cortellis.com/drugdiscovery/result/proxy/related-content/biomarkers/genestargets/44381","microRNA 146a; microRNA 146b")</f>
        <v>microRNA 146a; microRNA 146b</v>
      </c>
    </row>
    <row r="1783" spans="1:11" ht="60" customHeight="1" x14ac:dyDescent="0.2">
      <c r="A1783" s="2">
        <v>1780</v>
      </c>
      <c r="B1783" s="3" t="str">
        <f t="shared" si="303"/>
        <v>microRNA 146a</v>
      </c>
      <c r="C1783" s="3" t="str">
        <f t="shared" si="304"/>
        <v>MIR146A</v>
      </c>
      <c r="D1783" s="3" t="str">
        <f t="shared" si="305"/>
        <v>hsa-mir-146a</v>
      </c>
      <c r="E1783" s="2" t="s">
        <v>72</v>
      </c>
      <c r="F1783" s="3" t="str">
        <f t="shared" si="306"/>
        <v>microRNA 146a</v>
      </c>
      <c r="G1783" s="4"/>
      <c r="H1783" s="3" t="str">
        <f>HYPERLINK("https://www.cortellis.com/drugdiscovery/entity/biomarkers/46997","6-microRNA oropharynx cancer panel")</f>
        <v>6-microRNA oropharynx cancer panel</v>
      </c>
      <c r="I1783" s="2" t="s">
        <v>25</v>
      </c>
      <c r="J1783" s="2" t="s">
        <v>19</v>
      </c>
      <c r="K1783" s="4" t="str">
        <f>HYPERLINK("https://www.cortellis.com/drugdiscovery/result/proxy/related-content/biomarkers/genestargets/46997","microRNA 146a")</f>
        <v>microRNA 146a</v>
      </c>
    </row>
    <row r="1784" spans="1:11" ht="60" customHeight="1" x14ac:dyDescent="0.2">
      <c r="A1784" s="2">
        <v>1781</v>
      </c>
      <c r="B1784" s="3" t="str">
        <f t="shared" si="303"/>
        <v>microRNA 146a</v>
      </c>
      <c r="C1784" s="3" t="str">
        <f t="shared" si="304"/>
        <v>MIR146A</v>
      </c>
      <c r="D1784" s="3" t="str">
        <f t="shared" si="305"/>
        <v>hsa-mir-146a</v>
      </c>
      <c r="E1784" s="2" t="s">
        <v>72</v>
      </c>
      <c r="F1784" s="3" t="str">
        <f t="shared" si="306"/>
        <v>microRNA 146a</v>
      </c>
      <c r="G1784" s="4"/>
      <c r="H1784" s="3" t="str">
        <f>HYPERLINK("https://www.cortellis.com/drugdiscovery/entity/biomarkers/49249","microRNA 146a-3p")</f>
        <v>microRNA 146a-3p</v>
      </c>
      <c r="I1784" s="2" t="s">
        <v>86</v>
      </c>
      <c r="J1784" s="2" t="s">
        <v>19</v>
      </c>
      <c r="K1784" s="4" t="str">
        <f>HYPERLINK("https://www.cortellis.com/drugdiscovery/result/proxy/related-content/biomarkers/genestargets/49249","microRNA 146a")</f>
        <v>microRNA 146a</v>
      </c>
    </row>
    <row r="1785" spans="1:11" ht="60" customHeight="1" x14ac:dyDescent="0.2">
      <c r="A1785" s="2">
        <v>1782</v>
      </c>
      <c r="B1785" s="3" t="str">
        <f t="shared" si="303"/>
        <v>microRNA 146a</v>
      </c>
      <c r="C1785" s="3" t="str">
        <f t="shared" si="304"/>
        <v>MIR146A</v>
      </c>
      <c r="D1785" s="3" t="str">
        <f t="shared" si="305"/>
        <v>hsa-mir-146a</v>
      </c>
      <c r="E1785" s="2" t="s">
        <v>72</v>
      </c>
      <c r="F1785" s="3" t="str">
        <f t="shared" si="306"/>
        <v>microRNA 146a</v>
      </c>
      <c r="G1785" s="4"/>
      <c r="H1785" s="3" t="str">
        <f>HYPERLINK("https://www.cortellis.com/drugdiscovery/entity/biomarkers/49743","30-microRNA pancreatic intraductal papillary mucinous cancer panel")</f>
        <v>30-microRNA pancreatic intraductal papillary mucinous cancer panel</v>
      </c>
      <c r="I1785" s="2" t="s">
        <v>23</v>
      </c>
      <c r="J1785" s="2" t="s">
        <v>19</v>
      </c>
      <c r="K1785" s="4" t="str">
        <f>HYPERLINK("https://www.cortellis.com/drugdiscovery/result/proxy/related-content/biomarkers/genestargets/49743","microRNA 146a")</f>
        <v>microRNA 146a</v>
      </c>
    </row>
    <row r="1786" spans="1:11" ht="60" customHeight="1" x14ac:dyDescent="0.2">
      <c r="A1786" s="2">
        <v>1783</v>
      </c>
      <c r="B1786" s="3" t="str">
        <f t="shared" si="303"/>
        <v>microRNA 146a</v>
      </c>
      <c r="C1786" s="3" t="str">
        <f t="shared" si="304"/>
        <v>MIR146A</v>
      </c>
      <c r="D1786" s="3" t="str">
        <f t="shared" si="305"/>
        <v>hsa-mir-146a</v>
      </c>
      <c r="E1786" s="2" t="s">
        <v>72</v>
      </c>
      <c r="F1786" s="3" t="str">
        <f t="shared" si="306"/>
        <v>microRNA 146a</v>
      </c>
      <c r="G1786" s="4"/>
      <c r="H1786" s="3" t="str">
        <f>HYPERLINK("https://www.cortellis.com/drugdiscovery/entity/biomarkers/50477","4-microRNA expression neurological disorders panel")</f>
        <v>4-microRNA expression neurological disorders panel</v>
      </c>
      <c r="I1786" s="2" t="s">
        <v>23</v>
      </c>
      <c r="J1786" s="2" t="s">
        <v>19</v>
      </c>
      <c r="K1786" s="4" t="str">
        <f>HYPERLINK("https://www.cortellis.com/drugdiscovery/result/proxy/related-content/biomarkers/genestargets/50477","microRNA 146a")</f>
        <v>microRNA 146a</v>
      </c>
    </row>
    <row r="1787" spans="1:11" ht="60" customHeight="1" x14ac:dyDescent="0.2">
      <c r="A1787" s="2">
        <v>1784</v>
      </c>
      <c r="B1787" s="3" t="str">
        <f t="shared" si="303"/>
        <v>microRNA 146a</v>
      </c>
      <c r="C1787" s="3" t="str">
        <f t="shared" si="304"/>
        <v>MIR146A</v>
      </c>
      <c r="D1787" s="3" t="str">
        <f t="shared" si="305"/>
        <v>hsa-mir-146a</v>
      </c>
      <c r="E1787" s="2" t="s">
        <v>72</v>
      </c>
      <c r="F1787" s="3" t="str">
        <f t="shared" si="306"/>
        <v>microRNA 146a</v>
      </c>
      <c r="G1787" s="4"/>
      <c r="H1787" s="3" t="str">
        <f>HYPERLINK("https://www.cortellis.com/drugdiscovery/entity/biomarkers/55839","2-microRNA seizure disorder panel")</f>
        <v>2-microRNA seizure disorder panel</v>
      </c>
      <c r="I1787" s="2" t="s">
        <v>23</v>
      </c>
      <c r="J1787" s="2" t="s">
        <v>19</v>
      </c>
      <c r="K1787" s="4" t="str">
        <f>HYPERLINK("https://www.cortellis.com/drugdiscovery/result/proxy/related-content/biomarkers/genestargets/55839","microRNA 146a")</f>
        <v>microRNA 146a</v>
      </c>
    </row>
    <row r="1788" spans="1:11" ht="60" customHeight="1" x14ac:dyDescent="0.2">
      <c r="A1788" s="2">
        <v>1785</v>
      </c>
      <c r="B1788" s="3" t="str">
        <f t="shared" si="303"/>
        <v>microRNA 146a</v>
      </c>
      <c r="C1788" s="3" t="str">
        <f t="shared" si="304"/>
        <v>MIR146A</v>
      </c>
      <c r="D1788" s="3" t="str">
        <f t="shared" si="305"/>
        <v>hsa-mir-146a</v>
      </c>
      <c r="E1788" s="2" t="s">
        <v>72</v>
      </c>
      <c r="F1788" s="3" t="str">
        <f t="shared" si="306"/>
        <v>microRNA 146a</v>
      </c>
      <c r="G1788" s="4"/>
      <c r="H1788" s="3" t="str">
        <f>HYPERLINK("https://www.cortellis.com/drugdiscovery/entity/biomarkers/57434","16-microRNA colon cancer panel")</f>
        <v>16-microRNA colon cancer panel</v>
      </c>
      <c r="I1788" s="2" t="s">
        <v>41</v>
      </c>
      <c r="J1788" s="2" t="s">
        <v>19</v>
      </c>
      <c r="K1788" s="4" t="str">
        <f>HYPERLINK("https://www.cortellis.com/drugdiscovery/result/proxy/related-content/biomarkers/genestargets/57434","microRNA 146a; microRNA 150; microRNA 223")</f>
        <v>microRNA 146a; microRNA 150; microRNA 223</v>
      </c>
    </row>
    <row r="1789" spans="1:11" ht="60" customHeight="1" x14ac:dyDescent="0.2">
      <c r="A1789" s="2">
        <v>1786</v>
      </c>
      <c r="B1789" s="3" t="str">
        <f t="shared" si="303"/>
        <v>microRNA 146a</v>
      </c>
      <c r="C1789" s="3" t="str">
        <f t="shared" si="304"/>
        <v>MIR146A</v>
      </c>
      <c r="D1789" s="3" t="str">
        <f t="shared" si="305"/>
        <v>hsa-mir-146a</v>
      </c>
      <c r="E1789" s="2" t="s">
        <v>72</v>
      </c>
      <c r="F1789" s="3" t="str">
        <f t="shared" si="306"/>
        <v>microRNA 146a</v>
      </c>
      <c r="G1789" s="4"/>
      <c r="H1789" s="3" t="str">
        <f>HYPERLINK("https://www.cortellis.com/drugdiscovery/entity/biomarkers/58959","6-microRNA ankylosing spondylitis panel")</f>
        <v>6-microRNA ankylosing spondylitis panel</v>
      </c>
      <c r="I1789" s="2" t="s">
        <v>23</v>
      </c>
      <c r="J1789" s="2" t="s">
        <v>19</v>
      </c>
      <c r="K1789" s="4" t="str">
        <f>HYPERLINK("https://www.cortellis.com/drugdiscovery/result/proxy/related-content/biomarkers/genestargets/58959","microRNA 146a; microRNA 150")</f>
        <v>microRNA 146a; microRNA 150</v>
      </c>
    </row>
    <row r="1790" spans="1:11" ht="60" customHeight="1" x14ac:dyDescent="0.2">
      <c r="A1790" s="2">
        <v>1787</v>
      </c>
      <c r="B1790" s="3" t="str">
        <f t="shared" si="303"/>
        <v>microRNA 146a</v>
      </c>
      <c r="C1790" s="3" t="str">
        <f t="shared" si="304"/>
        <v>MIR146A</v>
      </c>
      <c r="D1790" s="3" t="str">
        <f t="shared" si="305"/>
        <v>hsa-mir-146a</v>
      </c>
      <c r="E1790" s="2" t="s">
        <v>72</v>
      </c>
      <c r="F1790" s="3" t="str">
        <f t="shared" si="306"/>
        <v>microRNA 146a</v>
      </c>
      <c r="G1790" s="4"/>
      <c r="H1790" s="3" t="str">
        <f>HYPERLINK("https://www.cortellis.com/drugdiscovery/entity/biomarkers/59966","6-microRNA esophageal adenocarcinoma panel")</f>
        <v>6-microRNA esophageal adenocarcinoma panel</v>
      </c>
      <c r="I1790" s="2" t="s">
        <v>23</v>
      </c>
      <c r="J1790" s="2" t="s">
        <v>19</v>
      </c>
      <c r="K1790" s="4" t="str">
        <f>HYPERLINK("https://www.cortellis.com/drugdiscovery/result/proxy/related-content/biomarkers/genestargets/59966","microRNA 146a")</f>
        <v>microRNA 146a</v>
      </c>
    </row>
    <row r="1791" spans="1:11" ht="60" customHeight="1" x14ac:dyDescent="0.2">
      <c r="A1791" s="2">
        <v>1788</v>
      </c>
      <c r="B1791" s="3" t="str">
        <f t="shared" si="303"/>
        <v>microRNA 146a</v>
      </c>
      <c r="C1791" s="3" t="str">
        <f t="shared" si="304"/>
        <v>MIR146A</v>
      </c>
      <c r="D1791" s="3" t="str">
        <f t="shared" si="305"/>
        <v>hsa-mir-146a</v>
      </c>
      <c r="E1791" s="2" t="s">
        <v>72</v>
      </c>
      <c r="F1791" s="3" t="str">
        <f t="shared" si="306"/>
        <v>microRNA 146a</v>
      </c>
      <c r="G1791" s="4"/>
      <c r="H1791" s="3" t="str">
        <f>HYPERLINK("https://www.cortellis.com/drugdiscovery/entity/biomarkers/61500","5-microRNA pulmonary tuberculosis panel")</f>
        <v>5-microRNA pulmonary tuberculosis panel</v>
      </c>
      <c r="I1791" s="2" t="s">
        <v>23</v>
      </c>
      <c r="J1791" s="2" t="s">
        <v>19</v>
      </c>
      <c r="K1791" s="4" t="str">
        <f>HYPERLINK("https://www.cortellis.com/drugdiscovery/result/proxy/related-content/biomarkers/genestargets/61500","microRNA 146a")</f>
        <v>microRNA 146a</v>
      </c>
    </row>
    <row r="1792" spans="1:11" ht="60" customHeight="1" x14ac:dyDescent="0.2">
      <c r="A1792" s="2">
        <v>1789</v>
      </c>
      <c r="B1792" s="3" t="str">
        <f t="shared" si="303"/>
        <v>microRNA 146a</v>
      </c>
      <c r="C1792" s="3" t="str">
        <f t="shared" si="304"/>
        <v>MIR146A</v>
      </c>
      <c r="D1792" s="3" t="str">
        <f t="shared" si="305"/>
        <v>hsa-mir-146a</v>
      </c>
      <c r="E1792" s="2" t="s">
        <v>72</v>
      </c>
      <c r="F1792" s="3" t="str">
        <f t="shared" si="306"/>
        <v>microRNA 146a</v>
      </c>
      <c r="G1792" s="4"/>
      <c r="H1792" s="3" t="str">
        <f>HYPERLINK("https://www.cortellis.com/drugdiscovery/entity/biomarkers/65208","3-microRNAs colorectal cancer panel")</f>
        <v>3-microRNAs colorectal cancer panel</v>
      </c>
      <c r="I1792" s="2" t="s">
        <v>23</v>
      </c>
      <c r="J1792" s="2" t="s">
        <v>19</v>
      </c>
      <c r="K1792" s="4" t="str">
        <f>HYPERLINK("https://www.cortellis.com/drugdiscovery/result/proxy/related-content/biomarkers/genestargets/65208","microRNA 146a")</f>
        <v>microRNA 146a</v>
      </c>
    </row>
    <row r="1793" spans="1:11" ht="60" customHeight="1" x14ac:dyDescent="0.2">
      <c r="A1793" s="2">
        <v>1790</v>
      </c>
      <c r="B1793" s="3" t="str">
        <f t="shared" ref="B1793:B1814" si="307">HYPERLINK("https://portal.genego.com/cgi/entity_page.cgi?term=100&amp;id=-1413022527","microRNA 146b")</f>
        <v>microRNA 146b</v>
      </c>
      <c r="C1793" s="3" t="str">
        <f t="shared" ref="C1793:C1814" si="308">HYPERLINK("https://portal.genego.com/cgi/entity_page.cgi?term=20&amp;id=-981525121","MIR146B")</f>
        <v>MIR146B</v>
      </c>
      <c r="D1793" s="3" t="str">
        <f t="shared" ref="D1793:D1814" si="309">HYPERLINK("https://portal.genego.com/cgi/entity_page.cgi?term=7&amp;id=-1882277942","hsa-mir-146b")</f>
        <v>hsa-mir-146b</v>
      </c>
      <c r="E1793" s="2" t="s">
        <v>72</v>
      </c>
      <c r="F1793" s="3" t="str">
        <f t="shared" ref="F1793:F1814" si="310">HYPERLINK("https://portal.genego.com/cgi/entity_page.cgi?term=100&amp;id=-1413022527","microRNA 146b")</f>
        <v>microRNA 146b</v>
      </c>
      <c r="G1793" s="4"/>
      <c r="H1793" s="3" t="str">
        <f>HYPERLINK("https://www.cortellis.com/drugdiscovery/entity/biomarkers/3507","microRNA 146b")</f>
        <v>microRNA 146b</v>
      </c>
      <c r="I1793" s="2" t="s">
        <v>80</v>
      </c>
      <c r="J1793" s="2" t="s">
        <v>19</v>
      </c>
      <c r="K1793" s="4" t="str">
        <f>HYPERLINK("https://www.cortellis.com/drugdiscovery/result/proxy/related-content/biomarkers/genestargets/3507","microRNA 146b")</f>
        <v>microRNA 146b</v>
      </c>
    </row>
    <row r="1794" spans="1:11" ht="60" customHeight="1" x14ac:dyDescent="0.2">
      <c r="A1794" s="2">
        <v>1791</v>
      </c>
      <c r="B1794" s="3" t="str">
        <f t="shared" si="307"/>
        <v>microRNA 146b</v>
      </c>
      <c r="C1794" s="3" t="str">
        <f t="shared" si="308"/>
        <v>MIR146B</v>
      </c>
      <c r="D1794" s="3" t="str">
        <f t="shared" si="309"/>
        <v>hsa-mir-146b</v>
      </c>
      <c r="E1794" s="2" t="s">
        <v>72</v>
      </c>
      <c r="F1794" s="3" t="str">
        <f t="shared" si="310"/>
        <v>microRNA 146b</v>
      </c>
      <c r="G1794" s="4"/>
      <c r="H1794" s="3" t="str">
        <f>HYPERLINK("https://www.cortellis.com/drugdiscovery/entity/biomarkers/13640","microRNA146")</f>
        <v>microRNA146</v>
      </c>
      <c r="I1794" s="2" t="s">
        <v>83</v>
      </c>
      <c r="J1794" s="2" t="s">
        <v>19</v>
      </c>
      <c r="K1794" s="4" t="str">
        <f>HYPERLINK("https://www.cortellis.com/drugdiscovery/result/proxy/related-content/biomarkers/genestargets/13640","microRNA 146a; microRNA 146b")</f>
        <v>microRNA 146a; microRNA 146b</v>
      </c>
    </row>
    <row r="1795" spans="1:11" ht="60" customHeight="1" x14ac:dyDescent="0.2">
      <c r="A1795" s="2">
        <v>1792</v>
      </c>
      <c r="B1795" s="3" t="str">
        <f t="shared" si="307"/>
        <v>microRNA 146b</v>
      </c>
      <c r="C1795" s="3" t="str">
        <f t="shared" si="308"/>
        <v>MIR146B</v>
      </c>
      <c r="D1795" s="3" t="str">
        <f t="shared" si="309"/>
        <v>hsa-mir-146b</v>
      </c>
      <c r="E1795" s="2" t="s">
        <v>72</v>
      </c>
      <c r="F1795" s="3" t="str">
        <f t="shared" si="310"/>
        <v>microRNA 146b</v>
      </c>
      <c r="G1795" s="4"/>
      <c r="H1795" s="3" t="str">
        <f>HYPERLINK("https://www.cortellis.com/drugdiscovery/entity/biomarkers/20689","microRNA 146b-5p")</f>
        <v>microRNA 146b-5p</v>
      </c>
      <c r="I1795" s="2" t="s">
        <v>37</v>
      </c>
      <c r="J1795" s="2" t="s">
        <v>19</v>
      </c>
      <c r="K1795" s="4" t="str">
        <f>HYPERLINK("https://www.cortellis.com/drugdiscovery/result/proxy/related-content/biomarkers/genestargets/20689","microRNA 146b")</f>
        <v>microRNA 146b</v>
      </c>
    </row>
    <row r="1796" spans="1:11" ht="60" customHeight="1" x14ac:dyDescent="0.2">
      <c r="A1796" s="2">
        <v>1793</v>
      </c>
      <c r="B1796" s="3" t="str">
        <f t="shared" si="307"/>
        <v>microRNA 146b</v>
      </c>
      <c r="C1796" s="3" t="str">
        <f t="shared" si="308"/>
        <v>MIR146B</v>
      </c>
      <c r="D1796" s="3" t="str">
        <f t="shared" si="309"/>
        <v>hsa-mir-146b</v>
      </c>
      <c r="E1796" s="2" t="s">
        <v>72</v>
      </c>
      <c r="F1796" s="3" t="str">
        <f t="shared" si="310"/>
        <v>microRNA 146b</v>
      </c>
      <c r="G1796" s="4"/>
      <c r="H1796" s="3" t="str">
        <f>HYPERLINK("https://www.cortellis.com/drugdiscovery/entity/biomarkers/21227","microRNA 146b-3p")</f>
        <v>microRNA 146b-3p</v>
      </c>
      <c r="I1796" s="2" t="s">
        <v>87</v>
      </c>
      <c r="J1796" s="2" t="s">
        <v>19</v>
      </c>
      <c r="K1796" s="4" t="str">
        <f>HYPERLINK("https://www.cortellis.com/drugdiscovery/result/proxy/related-content/biomarkers/genestargets/21227","microRNA 146b")</f>
        <v>microRNA 146b</v>
      </c>
    </row>
    <row r="1797" spans="1:11" ht="60" customHeight="1" x14ac:dyDescent="0.2">
      <c r="A1797" s="2">
        <v>1794</v>
      </c>
      <c r="B1797" s="3" t="str">
        <f t="shared" si="307"/>
        <v>microRNA 146b</v>
      </c>
      <c r="C1797" s="3" t="str">
        <f t="shared" si="308"/>
        <v>MIR146B</v>
      </c>
      <c r="D1797" s="3" t="str">
        <f t="shared" si="309"/>
        <v>hsa-mir-146b</v>
      </c>
      <c r="E1797" s="2" t="s">
        <v>72</v>
      </c>
      <c r="F1797" s="3" t="str">
        <f t="shared" si="310"/>
        <v>microRNA 146b</v>
      </c>
      <c r="G1797" s="4"/>
      <c r="H1797" s="3" t="str">
        <f>HYPERLINK("https://www.cortellis.com/drugdiscovery/entity/biomarkers/25582","5-gene expression 3-microRNA thyroid cancer panel")</f>
        <v>5-gene expression 3-microRNA thyroid cancer panel</v>
      </c>
      <c r="I1797" s="2" t="s">
        <v>23</v>
      </c>
      <c r="J1797" s="2" t="s">
        <v>19</v>
      </c>
      <c r="K1797" s="4" t="str">
        <f>HYPERLINK("https://www.cortellis.com/drugdiscovery/result/proxy/related-content/biomarkers/genestargets/25582","microRNA 146b; microRNA 155")</f>
        <v>microRNA 146b; microRNA 155</v>
      </c>
    </row>
    <row r="1798" spans="1:11" ht="60" customHeight="1" x14ac:dyDescent="0.2">
      <c r="A1798" s="2">
        <v>1795</v>
      </c>
      <c r="B1798" s="3" t="str">
        <f t="shared" si="307"/>
        <v>microRNA 146b</v>
      </c>
      <c r="C1798" s="3" t="str">
        <f t="shared" si="308"/>
        <v>MIR146B</v>
      </c>
      <c r="D1798" s="3" t="str">
        <f t="shared" si="309"/>
        <v>hsa-mir-146b</v>
      </c>
      <c r="E1798" s="2" t="s">
        <v>72</v>
      </c>
      <c r="F1798" s="3" t="str">
        <f t="shared" si="310"/>
        <v>microRNA 146b</v>
      </c>
      <c r="G1798" s="4"/>
      <c r="H1798" s="3" t="str">
        <f>HYPERLINK("https://www.cortellis.com/drugdiscovery/entity/biomarkers/27382","20-microRNA myocardial infarction panel")</f>
        <v>20-microRNA myocardial infarction panel</v>
      </c>
      <c r="I1798" s="2" t="s">
        <v>23</v>
      </c>
      <c r="J1798" s="2" t="s">
        <v>19</v>
      </c>
      <c r="K1798" s="4" t="str">
        <f>HYPERLINK("https://www.cortellis.com/drugdiscovery/result/proxy/related-content/biomarkers/genestargets/27382","microRNA 146b")</f>
        <v>microRNA 146b</v>
      </c>
    </row>
    <row r="1799" spans="1:11" ht="60" customHeight="1" x14ac:dyDescent="0.2">
      <c r="A1799" s="2">
        <v>1796</v>
      </c>
      <c r="B1799" s="3" t="str">
        <f t="shared" si="307"/>
        <v>microRNA 146b</v>
      </c>
      <c r="C1799" s="3" t="str">
        <f t="shared" si="308"/>
        <v>MIR146B</v>
      </c>
      <c r="D1799" s="3" t="str">
        <f t="shared" si="309"/>
        <v>hsa-mir-146b</v>
      </c>
      <c r="E1799" s="2" t="s">
        <v>72</v>
      </c>
      <c r="F1799" s="3" t="str">
        <f t="shared" si="310"/>
        <v>microRNA 146b</v>
      </c>
      <c r="G1799" s="4"/>
      <c r="H1799" s="3" t="str">
        <f>HYPERLINK("https://www.cortellis.com/drugdiscovery/entity/biomarkers/27390","104-gene expression cancer panel")</f>
        <v>104-gene expression cancer panel</v>
      </c>
      <c r="I1799" s="2" t="s">
        <v>23</v>
      </c>
      <c r="J1799" s="2" t="s">
        <v>19</v>
      </c>
      <c r="K1799" s="4" t="str">
        <f>HYPERLINK("https://www.cortellis.com/drugdiscovery/result/proxy/related-content/biomarkers/genestargets/27390","microRNA 146b")</f>
        <v>microRNA 146b</v>
      </c>
    </row>
    <row r="1800" spans="1:11" ht="60" customHeight="1" x14ac:dyDescent="0.2">
      <c r="A1800" s="2">
        <v>1797</v>
      </c>
      <c r="B1800" s="3" t="str">
        <f t="shared" si="307"/>
        <v>microRNA 146b</v>
      </c>
      <c r="C1800" s="3" t="str">
        <f t="shared" si="308"/>
        <v>MIR146B</v>
      </c>
      <c r="D1800" s="3" t="str">
        <f t="shared" si="309"/>
        <v>hsa-mir-146b</v>
      </c>
      <c r="E1800" s="2" t="s">
        <v>72</v>
      </c>
      <c r="F1800" s="3" t="str">
        <f t="shared" si="310"/>
        <v>microRNA 146b</v>
      </c>
      <c r="G1800" s="4"/>
      <c r="H1800" s="3" t="str">
        <f>HYPERLINK("https://www.cortellis.com/drugdiscovery/entity/biomarkers/29536","10-microRNA glioblastoma panel")</f>
        <v>10-microRNA glioblastoma panel</v>
      </c>
      <c r="I1800" s="2" t="s">
        <v>60</v>
      </c>
      <c r="J1800" s="2" t="s">
        <v>19</v>
      </c>
      <c r="K1800" s="4" t="str">
        <f>HYPERLINK("https://www.cortellis.com/drugdiscovery/result/proxy/related-content/biomarkers/genestargets/29536","microRNA 146b")</f>
        <v>microRNA 146b</v>
      </c>
    </row>
    <row r="1801" spans="1:11" ht="60" customHeight="1" x14ac:dyDescent="0.2">
      <c r="A1801" s="2">
        <v>1798</v>
      </c>
      <c r="B1801" s="3" t="str">
        <f t="shared" si="307"/>
        <v>microRNA 146b</v>
      </c>
      <c r="C1801" s="3" t="str">
        <f t="shared" si="308"/>
        <v>MIR146B</v>
      </c>
      <c r="D1801" s="3" t="str">
        <f t="shared" si="309"/>
        <v>hsa-mir-146b</v>
      </c>
      <c r="E1801" s="2" t="s">
        <v>72</v>
      </c>
      <c r="F1801" s="3" t="str">
        <f t="shared" si="310"/>
        <v>microRNA 146b</v>
      </c>
      <c r="G1801" s="4"/>
      <c r="H1801" s="3" t="str">
        <f>HYPERLINK("https://www.cortellis.com/drugdiscovery/entity/biomarkers/30068","4-microRNA thyroid cancer panel")</f>
        <v>4-microRNA thyroid cancer panel</v>
      </c>
      <c r="I1801" s="2" t="s">
        <v>23</v>
      </c>
      <c r="J1801" s="2" t="s">
        <v>19</v>
      </c>
      <c r="K1801" s="4" t="str">
        <f>HYPERLINK("https://www.cortellis.com/drugdiscovery/result/proxy/related-content/biomarkers/genestargets/30068","microRNA 146b")</f>
        <v>microRNA 146b</v>
      </c>
    </row>
    <row r="1802" spans="1:11" ht="60" customHeight="1" x14ac:dyDescent="0.2">
      <c r="A1802" s="2">
        <v>1799</v>
      </c>
      <c r="B1802" s="3" t="str">
        <f t="shared" si="307"/>
        <v>microRNA 146b</v>
      </c>
      <c r="C1802" s="3" t="str">
        <f t="shared" si="308"/>
        <v>MIR146B</v>
      </c>
      <c r="D1802" s="3" t="str">
        <f t="shared" si="309"/>
        <v>hsa-mir-146b</v>
      </c>
      <c r="E1802" s="2" t="s">
        <v>72</v>
      </c>
      <c r="F1802" s="3" t="str">
        <f t="shared" si="310"/>
        <v>microRNA 146b</v>
      </c>
      <c r="G1802" s="4"/>
      <c r="H1802" s="3" t="str">
        <f>HYPERLINK("https://www.cortellis.com/drugdiscovery/entity/biomarkers/33023","8-microRNA lung cancer panel")</f>
        <v>8-microRNA lung cancer panel</v>
      </c>
      <c r="I1802" s="2" t="s">
        <v>23</v>
      </c>
      <c r="J1802" s="2" t="s">
        <v>19</v>
      </c>
      <c r="K1802" s="4" t="str">
        <f>HYPERLINK("https://www.cortellis.com/drugdiscovery/result/proxy/related-content/biomarkers/genestargets/33023","microRNA 146b")</f>
        <v>microRNA 146b</v>
      </c>
    </row>
    <row r="1803" spans="1:11" ht="60" customHeight="1" x14ac:dyDescent="0.2">
      <c r="A1803" s="2">
        <v>1800</v>
      </c>
      <c r="B1803" s="3" t="str">
        <f t="shared" si="307"/>
        <v>microRNA 146b</v>
      </c>
      <c r="C1803" s="3" t="str">
        <f t="shared" si="308"/>
        <v>MIR146B</v>
      </c>
      <c r="D1803" s="3" t="str">
        <f t="shared" si="309"/>
        <v>hsa-mir-146b</v>
      </c>
      <c r="E1803" s="2" t="s">
        <v>72</v>
      </c>
      <c r="F1803" s="3" t="str">
        <f t="shared" si="310"/>
        <v>microRNA 146b</v>
      </c>
      <c r="G1803" s="4"/>
      <c r="H1803" s="3" t="str">
        <f>HYPERLINK("https://www.cortellis.com/drugdiscovery/entity/biomarkers/38397","32-protein 2-biochemical psychiatric disorder panel")</f>
        <v>32-protein 2-biochemical psychiatric disorder panel</v>
      </c>
      <c r="I1803" s="2" t="s">
        <v>23</v>
      </c>
      <c r="J1803" s="2" t="s">
        <v>59</v>
      </c>
      <c r="K1803" s="4" t="str">
        <f>HYPERLINK("https://www.cortellis.com/drugdiscovery/result/proxy/related-content/biomarkers/genestargets/38397","microRNA 146b")</f>
        <v>microRNA 146b</v>
      </c>
    </row>
    <row r="1804" spans="1:11" ht="60" customHeight="1" x14ac:dyDescent="0.2">
      <c r="A1804" s="2">
        <v>1801</v>
      </c>
      <c r="B1804" s="3" t="str">
        <f t="shared" si="307"/>
        <v>microRNA 146b</v>
      </c>
      <c r="C1804" s="3" t="str">
        <f t="shared" si="308"/>
        <v>MIR146B</v>
      </c>
      <c r="D1804" s="3" t="str">
        <f t="shared" si="309"/>
        <v>hsa-mir-146b</v>
      </c>
      <c r="E1804" s="2" t="s">
        <v>72</v>
      </c>
      <c r="F1804" s="3" t="str">
        <f t="shared" si="310"/>
        <v>microRNA 146b</v>
      </c>
      <c r="G1804" s="4"/>
      <c r="H1804" s="3" t="str">
        <f>HYPERLINK("https://www.cortellis.com/drugdiscovery/entity/biomarkers/38420","3-microRNA bladder cancer panel")</f>
        <v>3-microRNA bladder cancer panel</v>
      </c>
      <c r="I1804" s="2" t="s">
        <v>25</v>
      </c>
      <c r="J1804" s="2" t="s">
        <v>19</v>
      </c>
      <c r="K1804" s="4" t="str">
        <f>HYPERLINK("https://www.cortellis.com/drugdiscovery/result/proxy/related-content/biomarkers/genestargets/38420","microRNA 146b")</f>
        <v>microRNA 146b</v>
      </c>
    </row>
    <row r="1805" spans="1:11" ht="60" customHeight="1" x14ac:dyDescent="0.2">
      <c r="A1805" s="2">
        <v>1802</v>
      </c>
      <c r="B1805" s="3" t="str">
        <f t="shared" si="307"/>
        <v>microRNA 146b</v>
      </c>
      <c r="C1805" s="3" t="str">
        <f t="shared" si="308"/>
        <v>MIR146B</v>
      </c>
      <c r="D1805" s="3" t="str">
        <f t="shared" si="309"/>
        <v>hsa-mir-146b</v>
      </c>
      <c r="E1805" s="2" t="s">
        <v>72</v>
      </c>
      <c r="F1805" s="3" t="str">
        <f t="shared" si="310"/>
        <v>microRNA 146b</v>
      </c>
      <c r="G1805" s="4"/>
      <c r="H1805" s="3" t="str">
        <f>HYPERLINK("https://www.cortellis.com/drugdiscovery/entity/biomarkers/42978","152-gene expression 2-microRNA thyroid cancer panel")</f>
        <v>152-gene expression 2-microRNA thyroid cancer panel</v>
      </c>
      <c r="I1805" s="2" t="s">
        <v>23</v>
      </c>
      <c r="J1805" s="2" t="s">
        <v>19</v>
      </c>
      <c r="K1805" s="4" t="str">
        <f>HYPERLINK("https://www.cortellis.com/drugdiscovery/result/proxy/related-content/biomarkers/genestargets/42978","microRNA 146b")</f>
        <v>microRNA 146b</v>
      </c>
    </row>
    <row r="1806" spans="1:11" ht="60" customHeight="1" x14ac:dyDescent="0.2">
      <c r="A1806" s="2">
        <v>1803</v>
      </c>
      <c r="B1806" s="3" t="str">
        <f t="shared" si="307"/>
        <v>microRNA 146b</v>
      </c>
      <c r="C1806" s="3" t="str">
        <f t="shared" si="308"/>
        <v>MIR146B</v>
      </c>
      <c r="D1806" s="3" t="str">
        <f t="shared" si="309"/>
        <v>hsa-mir-146b</v>
      </c>
      <c r="E1806" s="2" t="s">
        <v>72</v>
      </c>
      <c r="F1806" s="3" t="str">
        <f t="shared" si="310"/>
        <v>microRNA 146b</v>
      </c>
      <c r="G1806" s="4"/>
      <c r="H1806" s="3" t="str">
        <f>HYPERLINK("https://www.cortellis.com/drugdiscovery/entity/biomarkers/44381","microRNA 146-5p")</f>
        <v>microRNA 146-5p</v>
      </c>
      <c r="I1806" s="2" t="s">
        <v>85</v>
      </c>
      <c r="J1806" s="2" t="s">
        <v>19</v>
      </c>
      <c r="K1806" s="4" t="str">
        <f>HYPERLINK("https://www.cortellis.com/drugdiscovery/result/proxy/related-content/biomarkers/genestargets/44381","microRNA 146a; microRNA 146b")</f>
        <v>microRNA 146a; microRNA 146b</v>
      </c>
    </row>
    <row r="1807" spans="1:11" ht="60" customHeight="1" x14ac:dyDescent="0.2">
      <c r="A1807" s="2">
        <v>1804</v>
      </c>
      <c r="B1807" s="3" t="str">
        <f t="shared" si="307"/>
        <v>microRNA 146b</v>
      </c>
      <c r="C1807" s="3" t="str">
        <f t="shared" si="308"/>
        <v>MIR146B</v>
      </c>
      <c r="D1807" s="3" t="str">
        <f t="shared" si="309"/>
        <v>hsa-mir-146b</v>
      </c>
      <c r="E1807" s="2" t="s">
        <v>72</v>
      </c>
      <c r="F1807" s="3" t="str">
        <f t="shared" si="310"/>
        <v>microRNA 146b</v>
      </c>
      <c r="G1807" s="4"/>
      <c r="H1807" s="3" t="str">
        <f>HYPERLINK("https://www.cortellis.com/drugdiscovery/entity/biomarkers/45567","microRNA 146b-1")</f>
        <v>microRNA 146b-1</v>
      </c>
      <c r="I1807" s="2" t="s">
        <v>88</v>
      </c>
      <c r="J1807" s="2" t="s">
        <v>19</v>
      </c>
      <c r="K1807" s="4" t="str">
        <f>HYPERLINK("https://www.cortellis.com/drugdiscovery/result/proxy/related-content/biomarkers/genestargets/45567","microRNA 146b")</f>
        <v>microRNA 146b</v>
      </c>
    </row>
    <row r="1808" spans="1:11" ht="60" customHeight="1" x14ac:dyDescent="0.2">
      <c r="A1808" s="2">
        <v>1805</v>
      </c>
      <c r="B1808" s="3" t="str">
        <f t="shared" si="307"/>
        <v>microRNA 146b</v>
      </c>
      <c r="C1808" s="3" t="str">
        <f t="shared" si="308"/>
        <v>MIR146B</v>
      </c>
      <c r="D1808" s="3" t="str">
        <f t="shared" si="309"/>
        <v>hsa-mir-146b</v>
      </c>
      <c r="E1808" s="2" t="s">
        <v>72</v>
      </c>
      <c r="F1808" s="3" t="str">
        <f t="shared" si="310"/>
        <v>microRNA 146b</v>
      </c>
      <c r="G1808" s="4"/>
      <c r="H1808" s="3" t="str">
        <f>HYPERLINK("https://www.cortellis.com/drugdiscovery/entity/biomarkers/45786","3-miRNA signature")</f>
        <v>3-miRNA signature</v>
      </c>
      <c r="I1808" s="2" t="s">
        <v>18</v>
      </c>
      <c r="J1808" s="2" t="s">
        <v>19</v>
      </c>
      <c r="K1808" s="4" t="str">
        <f>HYPERLINK("https://www.cortellis.com/drugdiscovery/result/proxy/related-content/biomarkers/genestargets/45786","microRNA 146b")</f>
        <v>microRNA 146b</v>
      </c>
    </row>
    <row r="1809" spans="1:11" ht="60" customHeight="1" x14ac:dyDescent="0.2">
      <c r="A1809" s="2">
        <v>1806</v>
      </c>
      <c r="B1809" s="3" t="str">
        <f t="shared" si="307"/>
        <v>microRNA 146b</v>
      </c>
      <c r="C1809" s="3" t="str">
        <f t="shared" si="308"/>
        <v>MIR146B</v>
      </c>
      <c r="D1809" s="3" t="str">
        <f t="shared" si="309"/>
        <v>hsa-mir-146b</v>
      </c>
      <c r="E1809" s="2" t="s">
        <v>72</v>
      </c>
      <c r="F1809" s="3" t="str">
        <f t="shared" si="310"/>
        <v>microRNA 146b</v>
      </c>
      <c r="G1809" s="4"/>
      <c r="H1809" s="3" t="str">
        <f>HYPERLINK("https://www.cortellis.com/drugdiscovery/entity/biomarkers/50406","22-microRNA expression clear cell renal cell cancer panel")</f>
        <v>22-microRNA expression clear cell renal cell cancer panel</v>
      </c>
      <c r="I1809" s="2" t="s">
        <v>66</v>
      </c>
      <c r="J1809" s="2" t="s">
        <v>19</v>
      </c>
      <c r="K1809" s="4" t="str">
        <f>HYPERLINK("https://www.cortellis.com/drugdiscovery/result/proxy/related-content/biomarkers/genestargets/50406","microRNA 146b; microRNA 223")</f>
        <v>microRNA 146b; microRNA 223</v>
      </c>
    </row>
    <row r="1810" spans="1:11" ht="60" customHeight="1" x14ac:dyDescent="0.2">
      <c r="A1810" s="2">
        <v>1807</v>
      </c>
      <c r="B1810" s="3" t="str">
        <f t="shared" si="307"/>
        <v>microRNA 146b</v>
      </c>
      <c r="C1810" s="3" t="str">
        <f t="shared" si="308"/>
        <v>MIR146B</v>
      </c>
      <c r="D1810" s="3" t="str">
        <f t="shared" si="309"/>
        <v>hsa-mir-146b</v>
      </c>
      <c r="E1810" s="2" t="s">
        <v>72</v>
      </c>
      <c r="F1810" s="3" t="str">
        <f t="shared" si="310"/>
        <v>microRNA 146b</v>
      </c>
      <c r="G1810" s="4"/>
      <c r="H1810" s="3" t="str">
        <f>HYPERLINK("https://www.cortellis.com/drugdiscovery/entity/biomarkers/53082","4-microRNA expression neurological disorders panel")</f>
        <v>4-microRNA expression neurological disorders panel</v>
      </c>
      <c r="I1810" s="2" t="s">
        <v>23</v>
      </c>
      <c r="J1810" s="2" t="s">
        <v>19</v>
      </c>
      <c r="K1810" s="4" t="str">
        <f>HYPERLINK("https://www.cortellis.com/drugdiscovery/result/proxy/related-content/biomarkers/genestargets/53082","microRNA 146b; microRNA 214")</f>
        <v>microRNA 146b; microRNA 214</v>
      </c>
    </row>
    <row r="1811" spans="1:11" ht="60" customHeight="1" x14ac:dyDescent="0.2">
      <c r="A1811" s="2">
        <v>1808</v>
      </c>
      <c r="B1811" s="3" t="str">
        <f t="shared" si="307"/>
        <v>microRNA 146b</v>
      </c>
      <c r="C1811" s="3" t="str">
        <f t="shared" si="308"/>
        <v>MIR146B</v>
      </c>
      <c r="D1811" s="3" t="str">
        <f t="shared" si="309"/>
        <v>hsa-mir-146b</v>
      </c>
      <c r="E1811" s="2" t="s">
        <v>72</v>
      </c>
      <c r="F1811" s="3" t="str">
        <f t="shared" si="310"/>
        <v>microRNA 146b</v>
      </c>
      <c r="G1811" s="4"/>
      <c r="H1811" s="3" t="str">
        <f>HYPERLINK("https://www.cortellis.com/drugdiscovery/entity/biomarkers/59998","3-microRNA asthma exacerbation panel")</f>
        <v>3-microRNA asthma exacerbation panel</v>
      </c>
      <c r="I1811" s="2" t="s">
        <v>29</v>
      </c>
      <c r="J1811" s="2" t="s">
        <v>19</v>
      </c>
      <c r="K1811" s="4" t="str">
        <f>HYPERLINK("https://www.cortellis.com/drugdiscovery/result/proxy/related-content/biomarkers/genestargets/59998","microRNA 146b")</f>
        <v>microRNA 146b</v>
      </c>
    </row>
    <row r="1812" spans="1:11" ht="60" customHeight="1" x14ac:dyDescent="0.2">
      <c r="A1812" s="2">
        <v>1809</v>
      </c>
      <c r="B1812" s="3" t="str">
        <f t="shared" si="307"/>
        <v>microRNA 146b</v>
      </c>
      <c r="C1812" s="3" t="str">
        <f t="shared" si="308"/>
        <v>MIR146B</v>
      </c>
      <c r="D1812" s="3" t="str">
        <f t="shared" si="309"/>
        <v>hsa-mir-146b</v>
      </c>
      <c r="E1812" s="2" t="s">
        <v>72</v>
      </c>
      <c r="F1812" s="3" t="str">
        <f t="shared" si="310"/>
        <v>microRNA 146b</v>
      </c>
      <c r="G1812" s="4"/>
      <c r="H1812" s="3" t="str">
        <f>HYPERLINK("https://www.cortellis.com/drugdiscovery/entity/biomarkers/60253","5-microRNA glioblastoma panel")</f>
        <v>5-microRNA glioblastoma panel</v>
      </c>
      <c r="I1812" s="2" t="s">
        <v>23</v>
      </c>
      <c r="J1812" s="2" t="s">
        <v>19</v>
      </c>
      <c r="K1812" s="4" t="str">
        <f>HYPERLINK("https://www.cortellis.com/drugdiscovery/result/proxy/related-content/biomarkers/genestargets/60253","microRNA 146b")</f>
        <v>microRNA 146b</v>
      </c>
    </row>
    <row r="1813" spans="1:11" ht="60" customHeight="1" x14ac:dyDescent="0.2">
      <c r="A1813" s="2">
        <v>1810</v>
      </c>
      <c r="B1813" s="3" t="str">
        <f t="shared" si="307"/>
        <v>microRNA 146b</v>
      </c>
      <c r="C1813" s="3" t="str">
        <f t="shared" si="308"/>
        <v>MIR146B</v>
      </c>
      <c r="D1813" s="3" t="str">
        <f t="shared" si="309"/>
        <v>hsa-mir-146b</v>
      </c>
      <c r="E1813" s="2" t="s">
        <v>72</v>
      </c>
      <c r="F1813" s="3" t="str">
        <f t="shared" si="310"/>
        <v>microRNA 146b</v>
      </c>
      <c r="G1813" s="4"/>
      <c r="H1813" s="3" t="str">
        <f>HYPERLINK("https://www.cortellis.com/drugdiscovery/entity/biomarkers/60422","18-microRNA thyroid cancer panel")</f>
        <v>18-microRNA thyroid cancer panel</v>
      </c>
      <c r="I1813" s="2" t="s">
        <v>23</v>
      </c>
      <c r="J1813" s="2" t="s">
        <v>19</v>
      </c>
      <c r="K1813" s="4" t="str">
        <f>HYPERLINK("https://www.cortellis.com/drugdiscovery/result/proxy/related-content/biomarkers/genestargets/60422","microRNA 146b")</f>
        <v>microRNA 146b</v>
      </c>
    </row>
    <row r="1814" spans="1:11" ht="60" customHeight="1" x14ac:dyDescent="0.2">
      <c r="A1814" s="2">
        <v>1811</v>
      </c>
      <c r="B1814" s="3" t="str">
        <f t="shared" si="307"/>
        <v>microRNA 146b</v>
      </c>
      <c r="C1814" s="3" t="str">
        <f t="shared" si="308"/>
        <v>MIR146B</v>
      </c>
      <c r="D1814" s="3" t="str">
        <f t="shared" si="309"/>
        <v>hsa-mir-146b</v>
      </c>
      <c r="E1814" s="2" t="s">
        <v>72</v>
      </c>
      <c r="F1814" s="3" t="str">
        <f t="shared" si="310"/>
        <v>microRNA 146b</v>
      </c>
      <c r="G1814" s="4"/>
      <c r="H1814" s="3" t="str">
        <f>HYPERLINK("https://www.cortellis.com/drugdiscovery/entity/biomarkers/64114","10-gene expression thyroid cancer panel")</f>
        <v>10-gene expression thyroid cancer panel</v>
      </c>
      <c r="I1814" s="2" t="s">
        <v>25</v>
      </c>
      <c r="J1814" s="2" t="s">
        <v>19</v>
      </c>
      <c r="K1814" s="4" t="str">
        <f>HYPERLINK("https://www.cortellis.com/drugdiscovery/result/proxy/related-content/biomarkers/genestargets/64114","microRNA 146b; microRNA 155")</f>
        <v>microRNA 146b; microRNA 155</v>
      </c>
    </row>
    <row r="1815" spans="1:11" ht="60" customHeight="1" x14ac:dyDescent="0.2">
      <c r="A1815" s="2">
        <v>1812</v>
      </c>
      <c r="B1815" s="3" t="str">
        <f t="shared" ref="B1815:B1835" si="311">HYPERLINK("https://portal.genego.com/cgi/entity_page.cgi?term=100&amp;id=-80619081","microRNA 150")</f>
        <v>microRNA 150</v>
      </c>
      <c r="C1815" s="3" t="str">
        <f t="shared" ref="C1815:C1835" si="312">HYPERLINK("https://portal.genego.com/cgi/entity_page.cgi?term=20&amp;id=-181152347","MIR150")</f>
        <v>MIR150</v>
      </c>
      <c r="D1815" s="3" t="str">
        <f t="shared" ref="D1815:D1835" si="313">HYPERLINK("https://portal.genego.com/cgi/entity_page.cgi?term=7&amp;id=-436871140","hsa-mir-150")</f>
        <v>hsa-mir-150</v>
      </c>
      <c r="E1815" s="2" t="s">
        <v>72</v>
      </c>
      <c r="F1815" s="3" t="str">
        <f t="shared" ref="F1815:F1835" si="314">HYPERLINK("https://portal.genego.com/cgi/entity_page.cgi?term=100&amp;id=-80619081","microRNA 150")</f>
        <v>microRNA 150</v>
      </c>
      <c r="G1815" s="4"/>
      <c r="H1815" s="3" t="str">
        <f>HYPERLINK("https://www.cortellis.com/drugdiscovery/entity/biomarkers/3184","microRNA 150")</f>
        <v>microRNA 150</v>
      </c>
      <c r="I1815" s="2" t="s">
        <v>43</v>
      </c>
      <c r="J1815" s="2" t="s">
        <v>19</v>
      </c>
      <c r="K1815" s="4" t="str">
        <f>HYPERLINK("https://www.cortellis.com/drugdiscovery/result/proxy/related-content/biomarkers/genestargets/3184","microRNA 150")</f>
        <v>microRNA 150</v>
      </c>
    </row>
    <row r="1816" spans="1:11" ht="60" customHeight="1" x14ac:dyDescent="0.2">
      <c r="A1816" s="2">
        <v>1813</v>
      </c>
      <c r="B1816" s="3" t="str">
        <f t="shared" si="311"/>
        <v>microRNA 150</v>
      </c>
      <c r="C1816" s="3" t="str">
        <f t="shared" si="312"/>
        <v>MIR150</v>
      </c>
      <c r="D1816" s="3" t="str">
        <f t="shared" si="313"/>
        <v>hsa-mir-150</v>
      </c>
      <c r="E1816" s="2" t="s">
        <v>72</v>
      </c>
      <c r="F1816" s="3" t="str">
        <f t="shared" si="314"/>
        <v>microRNA 150</v>
      </c>
      <c r="G1816" s="4"/>
      <c r="H1816" s="3" t="str">
        <f>HYPERLINK("https://www.cortellis.com/drugdiscovery/entity/biomarkers/27395","13-microRNA liver cancer panel")</f>
        <v>13-microRNA liver cancer panel</v>
      </c>
      <c r="I1816" s="2" t="s">
        <v>52</v>
      </c>
      <c r="J1816" s="2" t="s">
        <v>19</v>
      </c>
      <c r="K1816" s="4" t="str">
        <f>HYPERLINK("https://www.cortellis.com/drugdiscovery/result/proxy/related-content/biomarkers/genestargets/27395","microRNA 150; microRNA 223")</f>
        <v>microRNA 150; microRNA 223</v>
      </c>
    </row>
    <row r="1817" spans="1:11" ht="60" customHeight="1" x14ac:dyDescent="0.2">
      <c r="A1817" s="2">
        <v>1814</v>
      </c>
      <c r="B1817" s="3" t="str">
        <f t="shared" si="311"/>
        <v>microRNA 150</v>
      </c>
      <c r="C1817" s="3" t="str">
        <f t="shared" si="312"/>
        <v>MIR150</v>
      </c>
      <c r="D1817" s="3" t="str">
        <f t="shared" si="313"/>
        <v>hsa-mir-150</v>
      </c>
      <c r="E1817" s="2" t="s">
        <v>72</v>
      </c>
      <c r="F1817" s="3" t="str">
        <f t="shared" si="314"/>
        <v>microRNA 150</v>
      </c>
      <c r="G1817" s="4"/>
      <c r="H1817" s="3" t="str">
        <f>HYPERLINK("https://www.cortellis.com/drugdiscovery/entity/biomarkers/28051","15-microRNA neuroblastoma panel")</f>
        <v>15-microRNA neuroblastoma panel</v>
      </c>
      <c r="I1817" s="2" t="s">
        <v>25</v>
      </c>
      <c r="J1817" s="2" t="s">
        <v>19</v>
      </c>
      <c r="K1817" s="4" t="str">
        <f>HYPERLINK("https://www.cortellis.com/drugdiscovery/result/proxy/related-content/biomarkers/genestargets/28051","microRNA 150")</f>
        <v>microRNA 150</v>
      </c>
    </row>
    <row r="1818" spans="1:11" ht="60" customHeight="1" x14ac:dyDescent="0.2">
      <c r="A1818" s="2">
        <v>1815</v>
      </c>
      <c r="B1818" s="3" t="str">
        <f t="shared" si="311"/>
        <v>microRNA 150</v>
      </c>
      <c r="C1818" s="3" t="str">
        <f t="shared" si="312"/>
        <v>MIR150</v>
      </c>
      <c r="D1818" s="3" t="str">
        <f t="shared" si="313"/>
        <v>hsa-mir-150</v>
      </c>
      <c r="E1818" s="2" t="s">
        <v>72</v>
      </c>
      <c r="F1818" s="3" t="str">
        <f t="shared" si="314"/>
        <v>microRNA 150</v>
      </c>
      <c r="G1818" s="4"/>
      <c r="H1818" s="3" t="str">
        <f>HYPERLINK("https://www.cortellis.com/drugdiscovery/entity/biomarkers/28064","6-microRNA melanoma panel")</f>
        <v>6-microRNA melanoma panel</v>
      </c>
      <c r="I1818" s="2" t="s">
        <v>25</v>
      </c>
      <c r="J1818" s="2" t="s">
        <v>19</v>
      </c>
      <c r="K1818" s="4" t="str">
        <f>HYPERLINK("https://www.cortellis.com/drugdiscovery/result/proxy/related-content/biomarkers/genestargets/28064","microRNA 150; microRNA 155")</f>
        <v>microRNA 150; microRNA 155</v>
      </c>
    </row>
    <row r="1819" spans="1:11" ht="60" customHeight="1" x14ac:dyDescent="0.2">
      <c r="A1819" s="2">
        <v>1816</v>
      </c>
      <c r="B1819" s="3" t="str">
        <f t="shared" si="311"/>
        <v>microRNA 150</v>
      </c>
      <c r="C1819" s="3" t="str">
        <f t="shared" si="312"/>
        <v>MIR150</v>
      </c>
      <c r="D1819" s="3" t="str">
        <f t="shared" si="313"/>
        <v>hsa-mir-150</v>
      </c>
      <c r="E1819" s="2" t="s">
        <v>72</v>
      </c>
      <c r="F1819" s="3" t="str">
        <f t="shared" si="314"/>
        <v>microRNA 150</v>
      </c>
      <c r="G1819" s="4"/>
      <c r="H1819" s="3" t="str">
        <f>HYPERLINK("https://www.cortellis.com/drugdiscovery/entity/biomarkers/31074","24-microRNA melanoma panel")</f>
        <v>24-microRNA melanoma panel</v>
      </c>
      <c r="I1819" s="2" t="s">
        <v>27</v>
      </c>
      <c r="J1819" s="2" t="s">
        <v>19</v>
      </c>
      <c r="K1819" s="4" t="str">
        <f>HYPERLINK("https://www.cortellis.com/drugdiscovery/result/proxy/related-content/biomarkers/genestargets/31074","microRNA 150; microRNA 155")</f>
        <v>microRNA 150; microRNA 155</v>
      </c>
    </row>
    <row r="1820" spans="1:11" ht="60" customHeight="1" x14ac:dyDescent="0.2">
      <c r="A1820" s="2">
        <v>1817</v>
      </c>
      <c r="B1820" s="3" t="str">
        <f t="shared" si="311"/>
        <v>microRNA 150</v>
      </c>
      <c r="C1820" s="3" t="str">
        <f t="shared" si="312"/>
        <v>MIR150</v>
      </c>
      <c r="D1820" s="3" t="str">
        <f t="shared" si="313"/>
        <v>hsa-mir-150</v>
      </c>
      <c r="E1820" s="2" t="s">
        <v>72</v>
      </c>
      <c r="F1820" s="3" t="str">
        <f t="shared" si="314"/>
        <v>microRNA 150</v>
      </c>
      <c r="G1820" s="4"/>
      <c r="H1820" s="3" t="str">
        <f>HYPERLINK("https://www.cortellis.com/drugdiscovery/entity/biomarkers/31077","31-microRNA melanoma panel")</f>
        <v>31-microRNA melanoma panel</v>
      </c>
      <c r="I1820" s="2" t="s">
        <v>18</v>
      </c>
      <c r="J1820" s="2" t="s">
        <v>19</v>
      </c>
      <c r="K1820" s="4" t="str">
        <f>HYPERLINK("https://www.cortellis.com/drugdiscovery/result/proxy/related-content/biomarkers/genestargets/31077","microRNA 150")</f>
        <v>microRNA 150</v>
      </c>
    </row>
    <row r="1821" spans="1:11" ht="60" customHeight="1" x14ac:dyDescent="0.2">
      <c r="A1821" s="2">
        <v>1818</v>
      </c>
      <c r="B1821" s="3" t="str">
        <f t="shared" si="311"/>
        <v>microRNA 150</v>
      </c>
      <c r="C1821" s="3" t="str">
        <f t="shared" si="312"/>
        <v>MIR150</v>
      </c>
      <c r="D1821" s="3" t="str">
        <f t="shared" si="313"/>
        <v>hsa-mir-150</v>
      </c>
      <c r="E1821" s="2" t="s">
        <v>72</v>
      </c>
      <c r="F1821" s="3" t="str">
        <f t="shared" si="314"/>
        <v>microRNA 150</v>
      </c>
      <c r="G1821" s="4"/>
      <c r="H1821" s="3" t="str">
        <f>HYPERLINK("https://www.cortellis.com/drugdiscovery/entity/biomarkers/40224","8-microRNA breast cancer panel")</f>
        <v>8-microRNA breast cancer panel</v>
      </c>
      <c r="I1821" s="2" t="s">
        <v>18</v>
      </c>
      <c r="J1821" s="2" t="s">
        <v>19</v>
      </c>
      <c r="K1821" s="4" t="str">
        <f>HYPERLINK("https://www.cortellis.com/drugdiscovery/result/proxy/related-content/biomarkers/genestargets/40224","microRNA 150")</f>
        <v>microRNA 150</v>
      </c>
    </row>
    <row r="1822" spans="1:11" ht="60" customHeight="1" x14ac:dyDescent="0.2">
      <c r="A1822" s="2">
        <v>1819</v>
      </c>
      <c r="B1822" s="3" t="str">
        <f t="shared" si="311"/>
        <v>microRNA 150</v>
      </c>
      <c r="C1822" s="3" t="str">
        <f t="shared" si="312"/>
        <v>MIR150</v>
      </c>
      <c r="D1822" s="3" t="str">
        <f t="shared" si="313"/>
        <v>hsa-mir-150</v>
      </c>
      <c r="E1822" s="2" t="s">
        <v>72</v>
      </c>
      <c r="F1822" s="3" t="str">
        <f t="shared" si="314"/>
        <v>microRNA 150</v>
      </c>
      <c r="G1822" s="4"/>
      <c r="H1822" s="3" t="str">
        <f>HYPERLINK("https://www.cortellis.com/drugdiscovery/entity/biomarkers/41022","microRNA 150-5p")</f>
        <v>microRNA 150-5p</v>
      </c>
      <c r="I1822" s="2" t="s">
        <v>80</v>
      </c>
      <c r="J1822" s="2" t="s">
        <v>19</v>
      </c>
      <c r="K1822" s="4" t="str">
        <f>HYPERLINK("https://www.cortellis.com/drugdiscovery/result/proxy/related-content/biomarkers/genestargets/41022","microRNA 150")</f>
        <v>microRNA 150</v>
      </c>
    </row>
    <row r="1823" spans="1:11" ht="60" customHeight="1" x14ac:dyDescent="0.2">
      <c r="A1823" s="2">
        <v>1820</v>
      </c>
      <c r="B1823" s="3" t="str">
        <f t="shared" si="311"/>
        <v>microRNA 150</v>
      </c>
      <c r="C1823" s="3" t="str">
        <f t="shared" si="312"/>
        <v>MIR150</v>
      </c>
      <c r="D1823" s="3" t="str">
        <f t="shared" si="313"/>
        <v>hsa-mir-150</v>
      </c>
      <c r="E1823" s="2" t="s">
        <v>72</v>
      </c>
      <c r="F1823" s="3" t="str">
        <f t="shared" si="314"/>
        <v>microRNA 150</v>
      </c>
      <c r="G1823" s="4"/>
      <c r="H1823" s="3" t="str">
        <f>HYPERLINK("https://www.cortellis.com/drugdiscovery/entity/biomarkers/42275","microRNA 150-3p")</f>
        <v>microRNA 150-3p</v>
      </c>
      <c r="I1823" s="2" t="s">
        <v>80</v>
      </c>
      <c r="J1823" s="2" t="s">
        <v>19</v>
      </c>
      <c r="K1823" s="4" t="str">
        <f>HYPERLINK("https://www.cortellis.com/drugdiscovery/result/proxy/related-content/biomarkers/genestargets/42275","microRNA 150")</f>
        <v>microRNA 150</v>
      </c>
    </row>
    <row r="1824" spans="1:11" ht="60" customHeight="1" x14ac:dyDescent="0.2">
      <c r="A1824" s="2">
        <v>1821</v>
      </c>
      <c r="B1824" s="3" t="str">
        <f t="shared" si="311"/>
        <v>microRNA 150</v>
      </c>
      <c r="C1824" s="3" t="str">
        <f t="shared" si="312"/>
        <v>MIR150</v>
      </c>
      <c r="D1824" s="3" t="str">
        <f t="shared" si="313"/>
        <v>hsa-mir-150</v>
      </c>
      <c r="E1824" s="2" t="s">
        <v>72</v>
      </c>
      <c r="F1824" s="3" t="str">
        <f t="shared" si="314"/>
        <v>microRNA 150</v>
      </c>
      <c r="G1824" s="4"/>
      <c r="H1824" s="3" t="str">
        <f>HYPERLINK("https://www.cortellis.com/drugdiscovery/entity/biomarkers/42746","4-microRNA cardiovascular panel")</f>
        <v>4-microRNA cardiovascular panel</v>
      </c>
      <c r="I1824" s="2" t="s">
        <v>25</v>
      </c>
      <c r="J1824" s="2" t="s">
        <v>19</v>
      </c>
      <c r="K1824" s="4" t="str">
        <f>HYPERLINK("https://www.cortellis.com/drugdiscovery/result/proxy/related-content/biomarkers/genestargets/42746","microRNA 150")</f>
        <v>microRNA 150</v>
      </c>
    </row>
    <row r="1825" spans="1:11" ht="60" customHeight="1" x14ac:dyDescent="0.2">
      <c r="A1825" s="2">
        <v>1822</v>
      </c>
      <c r="B1825" s="3" t="str">
        <f t="shared" si="311"/>
        <v>microRNA 150</v>
      </c>
      <c r="C1825" s="3" t="str">
        <f t="shared" si="312"/>
        <v>MIR150</v>
      </c>
      <c r="D1825" s="3" t="str">
        <f t="shared" si="313"/>
        <v>hsa-mir-150</v>
      </c>
      <c r="E1825" s="2" t="s">
        <v>72</v>
      </c>
      <c r="F1825" s="3" t="str">
        <f t="shared" si="314"/>
        <v>microRNA 150</v>
      </c>
      <c r="G1825" s="4"/>
      <c r="H1825" s="3" t="str">
        <f>HYPERLINK("https://www.cortellis.com/drugdiscovery/entity/biomarkers/42966","2-gene expression small cell lung cancer panel")</f>
        <v>2-gene expression small cell lung cancer panel</v>
      </c>
      <c r="I1825" s="2" t="s">
        <v>18</v>
      </c>
      <c r="J1825" s="2" t="s">
        <v>19</v>
      </c>
      <c r="K1825" s="4" t="str">
        <f>HYPERLINK("https://www.cortellis.com/drugdiscovery/result/proxy/related-content/biomarkers/genestargets/42966","microRNA 150")</f>
        <v>microRNA 150</v>
      </c>
    </row>
    <row r="1826" spans="1:11" ht="60" customHeight="1" x14ac:dyDescent="0.2">
      <c r="A1826" s="2">
        <v>1823</v>
      </c>
      <c r="B1826" s="3" t="str">
        <f t="shared" si="311"/>
        <v>microRNA 150</v>
      </c>
      <c r="C1826" s="3" t="str">
        <f t="shared" si="312"/>
        <v>MIR150</v>
      </c>
      <c r="D1826" s="3" t="str">
        <f t="shared" si="313"/>
        <v>hsa-mir-150</v>
      </c>
      <c r="E1826" s="2" t="s">
        <v>72</v>
      </c>
      <c r="F1826" s="3" t="str">
        <f t="shared" si="314"/>
        <v>microRNA 150</v>
      </c>
      <c r="G1826" s="4"/>
      <c r="H1826" s="3" t="str">
        <f>HYPERLINK("https://www.cortellis.com/drugdiscovery/entity/biomarkers/44455","2-microRNA lung cancer panel")</f>
        <v>2-microRNA lung cancer panel</v>
      </c>
      <c r="I1826" s="2" t="s">
        <v>18</v>
      </c>
      <c r="J1826" s="2" t="s">
        <v>19</v>
      </c>
      <c r="K1826" s="4" t="str">
        <f>HYPERLINK("https://www.cortellis.com/drugdiscovery/result/proxy/related-content/biomarkers/genestargets/44455","microRNA 150")</f>
        <v>microRNA 150</v>
      </c>
    </row>
    <row r="1827" spans="1:11" ht="60" customHeight="1" x14ac:dyDescent="0.2">
      <c r="A1827" s="2">
        <v>1824</v>
      </c>
      <c r="B1827" s="3" t="str">
        <f t="shared" si="311"/>
        <v>microRNA 150</v>
      </c>
      <c r="C1827" s="3" t="str">
        <f t="shared" si="312"/>
        <v>MIR150</v>
      </c>
      <c r="D1827" s="3" t="str">
        <f t="shared" si="313"/>
        <v>hsa-mir-150</v>
      </c>
      <c r="E1827" s="2" t="s">
        <v>72</v>
      </c>
      <c r="F1827" s="3" t="str">
        <f t="shared" si="314"/>
        <v>microRNA 150</v>
      </c>
      <c r="G1827" s="4"/>
      <c r="H1827" s="3" t="str">
        <f>HYPERLINK("https://www.cortellis.com/drugdiscovery/entity/biomarkers/45453","4-microRNA expression esophageal cancer panel")</f>
        <v>4-microRNA expression esophageal cancer panel</v>
      </c>
      <c r="I1827" s="2" t="s">
        <v>25</v>
      </c>
      <c r="J1827" s="2" t="s">
        <v>19</v>
      </c>
      <c r="K1827" s="4" t="str">
        <f>HYPERLINK("https://www.cortellis.com/drugdiscovery/result/proxy/related-content/biomarkers/genestargets/45453","microRNA 150")</f>
        <v>microRNA 150</v>
      </c>
    </row>
    <row r="1828" spans="1:11" ht="60" customHeight="1" x14ac:dyDescent="0.2">
      <c r="A1828" s="2">
        <v>1825</v>
      </c>
      <c r="B1828" s="3" t="str">
        <f t="shared" si="311"/>
        <v>microRNA 150</v>
      </c>
      <c r="C1828" s="3" t="str">
        <f t="shared" si="312"/>
        <v>MIR150</v>
      </c>
      <c r="D1828" s="3" t="str">
        <f t="shared" si="313"/>
        <v>hsa-mir-150</v>
      </c>
      <c r="E1828" s="2" t="s">
        <v>72</v>
      </c>
      <c r="F1828" s="3" t="str">
        <f t="shared" si="314"/>
        <v>microRNA 150</v>
      </c>
      <c r="G1828" s="4"/>
      <c r="H1828" s="3" t="str">
        <f>HYPERLINK("https://www.cortellis.com/drugdiscovery/entity/biomarkers/45566","microRNA 150-1")</f>
        <v>microRNA 150-1</v>
      </c>
      <c r="I1828" s="2" t="s">
        <v>85</v>
      </c>
      <c r="J1828" s="2" t="s">
        <v>19</v>
      </c>
      <c r="K1828" s="4" t="str">
        <f>HYPERLINK("https://www.cortellis.com/drugdiscovery/result/proxy/related-content/biomarkers/genestargets/45566","microRNA 150")</f>
        <v>microRNA 150</v>
      </c>
    </row>
    <row r="1829" spans="1:11" ht="60" customHeight="1" x14ac:dyDescent="0.2">
      <c r="A1829" s="2">
        <v>1826</v>
      </c>
      <c r="B1829" s="3" t="str">
        <f t="shared" si="311"/>
        <v>microRNA 150</v>
      </c>
      <c r="C1829" s="3" t="str">
        <f t="shared" si="312"/>
        <v>MIR150</v>
      </c>
      <c r="D1829" s="3" t="str">
        <f t="shared" si="313"/>
        <v>hsa-mir-150</v>
      </c>
      <c r="E1829" s="2" t="s">
        <v>72</v>
      </c>
      <c r="F1829" s="3" t="str">
        <f t="shared" si="314"/>
        <v>microRNA 150</v>
      </c>
      <c r="G1829" s="4"/>
      <c r="H1829" s="3" t="str">
        <f>HYPERLINK("https://www.cortellis.com/drugdiscovery/entity/biomarkers/47469","4-microRNA melanoma panel")</f>
        <v>4-microRNA melanoma panel</v>
      </c>
      <c r="I1829" s="2" t="s">
        <v>60</v>
      </c>
      <c r="J1829" s="2" t="s">
        <v>19</v>
      </c>
      <c r="K1829" s="4" t="str">
        <f>HYPERLINK("https://www.cortellis.com/drugdiscovery/result/proxy/related-content/biomarkers/genestargets/47469","microRNA 150")</f>
        <v>microRNA 150</v>
      </c>
    </row>
    <row r="1830" spans="1:11" ht="60" customHeight="1" x14ac:dyDescent="0.2">
      <c r="A1830" s="2">
        <v>1827</v>
      </c>
      <c r="B1830" s="3" t="str">
        <f t="shared" si="311"/>
        <v>microRNA 150</v>
      </c>
      <c r="C1830" s="3" t="str">
        <f t="shared" si="312"/>
        <v>MIR150</v>
      </c>
      <c r="D1830" s="3" t="str">
        <f t="shared" si="313"/>
        <v>hsa-mir-150</v>
      </c>
      <c r="E1830" s="2" t="s">
        <v>72</v>
      </c>
      <c r="F1830" s="3" t="str">
        <f t="shared" si="314"/>
        <v>microRNA 150</v>
      </c>
      <c r="G1830" s="4"/>
      <c r="H1830" s="3" t="str">
        <f>HYPERLINK("https://www.cortellis.com/drugdiscovery/entity/biomarkers/50455","6-microRNA expression chronic lymphocytic leukemia panel")</f>
        <v>6-microRNA expression chronic lymphocytic leukemia panel</v>
      </c>
      <c r="I1830" s="2" t="s">
        <v>23</v>
      </c>
      <c r="J1830" s="2" t="s">
        <v>19</v>
      </c>
      <c r="K1830" s="4" t="str">
        <f>HYPERLINK("https://www.cortellis.com/drugdiscovery/result/proxy/related-content/biomarkers/genestargets/50455","microRNA 150; microRNA 155; microRNA 223")</f>
        <v>microRNA 150; microRNA 155; microRNA 223</v>
      </c>
    </row>
    <row r="1831" spans="1:11" ht="60" customHeight="1" x14ac:dyDescent="0.2">
      <c r="A1831" s="2">
        <v>1828</v>
      </c>
      <c r="B1831" s="3" t="str">
        <f t="shared" si="311"/>
        <v>microRNA 150</v>
      </c>
      <c r="C1831" s="3" t="str">
        <f t="shared" si="312"/>
        <v>MIR150</v>
      </c>
      <c r="D1831" s="3" t="str">
        <f t="shared" si="313"/>
        <v>hsa-mir-150</v>
      </c>
      <c r="E1831" s="2" t="s">
        <v>72</v>
      </c>
      <c r="F1831" s="3" t="str">
        <f t="shared" si="314"/>
        <v>microRNA 150</v>
      </c>
      <c r="G1831" s="4"/>
      <c r="H1831" s="3" t="str">
        <f>HYPERLINK("https://www.cortellis.com/drugdiscovery/entity/biomarkers/57392","4-microRNA brain cancer panel")</f>
        <v>4-microRNA brain cancer panel</v>
      </c>
      <c r="I1831" s="2" t="s">
        <v>25</v>
      </c>
      <c r="J1831" s="2" t="s">
        <v>19</v>
      </c>
      <c r="K1831" s="4" t="str">
        <f>HYPERLINK("https://www.cortellis.com/drugdiscovery/result/proxy/related-content/biomarkers/genestargets/57392","microRNA 150")</f>
        <v>microRNA 150</v>
      </c>
    </row>
    <row r="1832" spans="1:11" ht="60" customHeight="1" x14ac:dyDescent="0.2">
      <c r="A1832" s="2">
        <v>1829</v>
      </c>
      <c r="B1832" s="3" t="str">
        <f t="shared" si="311"/>
        <v>microRNA 150</v>
      </c>
      <c r="C1832" s="3" t="str">
        <f t="shared" si="312"/>
        <v>MIR150</v>
      </c>
      <c r="D1832" s="3" t="str">
        <f t="shared" si="313"/>
        <v>hsa-mir-150</v>
      </c>
      <c r="E1832" s="2" t="s">
        <v>72</v>
      </c>
      <c r="F1832" s="3" t="str">
        <f t="shared" si="314"/>
        <v>microRNA 150</v>
      </c>
      <c r="G1832" s="4"/>
      <c r="H1832" s="3" t="str">
        <f>HYPERLINK("https://www.cortellis.com/drugdiscovery/entity/biomarkers/57434","16-microRNA colon cancer panel")</f>
        <v>16-microRNA colon cancer panel</v>
      </c>
      <c r="I1832" s="2" t="s">
        <v>41</v>
      </c>
      <c r="J1832" s="2" t="s">
        <v>19</v>
      </c>
      <c r="K1832" s="4" t="str">
        <f>HYPERLINK("https://www.cortellis.com/drugdiscovery/result/proxy/related-content/biomarkers/genestargets/57434","microRNA 146a; microRNA 150; microRNA 223")</f>
        <v>microRNA 146a; microRNA 150; microRNA 223</v>
      </c>
    </row>
    <row r="1833" spans="1:11" ht="60" customHeight="1" x14ac:dyDescent="0.2">
      <c r="A1833" s="2">
        <v>1830</v>
      </c>
      <c r="B1833" s="3" t="str">
        <f t="shared" si="311"/>
        <v>microRNA 150</v>
      </c>
      <c r="C1833" s="3" t="str">
        <f t="shared" si="312"/>
        <v>MIR150</v>
      </c>
      <c r="D1833" s="3" t="str">
        <f t="shared" si="313"/>
        <v>hsa-mir-150</v>
      </c>
      <c r="E1833" s="2" t="s">
        <v>72</v>
      </c>
      <c r="F1833" s="3" t="str">
        <f t="shared" si="314"/>
        <v>microRNA 150</v>
      </c>
      <c r="G1833" s="4"/>
      <c r="H1833" s="3" t="str">
        <f>HYPERLINK("https://www.cortellis.com/drugdiscovery/entity/biomarkers/57810","8-microRNA sarcoidosis panel")</f>
        <v>8-microRNA sarcoidosis panel</v>
      </c>
      <c r="I1833" s="2" t="s">
        <v>23</v>
      </c>
      <c r="J1833" s="2" t="s">
        <v>19</v>
      </c>
      <c r="K1833" s="4" t="str">
        <f>HYPERLINK("https://www.cortellis.com/drugdiscovery/result/proxy/related-content/biomarkers/genestargets/57810","microRNA 150")</f>
        <v>microRNA 150</v>
      </c>
    </row>
    <row r="1834" spans="1:11" ht="60" customHeight="1" x14ac:dyDescent="0.2">
      <c r="A1834" s="2">
        <v>1831</v>
      </c>
      <c r="B1834" s="3" t="str">
        <f t="shared" si="311"/>
        <v>microRNA 150</v>
      </c>
      <c r="C1834" s="3" t="str">
        <f t="shared" si="312"/>
        <v>MIR150</v>
      </c>
      <c r="D1834" s="3" t="str">
        <f t="shared" si="313"/>
        <v>hsa-mir-150</v>
      </c>
      <c r="E1834" s="2" t="s">
        <v>72</v>
      </c>
      <c r="F1834" s="3" t="str">
        <f t="shared" si="314"/>
        <v>microRNA 150</v>
      </c>
      <c r="G1834" s="4"/>
      <c r="H1834" s="3" t="str">
        <f>HYPERLINK("https://www.cortellis.com/drugdiscovery/entity/biomarkers/58959","6-microRNA ankylosing spondylitis panel")</f>
        <v>6-microRNA ankylosing spondylitis panel</v>
      </c>
      <c r="I1834" s="2" t="s">
        <v>23</v>
      </c>
      <c r="J1834" s="2" t="s">
        <v>19</v>
      </c>
      <c r="K1834" s="4" t="str">
        <f>HYPERLINK("https://www.cortellis.com/drugdiscovery/result/proxy/related-content/biomarkers/genestargets/58959","microRNA 146a; microRNA 150")</f>
        <v>microRNA 146a; microRNA 150</v>
      </c>
    </row>
    <row r="1835" spans="1:11" ht="60" customHeight="1" x14ac:dyDescent="0.2">
      <c r="A1835" s="2">
        <v>1832</v>
      </c>
      <c r="B1835" s="3" t="str">
        <f t="shared" si="311"/>
        <v>microRNA 150</v>
      </c>
      <c r="C1835" s="3" t="str">
        <f t="shared" si="312"/>
        <v>MIR150</v>
      </c>
      <c r="D1835" s="3" t="str">
        <f t="shared" si="313"/>
        <v>hsa-mir-150</v>
      </c>
      <c r="E1835" s="2" t="s">
        <v>72</v>
      </c>
      <c r="F1835" s="3" t="str">
        <f t="shared" si="314"/>
        <v>microRNA 150</v>
      </c>
      <c r="G1835" s="4"/>
      <c r="H1835" s="3" t="str">
        <f>HYPERLINK("https://www.cortellis.com/drugdiscovery/entity/biomarkers/60067","14-microRNA ovarian cancer panel")</f>
        <v>14-microRNA ovarian cancer panel</v>
      </c>
      <c r="I1835" s="2" t="s">
        <v>23</v>
      </c>
      <c r="J1835" s="2" t="s">
        <v>19</v>
      </c>
      <c r="K1835" s="4" t="str">
        <f>HYPERLINK("https://www.cortellis.com/drugdiscovery/result/proxy/related-content/biomarkers/genestargets/60067","microRNA 150")</f>
        <v>microRNA 150</v>
      </c>
    </row>
    <row r="1836" spans="1:11" ht="60" customHeight="1" x14ac:dyDescent="0.2">
      <c r="A1836" s="2">
        <v>1833</v>
      </c>
      <c r="B1836" s="3" t="str">
        <f t="shared" ref="B1836:B1855" si="315">HYPERLINK("https://portal.genego.com/cgi/entity_page.cgi?term=100&amp;id=-1994356754","microRNA 155")</f>
        <v>microRNA 155</v>
      </c>
      <c r="C1836" s="3" t="str">
        <f t="shared" ref="C1836:C1855" si="316">HYPERLINK("https://portal.genego.com/cgi/entity_page.cgi?term=20&amp;id=-1748557536","MIR155")</f>
        <v>MIR155</v>
      </c>
      <c r="D1836" s="3" t="str">
        <f t="shared" ref="D1836:D1855" si="317">HYPERLINK("https://portal.genego.com/cgi/entity_page.cgi?term=7&amp;id=-1750034857","hsa-mir-155")</f>
        <v>hsa-mir-155</v>
      </c>
      <c r="E1836" s="2" t="s">
        <v>72</v>
      </c>
      <c r="F1836" s="3" t="str">
        <f t="shared" ref="F1836:F1855" si="318">HYPERLINK("https://portal.genego.com/cgi/entity_page.cgi?term=100&amp;id=-1994356754","microRNA 155")</f>
        <v>microRNA 155</v>
      </c>
      <c r="G1836" s="4"/>
      <c r="H1836" s="3" t="str">
        <f>HYPERLINK("https://www.cortellis.com/drugdiscovery/entity/biomarkers/3514","microRNA 155")</f>
        <v>microRNA 155</v>
      </c>
      <c r="I1836" s="2" t="s">
        <v>89</v>
      </c>
      <c r="J1836" s="2" t="s">
        <v>19</v>
      </c>
      <c r="K1836" s="4" t="str">
        <f>HYPERLINK("https://www.cortellis.com/drugdiscovery/result/proxy/related-content/biomarkers/genestargets/3514","microRNA 155")</f>
        <v>microRNA 155</v>
      </c>
    </row>
    <row r="1837" spans="1:11" ht="60" customHeight="1" x14ac:dyDescent="0.2">
      <c r="A1837" s="2">
        <v>1834</v>
      </c>
      <c r="B1837" s="3" t="str">
        <f t="shared" si="315"/>
        <v>microRNA 155</v>
      </c>
      <c r="C1837" s="3" t="str">
        <f t="shared" si="316"/>
        <v>MIR155</v>
      </c>
      <c r="D1837" s="3" t="str">
        <f t="shared" si="317"/>
        <v>hsa-mir-155</v>
      </c>
      <c r="E1837" s="2" t="s">
        <v>72</v>
      </c>
      <c r="F1837" s="3" t="str">
        <f t="shared" si="318"/>
        <v>microRNA 155</v>
      </c>
      <c r="G1837" s="4"/>
      <c r="H1837" s="3" t="str">
        <f>HYPERLINK("https://www.cortellis.com/drugdiscovery/entity/biomarkers/25582","5-gene expression 3-microRNA thyroid cancer panel")</f>
        <v>5-gene expression 3-microRNA thyroid cancer panel</v>
      </c>
      <c r="I1837" s="2" t="s">
        <v>23</v>
      </c>
      <c r="J1837" s="2" t="s">
        <v>19</v>
      </c>
      <c r="K1837" s="4" t="str">
        <f>HYPERLINK("https://www.cortellis.com/drugdiscovery/result/proxy/related-content/biomarkers/genestargets/25582","microRNA 146b; microRNA 155")</f>
        <v>microRNA 146b; microRNA 155</v>
      </c>
    </row>
    <row r="1838" spans="1:11" ht="60" customHeight="1" x14ac:dyDescent="0.2">
      <c r="A1838" s="2">
        <v>1835</v>
      </c>
      <c r="B1838" s="3" t="str">
        <f t="shared" si="315"/>
        <v>microRNA 155</v>
      </c>
      <c r="C1838" s="3" t="str">
        <f t="shared" si="316"/>
        <v>MIR155</v>
      </c>
      <c r="D1838" s="3" t="str">
        <f t="shared" si="317"/>
        <v>hsa-mir-155</v>
      </c>
      <c r="E1838" s="2" t="s">
        <v>72</v>
      </c>
      <c r="F1838" s="3" t="str">
        <f t="shared" si="318"/>
        <v>microRNA 155</v>
      </c>
      <c r="G1838" s="4"/>
      <c r="H1838" s="3" t="str">
        <f>HYPERLINK("https://www.cortellis.com/drugdiscovery/entity/biomarkers/26792","367-gene expression 1-microRNA breast cancer panel")</f>
        <v>367-gene expression 1-microRNA breast cancer panel</v>
      </c>
      <c r="I1838" s="2" t="s">
        <v>25</v>
      </c>
      <c r="J1838" s="2" t="s">
        <v>19</v>
      </c>
      <c r="K1838" s="4" t="str">
        <f>HYPERLINK("https://www.cortellis.com/drugdiscovery/result/proxy/related-content/biomarkers/genestargets/26792","interleukin 15; microRNA 155")</f>
        <v>interleukin 15; microRNA 155</v>
      </c>
    </row>
    <row r="1839" spans="1:11" ht="60" customHeight="1" x14ac:dyDescent="0.2">
      <c r="A1839" s="2">
        <v>1836</v>
      </c>
      <c r="B1839" s="3" t="str">
        <f t="shared" si="315"/>
        <v>microRNA 155</v>
      </c>
      <c r="C1839" s="3" t="str">
        <f t="shared" si="316"/>
        <v>MIR155</v>
      </c>
      <c r="D1839" s="3" t="str">
        <f t="shared" si="317"/>
        <v>hsa-mir-155</v>
      </c>
      <c r="E1839" s="2" t="s">
        <v>72</v>
      </c>
      <c r="F1839" s="3" t="str">
        <f t="shared" si="318"/>
        <v>microRNA 155</v>
      </c>
      <c r="G1839" s="4"/>
      <c r="H1839" s="3" t="str">
        <f>HYPERLINK("https://www.cortellis.com/drugdiscovery/entity/biomarkers/27309","57-microRNA mouth cancer panel")</f>
        <v>57-microRNA mouth cancer panel</v>
      </c>
      <c r="I1839" s="2" t="s">
        <v>23</v>
      </c>
      <c r="J1839" s="2" t="s">
        <v>19</v>
      </c>
      <c r="K1839" s="4" t="str">
        <f>HYPERLINK("https://www.cortellis.com/drugdiscovery/result/proxy/related-content/biomarkers/genestargets/27309","microRNA 146a; microRNA 155; microRNA 214; microRNA 223")</f>
        <v>microRNA 146a; microRNA 155; microRNA 214; microRNA 223</v>
      </c>
    </row>
    <row r="1840" spans="1:11" ht="60" customHeight="1" x14ac:dyDescent="0.2">
      <c r="A1840" s="2">
        <v>1837</v>
      </c>
      <c r="B1840" s="3" t="str">
        <f t="shared" si="315"/>
        <v>microRNA 155</v>
      </c>
      <c r="C1840" s="3" t="str">
        <f t="shared" si="316"/>
        <v>MIR155</v>
      </c>
      <c r="D1840" s="3" t="str">
        <f t="shared" si="317"/>
        <v>hsa-mir-155</v>
      </c>
      <c r="E1840" s="2" t="s">
        <v>72</v>
      </c>
      <c r="F1840" s="3" t="str">
        <f t="shared" si="318"/>
        <v>microRNA 155</v>
      </c>
      <c r="G1840" s="4"/>
      <c r="H1840" s="3" t="str">
        <f>HYPERLINK("https://www.cortellis.com/drugdiscovery/entity/biomarkers/27503","23-microRNA astrocytoma panel")</f>
        <v>23-microRNA astrocytoma panel</v>
      </c>
      <c r="I1840" s="2" t="s">
        <v>28</v>
      </c>
      <c r="J1840" s="2" t="s">
        <v>19</v>
      </c>
      <c r="K1840" s="4" t="str">
        <f>HYPERLINK("https://www.cortellis.com/drugdiscovery/result/proxy/related-content/biomarkers/genestargets/27503","microRNA 155")</f>
        <v>microRNA 155</v>
      </c>
    </row>
    <row r="1841" spans="1:11" ht="60" customHeight="1" x14ac:dyDescent="0.2">
      <c r="A1841" s="2">
        <v>1838</v>
      </c>
      <c r="B1841" s="3" t="str">
        <f t="shared" si="315"/>
        <v>microRNA 155</v>
      </c>
      <c r="C1841" s="3" t="str">
        <f t="shared" si="316"/>
        <v>MIR155</v>
      </c>
      <c r="D1841" s="3" t="str">
        <f t="shared" si="317"/>
        <v>hsa-mir-155</v>
      </c>
      <c r="E1841" s="2" t="s">
        <v>72</v>
      </c>
      <c r="F1841" s="3" t="str">
        <f t="shared" si="318"/>
        <v>microRNA 155</v>
      </c>
      <c r="G1841" s="4"/>
      <c r="H1841" s="3" t="str">
        <f>HYPERLINK("https://www.cortellis.com/drugdiscovery/entity/biomarkers/28064","6-microRNA melanoma panel")</f>
        <v>6-microRNA melanoma panel</v>
      </c>
      <c r="I1841" s="2" t="s">
        <v>25</v>
      </c>
      <c r="J1841" s="2" t="s">
        <v>19</v>
      </c>
      <c r="K1841" s="4" t="str">
        <f>HYPERLINK("https://www.cortellis.com/drugdiscovery/result/proxy/related-content/biomarkers/genestargets/28064","microRNA 150; microRNA 155")</f>
        <v>microRNA 150; microRNA 155</v>
      </c>
    </row>
    <row r="1842" spans="1:11" ht="60" customHeight="1" x14ac:dyDescent="0.2">
      <c r="A1842" s="2">
        <v>1839</v>
      </c>
      <c r="B1842" s="3" t="str">
        <f t="shared" si="315"/>
        <v>microRNA 155</v>
      </c>
      <c r="C1842" s="3" t="str">
        <f t="shared" si="316"/>
        <v>MIR155</v>
      </c>
      <c r="D1842" s="3" t="str">
        <f t="shared" si="317"/>
        <v>hsa-mir-155</v>
      </c>
      <c r="E1842" s="2" t="s">
        <v>72</v>
      </c>
      <c r="F1842" s="3" t="str">
        <f t="shared" si="318"/>
        <v>microRNA 155</v>
      </c>
      <c r="G1842" s="4"/>
      <c r="H1842" s="3" t="str">
        <f>HYPERLINK("https://www.cortellis.com/drugdiscovery/entity/biomarkers/31074","24-microRNA melanoma panel")</f>
        <v>24-microRNA melanoma panel</v>
      </c>
      <c r="I1842" s="2" t="s">
        <v>27</v>
      </c>
      <c r="J1842" s="2" t="s">
        <v>19</v>
      </c>
      <c r="K1842" s="4" t="str">
        <f>HYPERLINK("https://www.cortellis.com/drugdiscovery/result/proxy/related-content/biomarkers/genestargets/31074","microRNA 150; microRNA 155")</f>
        <v>microRNA 150; microRNA 155</v>
      </c>
    </row>
    <row r="1843" spans="1:11" ht="60" customHeight="1" x14ac:dyDescent="0.2">
      <c r="A1843" s="2">
        <v>1840</v>
      </c>
      <c r="B1843" s="3" t="str">
        <f t="shared" si="315"/>
        <v>microRNA 155</v>
      </c>
      <c r="C1843" s="3" t="str">
        <f t="shared" si="316"/>
        <v>MIR155</v>
      </c>
      <c r="D1843" s="3" t="str">
        <f t="shared" si="317"/>
        <v>hsa-mir-155</v>
      </c>
      <c r="E1843" s="2" t="s">
        <v>72</v>
      </c>
      <c r="F1843" s="3" t="str">
        <f t="shared" si="318"/>
        <v>microRNA 155</v>
      </c>
      <c r="G1843" s="4"/>
      <c r="H1843" s="3" t="str">
        <f>HYPERLINK("https://www.cortellis.com/drugdiscovery/entity/biomarkers/31615","3-microRNA cutaneous T-cell lymphoma panel")</f>
        <v>3-microRNA cutaneous T-cell lymphoma panel</v>
      </c>
      <c r="I1843" s="2" t="s">
        <v>23</v>
      </c>
      <c r="J1843" s="2" t="s">
        <v>19</v>
      </c>
      <c r="K1843" s="4" t="str">
        <f>HYPERLINK("https://www.cortellis.com/drugdiscovery/result/proxy/related-content/biomarkers/genestargets/31615","microRNA 155")</f>
        <v>microRNA 155</v>
      </c>
    </row>
    <row r="1844" spans="1:11" ht="60" customHeight="1" x14ac:dyDescent="0.2">
      <c r="A1844" s="2">
        <v>1841</v>
      </c>
      <c r="B1844" s="3" t="str">
        <f t="shared" si="315"/>
        <v>microRNA 155</v>
      </c>
      <c r="C1844" s="3" t="str">
        <f t="shared" si="316"/>
        <v>MIR155</v>
      </c>
      <c r="D1844" s="3" t="str">
        <f t="shared" si="317"/>
        <v>hsa-mir-155</v>
      </c>
      <c r="E1844" s="2" t="s">
        <v>72</v>
      </c>
      <c r="F1844" s="3" t="str">
        <f t="shared" si="318"/>
        <v>microRNA 155</v>
      </c>
      <c r="G1844" s="4"/>
      <c r="H1844" s="3" t="str">
        <f>HYPERLINK("https://www.cortellis.com/drugdiscovery/entity/biomarkers/33250","24-microRNA astrocytoma panel")</f>
        <v>24-microRNA astrocytoma panel</v>
      </c>
      <c r="I1844" s="2" t="s">
        <v>28</v>
      </c>
      <c r="J1844" s="2" t="s">
        <v>19</v>
      </c>
      <c r="K1844" s="4" t="str">
        <f>HYPERLINK("https://www.cortellis.com/drugdiscovery/result/proxy/related-content/biomarkers/genestargets/33250","microRNA 155")</f>
        <v>microRNA 155</v>
      </c>
    </row>
    <row r="1845" spans="1:11" ht="60" customHeight="1" x14ac:dyDescent="0.2">
      <c r="A1845" s="2">
        <v>1842</v>
      </c>
      <c r="B1845" s="3" t="str">
        <f t="shared" si="315"/>
        <v>microRNA 155</v>
      </c>
      <c r="C1845" s="3" t="str">
        <f t="shared" si="316"/>
        <v>MIR155</v>
      </c>
      <c r="D1845" s="3" t="str">
        <f t="shared" si="317"/>
        <v>hsa-mir-155</v>
      </c>
      <c r="E1845" s="2" t="s">
        <v>72</v>
      </c>
      <c r="F1845" s="3" t="str">
        <f t="shared" si="318"/>
        <v>microRNA 155</v>
      </c>
      <c r="G1845" s="4"/>
      <c r="H1845" s="3" t="str">
        <f>HYPERLINK("https://www.cortellis.com/drugdiscovery/entity/biomarkers/38474","63-gene expression cancer panel")</f>
        <v>63-gene expression cancer panel</v>
      </c>
      <c r="I1845" s="2" t="s">
        <v>18</v>
      </c>
      <c r="J1845" s="2" t="s">
        <v>19</v>
      </c>
      <c r="K1845" s="4" t="str">
        <f>HYPERLINK("https://www.cortellis.com/drugdiscovery/result/proxy/related-content/biomarkers/genestargets/38474","microRNA 155")</f>
        <v>microRNA 155</v>
      </c>
    </row>
    <row r="1846" spans="1:11" ht="60" customHeight="1" x14ac:dyDescent="0.2">
      <c r="A1846" s="2">
        <v>1843</v>
      </c>
      <c r="B1846" s="3" t="str">
        <f t="shared" si="315"/>
        <v>microRNA 155</v>
      </c>
      <c r="C1846" s="3" t="str">
        <f t="shared" si="316"/>
        <v>MIR155</v>
      </c>
      <c r="D1846" s="3" t="str">
        <f t="shared" si="317"/>
        <v>hsa-mir-155</v>
      </c>
      <c r="E1846" s="2" t="s">
        <v>72</v>
      </c>
      <c r="F1846" s="3" t="str">
        <f t="shared" si="318"/>
        <v>microRNA 155</v>
      </c>
      <c r="G1846" s="4"/>
      <c r="H1846" s="3" t="str">
        <f>HYPERLINK("https://www.cortellis.com/drugdiscovery/entity/biomarkers/39101","microRNA 155-5p")</f>
        <v>microRNA 155-5p</v>
      </c>
      <c r="I1846" s="2" t="s">
        <v>90</v>
      </c>
      <c r="J1846" s="2" t="s">
        <v>19</v>
      </c>
      <c r="K1846" s="4" t="str">
        <f>HYPERLINK("https://www.cortellis.com/drugdiscovery/result/proxy/related-content/biomarkers/genestargets/39101","microRNA 155")</f>
        <v>microRNA 155</v>
      </c>
    </row>
    <row r="1847" spans="1:11" ht="60" customHeight="1" x14ac:dyDescent="0.2">
      <c r="A1847" s="2">
        <v>1844</v>
      </c>
      <c r="B1847" s="3" t="str">
        <f t="shared" si="315"/>
        <v>microRNA 155</v>
      </c>
      <c r="C1847" s="3" t="str">
        <f t="shared" si="316"/>
        <v>MIR155</v>
      </c>
      <c r="D1847" s="3" t="str">
        <f t="shared" si="317"/>
        <v>hsa-mir-155</v>
      </c>
      <c r="E1847" s="2" t="s">
        <v>72</v>
      </c>
      <c r="F1847" s="3" t="str">
        <f t="shared" si="318"/>
        <v>microRNA 155</v>
      </c>
      <c r="G1847" s="4"/>
      <c r="H1847" s="3" t="str">
        <f>HYPERLINK("https://www.cortellis.com/drugdiscovery/entity/biomarkers/40697","7-miRNA expression anapalstic large cell lymphoma")</f>
        <v>7-miRNA expression anapalstic large cell lymphoma</v>
      </c>
      <c r="I1847" s="2" t="s">
        <v>23</v>
      </c>
      <c r="J1847" s="2" t="s">
        <v>19</v>
      </c>
      <c r="K1847" s="4" t="str">
        <f>HYPERLINK("https://www.cortellis.com/drugdiscovery/result/proxy/related-content/biomarkers/genestargets/40697","microRNA 146a; microRNA 155")</f>
        <v>microRNA 146a; microRNA 155</v>
      </c>
    </row>
    <row r="1848" spans="1:11" ht="60" customHeight="1" x14ac:dyDescent="0.2">
      <c r="A1848" s="2">
        <v>1845</v>
      </c>
      <c r="B1848" s="3" t="str">
        <f t="shared" si="315"/>
        <v>microRNA 155</v>
      </c>
      <c r="C1848" s="3" t="str">
        <f t="shared" si="316"/>
        <v>MIR155</v>
      </c>
      <c r="D1848" s="3" t="str">
        <f t="shared" si="317"/>
        <v>hsa-mir-155</v>
      </c>
      <c r="E1848" s="2" t="s">
        <v>72</v>
      </c>
      <c r="F1848" s="3" t="str">
        <f t="shared" si="318"/>
        <v>microRNA 155</v>
      </c>
      <c r="G1848" s="4"/>
      <c r="H1848" s="3" t="str">
        <f>HYPERLINK("https://www.cortellis.com/drugdiscovery/entity/biomarkers/42962","3-microRNA lung cancer panel")</f>
        <v>3-microRNA lung cancer panel</v>
      </c>
      <c r="I1848" s="2" t="s">
        <v>23</v>
      </c>
      <c r="J1848" s="2" t="s">
        <v>19</v>
      </c>
      <c r="K1848" s="4" t="str">
        <f>HYPERLINK("https://www.cortellis.com/drugdiscovery/result/proxy/related-content/biomarkers/genestargets/42962","microRNA 155")</f>
        <v>microRNA 155</v>
      </c>
    </row>
    <row r="1849" spans="1:11" ht="60" customHeight="1" x14ac:dyDescent="0.2">
      <c r="A1849" s="2">
        <v>1846</v>
      </c>
      <c r="B1849" s="3" t="str">
        <f t="shared" si="315"/>
        <v>microRNA 155</v>
      </c>
      <c r="C1849" s="3" t="str">
        <f t="shared" si="316"/>
        <v>MIR155</v>
      </c>
      <c r="D1849" s="3" t="str">
        <f t="shared" si="317"/>
        <v>hsa-mir-155</v>
      </c>
      <c r="E1849" s="2" t="s">
        <v>72</v>
      </c>
      <c r="F1849" s="3" t="str">
        <f t="shared" si="318"/>
        <v>microRNA 155</v>
      </c>
      <c r="G1849" s="4"/>
      <c r="H1849" s="3" t="str">
        <f>HYPERLINK("https://www.cortellis.com/drugdiscovery/entity/biomarkers/44486","microRNA 155-3p")</f>
        <v>microRNA 155-3p</v>
      </c>
      <c r="I1849" s="2" t="s">
        <v>91</v>
      </c>
      <c r="J1849" s="2" t="s">
        <v>19</v>
      </c>
      <c r="K1849" s="4" t="str">
        <f>HYPERLINK("https://www.cortellis.com/drugdiscovery/result/proxy/related-content/biomarkers/genestargets/44486","microRNA 155")</f>
        <v>microRNA 155</v>
      </c>
    </row>
    <row r="1850" spans="1:11" ht="60" customHeight="1" x14ac:dyDescent="0.2">
      <c r="A1850" s="2">
        <v>1847</v>
      </c>
      <c r="B1850" s="3" t="str">
        <f t="shared" si="315"/>
        <v>microRNA 155</v>
      </c>
      <c r="C1850" s="3" t="str">
        <f t="shared" si="316"/>
        <v>MIR155</v>
      </c>
      <c r="D1850" s="3" t="str">
        <f t="shared" si="317"/>
        <v>hsa-mir-155</v>
      </c>
      <c r="E1850" s="2" t="s">
        <v>72</v>
      </c>
      <c r="F1850" s="3" t="str">
        <f t="shared" si="318"/>
        <v>microRNA 155</v>
      </c>
      <c r="G1850" s="4"/>
      <c r="H1850" s="3" t="str">
        <f>HYPERLINK("https://www.cortellis.com/drugdiscovery/entity/biomarkers/45344","4-microRNA breast cancer panel")</f>
        <v>4-microRNA breast cancer panel</v>
      </c>
      <c r="I1850" s="2" t="s">
        <v>33</v>
      </c>
      <c r="J1850" s="2" t="s">
        <v>19</v>
      </c>
      <c r="K1850" s="4" t="str">
        <f>HYPERLINK("https://www.cortellis.com/drugdiscovery/result/proxy/related-content/biomarkers/genestargets/45344","microRNA 155")</f>
        <v>microRNA 155</v>
      </c>
    </row>
    <row r="1851" spans="1:11" ht="60" customHeight="1" x14ac:dyDescent="0.2">
      <c r="A1851" s="2">
        <v>1848</v>
      </c>
      <c r="B1851" s="3" t="str">
        <f t="shared" si="315"/>
        <v>microRNA 155</v>
      </c>
      <c r="C1851" s="3" t="str">
        <f t="shared" si="316"/>
        <v>MIR155</v>
      </c>
      <c r="D1851" s="3" t="str">
        <f t="shared" si="317"/>
        <v>hsa-mir-155</v>
      </c>
      <c r="E1851" s="2" t="s">
        <v>72</v>
      </c>
      <c r="F1851" s="3" t="str">
        <f t="shared" si="318"/>
        <v>microRNA 155</v>
      </c>
      <c r="G1851" s="4"/>
      <c r="H1851" s="3" t="str">
        <f>HYPERLINK("https://www.cortellis.com/drugdiscovery/entity/biomarkers/47602","5-microRNA pancreatic cancer panel")</f>
        <v>5-microRNA pancreatic cancer panel</v>
      </c>
      <c r="I1851" s="2" t="s">
        <v>23</v>
      </c>
      <c r="J1851" s="2" t="s">
        <v>19</v>
      </c>
      <c r="K1851" s="4" t="str">
        <f>HYPERLINK("https://www.cortellis.com/drugdiscovery/result/proxy/related-content/biomarkers/genestargets/47602","microRNA 155")</f>
        <v>microRNA 155</v>
      </c>
    </row>
    <row r="1852" spans="1:11" ht="60" customHeight="1" x14ac:dyDescent="0.2">
      <c r="A1852" s="2">
        <v>1849</v>
      </c>
      <c r="B1852" s="3" t="str">
        <f t="shared" si="315"/>
        <v>microRNA 155</v>
      </c>
      <c r="C1852" s="3" t="str">
        <f t="shared" si="316"/>
        <v>MIR155</v>
      </c>
      <c r="D1852" s="3" t="str">
        <f t="shared" si="317"/>
        <v>hsa-mir-155</v>
      </c>
      <c r="E1852" s="2" t="s">
        <v>72</v>
      </c>
      <c r="F1852" s="3" t="str">
        <f t="shared" si="318"/>
        <v>microRNA 155</v>
      </c>
      <c r="G1852" s="4"/>
      <c r="H1852" s="3" t="str">
        <f>HYPERLINK("https://www.cortellis.com/drugdiscovery/entity/biomarkers/49602","9-microRNA breast cancer panel")</f>
        <v>9-microRNA breast cancer panel</v>
      </c>
      <c r="I1852" s="2" t="s">
        <v>23</v>
      </c>
      <c r="J1852" s="2" t="s">
        <v>19</v>
      </c>
      <c r="K1852" s="4" t="str">
        <f>HYPERLINK("https://www.cortellis.com/drugdiscovery/result/proxy/related-content/biomarkers/genestargets/49602","microRNA 155")</f>
        <v>microRNA 155</v>
      </c>
    </row>
    <row r="1853" spans="1:11" ht="60" customHeight="1" x14ac:dyDescent="0.2">
      <c r="A1853" s="2">
        <v>1850</v>
      </c>
      <c r="B1853" s="3" t="str">
        <f t="shared" si="315"/>
        <v>microRNA 155</v>
      </c>
      <c r="C1853" s="3" t="str">
        <f t="shared" si="316"/>
        <v>MIR155</v>
      </c>
      <c r="D1853" s="3" t="str">
        <f t="shared" si="317"/>
        <v>hsa-mir-155</v>
      </c>
      <c r="E1853" s="2" t="s">
        <v>72</v>
      </c>
      <c r="F1853" s="3" t="str">
        <f t="shared" si="318"/>
        <v>microRNA 155</v>
      </c>
      <c r="G1853" s="4"/>
      <c r="H1853" s="3" t="str">
        <f>HYPERLINK("https://www.cortellis.com/drugdiscovery/entity/biomarkers/50117","24-microRNA non-small cell lung cancer panel")</f>
        <v>24-microRNA non-small cell lung cancer panel</v>
      </c>
      <c r="I1853" s="2" t="s">
        <v>23</v>
      </c>
      <c r="J1853" s="2" t="s">
        <v>19</v>
      </c>
      <c r="K1853" s="4" t="str">
        <f>HYPERLINK("https://www.cortellis.com/drugdiscovery/result/proxy/related-content/biomarkers/genestargets/50117","microRNA 155")</f>
        <v>microRNA 155</v>
      </c>
    </row>
    <row r="1854" spans="1:11" ht="60" customHeight="1" x14ac:dyDescent="0.2">
      <c r="A1854" s="2">
        <v>1851</v>
      </c>
      <c r="B1854" s="3" t="str">
        <f t="shared" si="315"/>
        <v>microRNA 155</v>
      </c>
      <c r="C1854" s="3" t="str">
        <f t="shared" si="316"/>
        <v>MIR155</v>
      </c>
      <c r="D1854" s="3" t="str">
        <f t="shared" si="317"/>
        <v>hsa-mir-155</v>
      </c>
      <c r="E1854" s="2" t="s">
        <v>72</v>
      </c>
      <c r="F1854" s="3" t="str">
        <f t="shared" si="318"/>
        <v>microRNA 155</v>
      </c>
      <c r="G1854" s="4"/>
      <c r="H1854" s="3" t="str">
        <f>HYPERLINK("https://www.cortellis.com/drugdiscovery/entity/biomarkers/50455","6-microRNA expression chronic lymphocytic leukemia panel")</f>
        <v>6-microRNA expression chronic lymphocytic leukemia panel</v>
      </c>
      <c r="I1854" s="2" t="s">
        <v>23</v>
      </c>
      <c r="J1854" s="2" t="s">
        <v>19</v>
      </c>
      <c r="K1854" s="4" t="str">
        <f>HYPERLINK("https://www.cortellis.com/drugdiscovery/result/proxy/related-content/biomarkers/genestargets/50455","microRNA 150; microRNA 155; microRNA 223")</f>
        <v>microRNA 150; microRNA 155; microRNA 223</v>
      </c>
    </row>
    <row r="1855" spans="1:11" ht="60" customHeight="1" x14ac:dyDescent="0.2">
      <c r="A1855" s="2">
        <v>1852</v>
      </c>
      <c r="B1855" s="3" t="str">
        <f t="shared" si="315"/>
        <v>microRNA 155</v>
      </c>
      <c r="C1855" s="3" t="str">
        <f t="shared" si="316"/>
        <v>MIR155</v>
      </c>
      <c r="D1855" s="3" t="str">
        <f t="shared" si="317"/>
        <v>hsa-mir-155</v>
      </c>
      <c r="E1855" s="2" t="s">
        <v>72</v>
      </c>
      <c r="F1855" s="3" t="str">
        <f t="shared" si="318"/>
        <v>microRNA 155</v>
      </c>
      <c r="G1855" s="4"/>
      <c r="H1855" s="3" t="str">
        <f>HYPERLINK("https://www.cortellis.com/drugdiscovery/entity/biomarkers/64114","10-gene expression thyroid cancer panel")</f>
        <v>10-gene expression thyroid cancer panel</v>
      </c>
      <c r="I1855" s="2" t="s">
        <v>25</v>
      </c>
      <c r="J1855" s="2" t="s">
        <v>19</v>
      </c>
      <c r="K1855" s="4" t="str">
        <f>HYPERLINK("https://www.cortellis.com/drugdiscovery/result/proxy/related-content/biomarkers/genestargets/64114","microRNA 146b; microRNA 155")</f>
        <v>microRNA 146b; microRNA 155</v>
      </c>
    </row>
    <row r="1856" spans="1:11" ht="60" customHeight="1" x14ac:dyDescent="0.2">
      <c r="A1856" s="2">
        <v>1853</v>
      </c>
      <c r="B1856" s="3" t="str">
        <f t="shared" ref="B1856:B1861" si="319">HYPERLINK("https://portal.genego.com/cgi/entity_page.cgi?term=100&amp;id=-684314432","microRNA 208a")</f>
        <v>microRNA 208a</v>
      </c>
      <c r="C1856" s="3" t="str">
        <f t="shared" ref="C1856:C1861" si="320">HYPERLINK("https://portal.genego.com/cgi/entity_page.cgi?term=20&amp;id=-614753743","MIR208A")</f>
        <v>MIR208A</v>
      </c>
      <c r="D1856" s="3" t="str">
        <f t="shared" ref="D1856:D1861" si="321">HYPERLINK("https://portal.genego.com/cgi/entity_page.cgi?term=7&amp;id=-1122357174","hsa-mir-208a")</f>
        <v>hsa-mir-208a</v>
      </c>
      <c r="E1856" s="2" t="s">
        <v>72</v>
      </c>
      <c r="F1856" s="3" t="str">
        <f t="shared" ref="F1856:F1861" si="322">HYPERLINK("https://portal.genego.com/cgi/entity_page.cgi?term=100&amp;id=-684314432","microRNA 208a")</f>
        <v>microRNA 208a</v>
      </c>
      <c r="G1856" s="4"/>
      <c r="H1856" s="3" t="str">
        <f>HYPERLINK("https://www.cortellis.com/drugdiscovery/entity/biomarkers/14147","microRNA 208a")</f>
        <v>microRNA 208a</v>
      </c>
      <c r="I1856" s="2" t="s">
        <v>92</v>
      </c>
      <c r="J1856" s="2" t="s">
        <v>19</v>
      </c>
      <c r="K1856" s="4" t="str">
        <f>HYPERLINK("https://www.cortellis.com/drugdiscovery/result/proxy/related-content/biomarkers/genestargets/14147","microRNA 208a")</f>
        <v>microRNA 208a</v>
      </c>
    </row>
    <row r="1857" spans="1:11" ht="60" customHeight="1" x14ac:dyDescent="0.2">
      <c r="A1857" s="2">
        <v>1854</v>
      </c>
      <c r="B1857" s="3" t="str">
        <f t="shared" si="319"/>
        <v>microRNA 208a</v>
      </c>
      <c r="C1857" s="3" t="str">
        <f t="shared" si="320"/>
        <v>MIR208A</v>
      </c>
      <c r="D1857" s="3" t="str">
        <f t="shared" si="321"/>
        <v>hsa-mir-208a</v>
      </c>
      <c r="E1857" s="2" t="s">
        <v>72</v>
      </c>
      <c r="F1857" s="3" t="str">
        <f t="shared" si="322"/>
        <v>microRNA 208a</v>
      </c>
      <c r="G1857" s="4"/>
      <c r="H1857" s="3" t="str">
        <f>HYPERLINK("https://www.cortellis.com/drugdiscovery/entity/biomarkers/46333","microRNA 208a-3p")</f>
        <v>microRNA 208a-3p</v>
      </c>
      <c r="I1857" s="2" t="s">
        <v>93</v>
      </c>
      <c r="J1857" s="2" t="s">
        <v>19</v>
      </c>
      <c r="K1857" s="4" t="str">
        <f>HYPERLINK("https://www.cortellis.com/drugdiscovery/result/proxy/related-content/biomarkers/genestargets/46333","microRNA 208a")</f>
        <v>microRNA 208a</v>
      </c>
    </row>
    <row r="1858" spans="1:11" ht="60" customHeight="1" x14ac:dyDescent="0.2">
      <c r="A1858" s="2">
        <v>1855</v>
      </c>
      <c r="B1858" s="3" t="str">
        <f t="shared" si="319"/>
        <v>microRNA 208a</v>
      </c>
      <c r="C1858" s="3" t="str">
        <f t="shared" si="320"/>
        <v>MIR208A</v>
      </c>
      <c r="D1858" s="3" t="str">
        <f t="shared" si="321"/>
        <v>hsa-mir-208a</v>
      </c>
      <c r="E1858" s="2" t="s">
        <v>72</v>
      </c>
      <c r="F1858" s="3" t="str">
        <f t="shared" si="322"/>
        <v>microRNA 208a</v>
      </c>
      <c r="G1858" s="4"/>
      <c r="H1858" s="3" t="str">
        <f>HYPERLINK("https://www.cortellis.com/drugdiscovery/entity/biomarkers/51303","microRNA 208a-5p")</f>
        <v>microRNA 208a-5p</v>
      </c>
      <c r="I1858" s="2" t="s">
        <v>94</v>
      </c>
      <c r="J1858" s="2" t="s">
        <v>19</v>
      </c>
      <c r="K1858" s="4" t="str">
        <f>HYPERLINK("https://www.cortellis.com/drugdiscovery/result/proxy/related-content/biomarkers/genestargets/51303","microRNA 208a")</f>
        <v>microRNA 208a</v>
      </c>
    </row>
    <row r="1859" spans="1:11" ht="60" customHeight="1" x14ac:dyDescent="0.2">
      <c r="A1859" s="2">
        <v>1856</v>
      </c>
      <c r="B1859" s="3" t="str">
        <f t="shared" si="319"/>
        <v>microRNA 208a</v>
      </c>
      <c r="C1859" s="3" t="str">
        <f t="shared" si="320"/>
        <v>MIR208A</v>
      </c>
      <c r="D1859" s="3" t="str">
        <f t="shared" si="321"/>
        <v>hsa-mir-208a</v>
      </c>
      <c r="E1859" s="2" t="s">
        <v>72</v>
      </c>
      <c r="F1859" s="3" t="str">
        <f t="shared" si="322"/>
        <v>microRNA 208a</v>
      </c>
      <c r="G1859" s="4"/>
      <c r="H1859" s="3" t="str">
        <f>HYPERLINK("https://www.cortellis.com/drugdiscovery/entity/biomarkers/59612","3-microRNA transplant rejection panel")</f>
        <v>3-microRNA transplant rejection panel</v>
      </c>
      <c r="I1859" s="2" t="s">
        <v>23</v>
      </c>
      <c r="J1859" s="2" t="s">
        <v>19</v>
      </c>
      <c r="K1859" s="4" t="str">
        <f>HYPERLINK("https://www.cortellis.com/drugdiscovery/result/proxy/related-content/biomarkers/genestargets/59612","microRNA 208a")</f>
        <v>microRNA 208a</v>
      </c>
    </row>
    <row r="1860" spans="1:11" ht="60" customHeight="1" x14ac:dyDescent="0.2">
      <c r="A1860" s="2">
        <v>1857</v>
      </c>
      <c r="B1860" s="3" t="str">
        <f t="shared" si="319"/>
        <v>microRNA 208a</v>
      </c>
      <c r="C1860" s="3" t="str">
        <f t="shared" si="320"/>
        <v>MIR208A</v>
      </c>
      <c r="D1860" s="3" t="str">
        <f t="shared" si="321"/>
        <v>hsa-mir-208a</v>
      </c>
      <c r="E1860" s="2" t="s">
        <v>72</v>
      </c>
      <c r="F1860" s="3" t="str">
        <f t="shared" si="322"/>
        <v>microRNA 208a</v>
      </c>
      <c r="G1860" s="4"/>
      <c r="H1860" s="3" t="str">
        <f>HYPERLINK("https://www.cortellis.com/drugdiscovery/entity/biomarkers/59614","5-microRNA acute cellular rejection panel")</f>
        <v>5-microRNA acute cellular rejection panel</v>
      </c>
      <c r="I1860" s="2" t="s">
        <v>23</v>
      </c>
      <c r="J1860" s="2" t="s">
        <v>19</v>
      </c>
      <c r="K1860" s="4" t="str">
        <f>HYPERLINK("https://www.cortellis.com/drugdiscovery/result/proxy/related-content/biomarkers/genestargets/59614","microRNA 208a")</f>
        <v>microRNA 208a</v>
      </c>
    </row>
    <row r="1861" spans="1:11" ht="60" customHeight="1" x14ac:dyDescent="0.2">
      <c r="A1861" s="2">
        <v>1858</v>
      </c>
      <c r="B1861" s="3" t="str">
        <f t="shared" si="319"/>
        <v>microRNA 208a</v>
      </c>
      <c r="C1861" s="3" t="str">
        <f t="shared" si="320"/>
        <v>MIR208A</v>
      </c>
      <c r="D1861" s="3" t="str">
        <f t="shared" si="321"/>
        <v>hsa-mir-208a</v>
      </c>
      <c r="E1861" s="2" t="s">
        <v>72</v>
      </c>
      <c r="F1861" s="3" t="str">
        <f t="shared" si="322"/>
        <v>microRNA 208a</v>
      </c>
      <c r="G1861" s="4"/>
      <c r="H1861" s="3" t="str">
        <f>HYPERLINK("https://www.cortellis.com/drugdiscovery/entity/biomarkers/65007","2-microRNA non-small cell lung cancer panel")</f>
        <v>2-microRNA non-small cell lung cancer panel</v>
      </c>
      <c r="I1861" s="2" t="s">
        <v>18</v>
      </c>
      <c r="J1861" s="2" t="s">
        <v>19</v>
      </c>
      <c r="K1861" s="4" t="str">
        <f>HYPERLINK("https://www.cortellis.com/drugdiscovery/result/proxy/related-content/biomarkers/genestargets/65007","microRNA 208a")</f>
        <v>microRNA 208a</v>
      </c>
    </row>
    <row r="1862" spans="1:11" ht="60" customHeight="1" x14ac:dyDescent="0.2">
      <c r="A1862" s="2">
        <v>1859</v>
      </c>
      <c r="B1862" s="3" t="str">
        <f>HYPERLINK("https://portal.genego.com/cgi/entity_page.cgi?term=100&amp;id=-294369762","microRNA 208b")</f>
        <v>microRNA 208b</v>
      </c>
      <c r="C1862" s="3" t="str">
        <f>HYPERLINK("https://portal.genego.com/cgi/entity_page.cgi?term=20&amp;id=-1760999767","MIR208B")</f>
        <v>MIR208B</v>
      </c>
      <c r="D1862" s="3" t="str">
        <f>HYPERLINK("https://portal.genego.com/cgi/entity_page.cgi?term=7&amp;id=-204277937","hsa-mir-208b")</f>
        <v>hsa-mir-208b</v>
      </c>
      <c r="E1862" s="2" t="s">
        <v>72</v>
      </c>
      <c r="F1862" s="3" t="str">
        <f>HYPERLINK("https://portal.genego.com/cgi/entity_page.cgi?term=100&amp;id=-294369762","microRNA 208b")</f>
        <v>microRNA 208b</v>
      </c>
      <c r="G1862" s="4"/>
      <c r="H1862" s="3" t="str">
        <f>HYPERLINK("https://www.cortellis.com/drugdiscovery/entity/biomarkers/9894","microRNA 208b")</f>
        <v>microRNA 208b</v>
      </c>
      <c r="I1862" s="2" t="s">
        <v>80</v>
      </c>
      <c r="J1862" s="2" t="s">
        <v>19</v>
      </c>
      <c r="K1862" s="4" t="str">
        <f>HYPERLINK("https://www.cortellis.com/drugdiscovery/result/proxy/related-content/biomarkers/genestargets/9894","microRNA 208b")</f>
        <v>microRNA 208b</v>
      </c>
    </row>
    <row r="1863" spans="1:11" ht="60" customHeight="1" x14ac:dyDescent="0.2">
      <c r="A1863" s="2">
        <v>1860</v>
      </c>
      <c r="B1863" s="3" t="str">
        <f>HYPERLINK("https://portal.genego.com/cgi/entity_page.cgi?term=100&amp;id=-294369762","microRNA 208b")</f>
        <v>microRNA 208b</v>
      </c>
      <c r="C1863" s="3" t="str">
        <f>HYPERLINK("https://portal.genego.com/cgi/entity_page.cgi?term=20&amp;id=-1760999767","MIR208B")</f>
        <v>MIR208B</v>
      </c>
      <c r="D1863" s="3" t="str">
        <f>HYPERLINK("https://portal.genego.com/cgi/entity_page.cgi?term=7&amp;id=-204277937","hsa-mir-208b")</f>
        <v>hsa-mir-208b</v>
      </c>
      <c r="E1863" s="2" t="s">
        <v>72</v>
      </c>
      <c r="F1863" s="3" t="str">
        <f>HYPERLINK("https://portal.genego.com/cgi/entity_page.cgi?term=100&amp;id=-294369762","microRNA 208b")</f>
        <v>microRNA 208b</v>
      </c>
      <c r="G1863" s="4"/>
      <c r="H1863" s="3" t="str">
        <f>HYPERLINK("https://www.cortellis.com/drugdiscovery/entity/biomarkers/42307","microRNA 208b-3p")</f>
        <v>microRNA 208b-3p</v>
      </c>
      <c r="I1863" s="2" t="s">
        <v>95</v>
      </c>
      <c r="J1863" s="2" t="s">
        <v>19</v>
      </c>
      <c r="K1863" s="4" t="str">
        <f>HYPERLINK("https://www.cortellis.com/drugdiscovery/result/proxy/related-content/biomarkers/genestargets/42307","microRNA 208b")</f>
        <v>microRNA 208b</v>
      </c>
    </row>
    <row r="1864" spans="1:11" ht="60" customHeight="1" x14ac:dyDescent="0.2">
      <c r="A1864" s="2">
        <v>1861</v>
      </c>
      <c r="B1864" s="3" t="str">
        <f t="shared" ref="B1864:B1873" si="323">HYPERLINK("https://portal.genego.com/cgi/entity_page.cgi?term=100&amp;id=-318370204","microRNA 214")</f>
        <v>microRNA 214</v>
      </c>
      <c r="C1864" s="3" t="str">
        <f t="shared" ref="C1864:C1873" si="324">HYPERLINK("https://portal.genego.com/cgi/entity_page.cgi?term=20&amp;id=-1245577285","MIR214")</f>
        <v>MIR214</v>
      </c>
      <c r="D1864" s="3" t="str">
        <f t="shared" ref="D1864:D1873" si="325">HYPERLINK("https://portal.genego.com/cgi/entity_page.cgi?term=7&amp;id=-373076371","hsa-mir-214")</f>
        <v>hsa-mir-214</v>
      </c>
      <c r="E1864" s="2" t="s">
        <v>72</v>
      </c>
      <c r="F1864" s="3" t="str">
        <f t="shared" ref="F1864:F1873" si="326">HYPERLINK("https://portal.genego.com/cgi/entity_page.cgi?term=100&amp;id=-318370204","microRNA 214")</f>
        <v>microRNA 214</v>
      </c>
      <c r="G1864" s="4"/>
      <c r="H1864" s="3" t="str">
        <f>HYPERLINK("https://www.cortellis.com/drugdiscovery/entity/biomarkers/7218","microRNA 214")</f>
        <v>microRNA 214</v>
      </c>
      <c r="I1864" s="2" t="s">
        <v>96</v>
      </c>
      <c r="J1864" s="2" t="s">
        <v>19</v>
      </c>
      <c r="K1864" s="4" t="str">
        <f>HYPERLINK("https://www.cortellis.com/drugdiscovery/result/proxy/related-content/biomarkers/genestargets/7218","microRNA 214")</f>
        <v>microRNA 214</v>
      </c>
    </row>
    <row r="1865" spans="1:11" ht="60" customHeight="1" x14ac:dyDescent="0.2">
      <c r="A1865" s="2">
        <v>1862</v>
      </c>
      <c r="B1865" s="3" t="str">
        <f t="shared" si="323"/>
        <v>microRNA 214</v>
      </c>
      <c r="C1865" s="3" t="str">
        <f t="shared" si="324"/>
        <v>MIR214</v>
      </c>
      <c r="D1865" s="3" t="str">
        <f t="shared" si="325"/>
        <v>hsa-mir-214</v>
      </c>
      <c r="E1865" s="2" t="s">
        <v>72</v>
      </c>
      <c r="F1865" s="3" t="str">
        <f t="shared" si="326"/>
        <v>microRNA 214</v>
      </c>
      <c r="G1865" s="4"/>
      <c r="H1865" s="3" t="str">
        <f>HYPERLINK("https://www.cortellis.com/drugdiscovery/entity/biomarkers/24189","miRview mets")</f>
        <v>miRview mets</v>
      </c>
      <c r="I1865" s="2" t="s">
        <v>23</v>
      </c>
      <c r="J1865" s="2" t="s">
        <v>19</v>
      </c>
      <c r="K1865" s="4" t="str">
        <f>HYPERLINK("https://www.cortellis.com/drugdiscovery/result/proxy/related-content/biomarkers/genestargets/24189","microRNA 146a; microRNA 214")</f>
        <v>microRNA 146a; microRNA 214</v>
      </c>
    </row>
    <row r="1866" spans="1:11" ht="60" customHeight="1" x14ac:dyDescent="0.2">
      <c r="A1866" s="2">
        <v>1863</v>
      </c>
      <c r="B1866" s="3" t="str">
        <f t="shared" si="323"/>
        <v>microRNA 214</v>
      </c>
      <c r="C1866" s="3" t="str">
        <f t="shared" si="324"/>
        <v>MIR214</v>
      </c>
      <c r="D1866" s="3" t="str">
        <f t="shared" si="325"/>
        <v>hsa-mir-214</v>
      </c>
      <c r="E1866" s="2" t="s">
        <v>72</v>
      </c>
      <c r="F1866" s="3" t="str">
        <f t="shared" si="326"/>
        <v>microRNA 214</v>
      </c>
      <c r="G1866" s="4"/>
      <c r="H1866" s="3" t="str">
        <f>HYPERLINK("https://www.cortellis.com/drugdiscovery/entity/biomarkers/27309","57-microRNA mouth cancer panel")</f>
        <v>57-microRNA mouth cancer panel</v>
      </c>
      <c r="I1866" s="2" t="s">
        <v>23</v>
      </c>
      <c r="J1866" s="2" t="s">
        <v>19</v>
      </c>
      <c r="K1866" s="4" t="str">
        <f>HYPERLINK("https://www.cortellis.com/drugdiscovery/result/proxy/related-content/biomarkers/genestargets/27309","microRNA 146a; microRNA 155; microRNA 214; microRNA 223")</f>
        <v>microRNA 146a; microRNA 155; microRNA 214; microRNA 223</v>
      </c>
    </row>
    <row r="1867" spans="1:11" ht="60" customHeight="1" x14ac:dyDescent="0.2">
      <c r="A1867" s="2">
        <v>1864</v>
      </c>
      <c r="B1867" s="3" t="str">
        <f t="shared" si="323"/>
        <v>microRNA 214</v>
      </c>
      <c r="C1867" s="3" t="str">
        <f t="shared" si="324"/>
        <v>MIR214</v>
      </c>
      <c r="D1867" s="3" t="str">
        <f t="shared" si="325"/>
        <v>hsa-mir-214</v>
      </c>
      <c r="E1867" s="2" t="s">
        <v>72</v>
      </c>
      <c r="F1867" s="3" t="str">
        <f t="shared" si="326"/>
        <v>microRNA 214</v>
      </c>
      <c r="G1867" s="4"/>
      <c r="H1867" s="3" t="str">
        <f>HYPERLINK("https://www.cortellis.com/drugdiscovery/entity/biomarkers/41825","microRNA 214-3p")</f>
        <v>microRNA 214-3p</v>
      </c>
      <c r="I1867" s="2" t="s">
        <v>97</v>
      </c>
      <c r="J1867" s="2" t="s">
        <v>19</v>
      </c>
      <c r="K1867" s="4" t="str">
        <f>HYPERLINK("https://www.cortellis.com/drugdiscovery/result/proxy/related-content/biomarkers/genestargets/41825","microRNA 214")</f>
        <v>microRNA 214</v>
      </c>
    </row>
    <row r="1868" spans="1:11" ht="60" customHeight="1" x14ac:dyDescent="0.2">
      <c r="A1868" s="2">
        <v>1865</v>
      </c>
      <c r="B1868" s="3" t="str">
        <f t="shared" si="323"/>
        <v>microRNA 214</v>
      </c>
      <c r="C1868" s="3" t="str">
        <f t="shared" si="324"/>
        <v>MIR214</v>
      </c>
      <c r="D1868" s="3" t="str">
        <f t="shared" si="325"/>
        <v>hsa-mir-214</v>
      </c>
      <c r="E1868" s="2" t="s">
        <v>72</v>
      </c>
      <c r="F1868" s="3" t="str">
        <f t="shared" si="326"/>
        <v>microRNA 214</v>
      </c>
      <c r="G1868" s="4"/>
      <c r="H1868" s="3" t="str">
        <f>HYPERLINK("https://www.cortellis.com/drugdiscovery/entity/biomarkers/42167","microRNa 214-5p")</f>
        <v>microRNa 214-5p</v>
      </c>
      <c r="I1868" s="2" t="s">
        <v>98</v>
      </c>
      <c r="J1868" s="2" t="s">
        <v>19</v>
      </c>
      <c r="K1868" s="4" t="str">
        <f>HYPERLINK("https://www.cortellis.com/drugdiscovery/result/proxy/related-content/biomarkers/genestargets/42167","microRNA 214")</f>
        <v>microRNA 214</v>
      </c>
    </row>
    <row r="1869" spans="1:11" ht="60" customHeight="1" x14ac:dyDescent="0.2">
      <c r="A1869" s="2">
        <v>1866</v>
      </c>
      <c r="B1869" s="3" t="str">
        <f t="shared" si="323"/>
        <v>microRNA 214</v>
      </c>
      <c r="C1869" s="3" t="str">
        <f t="shared" si="324"/>
        <v>MIR214</v>
      </c>
      <c r="D1869" s="3" t="str">
        <f t="shared" si="325"/>
        <v>hsa-mir-214</v>
      </c>
      <c r="E1869" s="2" t="s">
        <v>72</v>
      </c>
      <c r="F1869" s="3" t="str">
        <f t="shared" si="326"/>
        <v>microRNA 214</v>
      </c>
      <c r="G1869" s="4"/>
      <c r="H1869" s="3" t="str">
        <f>HYPERLINK("https://www.cortellis.com/drugdiscovery/entity/biomarkers/50824","5-microRNA non small cell lung cancer panel")</f>
        <v>5-microRNA non small cell lung cancer panel</v>
      </c>
      <c r="I1869" s="2" t="s">
        <v>23</v>
      </c>
      <c r="J1869" s="2" t="s">
        <v>19</v>
      </c>
      <c r="K1869" s="4" t="str">
        <f>HYPERLINK("https://www.cortellis.com/drugdiscovery/result/proxy/related-content/biomarkers/genestargets/50824","microRNA 214")</f>
        <v>microRNA 214</v>
      </c>
    </row>
    <row r="1870" spans="1:11" ht="60" customHeight="1" x14ac:dyDescent="0.2">
      <c r="A1870" s="2">
        <v>1867</v>
      </c>
      <c r="B1870" s="3" t="str">
        <f t="shared" si="323"/>
        <v>microRNA 214</v>
      </c>
      <c r="C1870" s="3" t="str">
        <f t="shared" si="324"/>
        <v>MIR214</v>
      </c>
      <c r="D1870" s="3" t="str">
        <f t="shared" si="325"/>
        <v>hsa-mir-214</v>
      </c>
      <c r="E1870" s="2" t="s">
        <v>72</v>
      </c>
      <c r="F1870" s="3" t="str">
        <f t="shared" si="326"/>
        <v>microRNA 214</v>
      </c>
      <c r="G1870" s="4"/>
      <c r="H1870" s="3" t="str">
        <f>HYPERLINK("https://www.cortellis.com/drugdiscovery/entity/biomarkers/53082","4-microRNA expression neurological disorders panel")</f>
        <v>4-microRNA expression neurological disorders panel</v>
      </c>
      <c r="I1870" s="2" t="s">
        <v>23</v>
      </c>
      <c r="J1870" s="2" t="s">
        <v>19</v>
      </c>
      <c r="K1870" s="4" t="str">
        <f>HYPERLINK("https://www.cortellis.com/drugdiscovery/result/proxy/related-content/biomarkers/genestargets/53082","microRNA 146b; microRNA 214")</f>
        <v>microRNA 146b; microRNA 214</v>
      </c>
    </row>
    <row r="1871" spans="1:11" ht="60" customHeight="1" x14ac:dyDescent="0.2">
      <c r="A1871" s="2">
        <v>1868</v>
      </c>
      <c r="B1871" s="3" t="str">
        <f t="shared" si="323"/>
        <v>microRNA 214</v>
      </c>
      <c r="C1871" s="3" t="str">
        <f t="shared" si="324"/>
        <v>MIR214</v>
      </c>
      <c r="D1871" s="3" t="str">
        <f t="shared" si="325"/>
        <v>hsa-mir-214</v>
      </c>
      <c r="E1871" s="2" t="s">
        <v>72</v>
      </c>
      <c r="F1871" s="3" t="str">
        <f t="shared" si="326"/>
        <v>microRNA 214</v>
      </c>
      <c r="G1871" s="4"/>
      <c r="H1871" s="3" t="str">
        <f>HYPERLINK("https://www.cortellis.com/drugdiscovery/entity/biomarkers/55927","4-microRNA HCV-related, hepatocellular carcinoma panel")</f>
        <v>4-microRNA HCV-related, hepatocellular carcinoma panel</v>
      </c>
      <c r="I1871" s="2" t="s">
        <v>52</v>
      </c>
      <c r="J1871" s="2" t="s">
        <v>19</v>
      </c>
      <c r="K1871" s="4" t="str">
        <f>HYPERLINK("https://www.cortellis.com/drugdiscovery/result/proxy/related-content/biomarkers/genestargets/55927","microRNA 214")</f>
        <v>microRNA 214</v>
      </c>
    </row>
    <row r="1872" spans="1:11" ht="60" customHeight="1" x14ac:dyDescent="0.2">
      <c r="A1872" s="2">
        <v>1869</v>
      </c>
      <c r="B1872" s="3" t="str">
        <f t="shared" si="323"/>
        <v>microRNA 214</v>
      </c>
      <c r="C1872" s="3" t="str">
        <f t="shared" si="324"/>
        <v>MIR214</v>
      </c>
      <c r="D1872" s="3" t="str">
        <f t="shared" si="325"/>
        <v>hsa-mir-214</v>
      </c>
      <c r="E1872" s="2" t="s">
        <v>72</v>
      </c>
      <c r="F1872" s="3" t="str">
        <f t="shared" si="326"/>
        <v>microRNA 214</v>
      </c>
      <c r="G1872" s="4"/>
      <c r="H1872" s="3" t="str">
        <f>HYPERLINK("https://www.cortellis.com/drugdiscovery/entity/biomarkers/60069","4-microRNA breast cancer panel")</f>
        <v>4-microRNA breast cancer panel</v>
      </c>
      <c r="I1872" s="2" t="s">
        <v>25</v>
      </c>
      <c r="J1872" s="2" t="s">
        <v>19</v>
      </c>
      <c r="K1872" s="4" t="str">
        <f>HYPERLINK("https://www.cortellis.com/drugdiscovery/result/proxy/related-content/biomarkers/genestargets/60069","microRNA 214")</f>
        <v>microRNA 214</v>
      </c>
    </row>
    <row r="1873" spans="1:11" ht="60" customHeight="1" x14ac:dyDescent="0.2">
      <c r="A1873" s="2">
        <v>1870</v>
      </c>
      <c r="B1873" s="3" t="str">
        <f t="shared" si="323"/>
        <v>microRNA 214</v>
      </c>
      <c r="C1873" s="3" t="str">
        <f t="shared" si="324"/>
        <v>MIR214</v>
      </c>
      <c r="D1873" s="3" t="str">
        <f t="shared" si="325"/>
        <v>hsa-mir-214</v>
      </c>
      <c r="E1873" s="2" t="s">
        <v>72</v>
      </c>
      <c r="F1873" s="3" t="str">
        <f t="shared" si="326"/>
        <v>microRNA 214</v>
      </c>
      <c r="G1873" s="4"/>
      <c r="H1873" s="3" t="str">
        <f>HYPERLINK("https://www.cortellis.com/drugdiscovery/entity/biomarkers/65103","5-microRNA non-small-cell lung cancer panel")</f>
        <v>5-microRNA non-small-cell lung cancer panel</v>
      </c>
      <c r="I1873" s="2" t="s">
        <v>75</v>
      </c>
      <c r="J1873" s="2" t="s">
        <v>19</v>
      </c>
      <c r="K1873" s="4" t="str">
        <f>HYPERLINK("https://www.cortellis.com/drugdiscovery/result/proxy/related-content/biomarkers/genestargets/65103","microRNA 1-1; microRNA 1-2; microRNA 214")</f>
        <v>microRNA 1-1; microRNA 1-2; microRNA 214</v>
      </c>
    </row>
    <row r="1874" spans="1:11" ht="60" customHeight="1" x14ac:dyDescent="0.2">
      <c r="A1874" s="2">
        <v>1871</v>
      </c>
      <c r="B1874" s="3" t="str">
        <f t="shared" ref="B1874:B1892" si="327">HYPERLINK("https://portal.genego.com/cgi/entity_page.cgi?term=100&amp;id=-1584862141","microRNA 223")</f>
        <v>microRNA 223</v>
      </c>
      <c r="C1874" s="3" t="str">
        <f t="shared" ref="C1874:C1892" si="328">HYPERLINK("https://portal.genego.com/cgi/entity_page.cgi?term=20&amp;id=-117210674","MIR223")</f>
        <v>MIR223</v>
      </c>
      <c r="D1874" s="3" t="str">
        <f t="shared" ref="D1874:D1892" si="329">HYPERLINK("https://portal.genego.com/cgi/entity_page.cgi?term=7&amp;id=-797550394","hsa-mir-223")</f>
        <v>hsa-mir-223</v>
      </c>
      <c r="E1874" s="2" t="s">
        <v>72</v>
      </c>
      <c r="F1874" s="3" t="str">
        <f t="shared" ref="F1874:F1892" si="330">HYPERLINK("https://portal.genego.com/cgi/entity_page.cgi?term=100&amp;id=-1584862141","microRNA 223")</f>
        <v>microRNA 223</v>
      </c>
      <c r="G1874" s="4"/>
      <c r="H1874" s="3" t="str">
        <f>HYPERLINK("https://www.cortellis.com/drugdiscovery/entity/biomarkers/2543","microRNA 223")</f>
        <v>microRNA 223</v>
      </c>
      <c r="I1874" s="2" t="s">
        <v>56</v>
      </c>
      <c r="J1874" s="2" t="s">
        <v>19</v>
      </c>
      <c r="K1874" s="4" t="str">
        <f>HYPERLINK("https://www.cortellis.com/drugdiscovery/result/proxy/related-content/biomarkers/genestargets/2543","microRNA 223")</f>
        <v>microRNA 223</v>
      </c>
    </row>
    <row r="1875" spans="1:11" ht="60" customHeight="1" x14ac:dyDescent="0.2">
      <c r="A1875" s="2">
        <v>1872</v>
      </c>
      <c r="B1875" s="3" t="str">
        <f t="shared" si="327"/>
        <v>microRNA 223</v>
      </c>
      <c r="C1875" s="3" t="str">
        <f t="shared" si="328"/>
        <v>MIR223</v>
      </c>
      <c r="D1875" s="3" t="str">
        <f t="shared" si="329"/>
        <v>hsa-mir-223</v>
      </c>
      <c r="E1875" s="2" t="s">
        <v>72</v>
      </c>
      <c r="F1875" s="3" t="str">
        <f t="shared" si="330"/>
        <v>microRNA 223</v>
      </c>
      <c r="G1875" s="4"/>
      <c r="H1875" s="3" t="str">
        <f>HYPERLINK("https://www.cortellis.com/drugdiscovery/entity/biomarkers/24383","7-microRNA esophageal cancer panel")</f>
        <v>7-microRNA esophageal cancer panel</v>
      </c>
      <c r="I1875" s="2" t="s">
        <v>23</v>
      </c>
      <c r="J1875" s="2" t="s">
        <v>19</v>
      </c>
      <c r="K1875" s="4" t="str">
        <f>HYPERLINK("https://www.cortellis.com/drugdiscovery/result/proxy/related-content/biomarkers/genestargets/24383","microRNA 133a-1; microRNA 133a-2; microRNA 223")</f>
        <v>microRNA 133a-1; microRNA 133a-2; microRNA 223</v>
      </c>
    </row>
    <row r="1876" spans="1:11" ht="60" customHeight="1" x14ac:dyDescent="0.2">
      <c r="A1876" s="2">
        <v>1873</v>
      </c>
      <c r="B1876" s="3" t="str">
        <f t="shared" si="327"/>
        <v>microRNA 223</v>
      </c>
      <c r="C1876" s="3" t="str">
        <f t="shared" si="328"/>
        <v>MIR223</v>
      </c>
      <c r="D1876" s="3" t="str">
        <f t="shared" si="329"/>
        <v>hsa-mir-223</v>
      </c>
      <c r="E1876" s="2" t="s">
        <v>72</v>
      </c>
      <c r="F1876" s="3" t="str">
        <f t="shared" si="330"/>
        <v>microRNA 223</v>
      </c>
      <c r="G1876" s="4"/>
      <c r="H1876" s="3" t="str">
        <f>HYPERLINK("https://www.cortellis.com/drugdiscovery/entity/biomarkers/27309","57-microRNA mouth cancer panel")</f>
        <v>57-microRNA mouth cancer panel</v>
      </c>
      <c r="I1876" s="2" t="s">
        <v>23</v>
      </c>
      <c r="J1876" s="2" t="s">
        <v>19</v>
      </c>
      <c r="K1876" s="4" t="str">
        <f>HYPERLINK("https://www.cortellis.com/drugdiscovery/result/proxy/related-content/biomarkers/genestargets/27309","microRNA 146a; microRNA 155; microRNA 214; microRNA 223")</f>
        <v>microRNA 146a; microRNA 155; microRNA 214; microRNA 223</v>
      </c>
    </row>
    <row r="1877" spans="1:11" ht="60" customHeight="1" x14ac:dyDescent="0.2">
      <c r="A1877" s="2">
        <v>1874</v>
      </c>
      <c r="B1877" s="3" t="str">
        <f t="shared" si="327"/>
        <v>microRNA 223</v>
      </c>
      <c r="C1877" s="3" t="str">
        <f t="shared" si="328"/>
        <v>MIR223</v>
      </c>
      <c r="D1877" s="3" t="str">
        <f t="shared" si="329"/>
        <v>hsa-mir-223</v>
      </c>
      <c r="E1877" s="2" t="s">
        <v>72</v>
      </c>
      <c r="F1877" s="3" t="str">
        <f t="shared" si="330"/>
        <v>microRNA 223</v>
      </c>
      <c r="G1877" s="4"/>
      <c r="H1877" s="3" t="str">
        <f>HYPERLINK("https://www.cortellis.com/drugdiscovery/entity/biomarkers/27395","13-microRNA liver cancer panel")</f>
        <v>13-microRNA liver cancer panel</v>
      </c>
      <c r="I1877" s="2" t="s">
        <v>52</v>
      </c>
      <c r="J1877" s="2" t="s">
        <v>19</v>
      </c>
      <c r="K1877" s="4" t="str">
        <f>HYPERLINK("https://www.cortellis.com/drugdiscovery/result/proxy/related-content/biomarkers/genestargets/27395","microRNA 150; microRNA 223")</f>
        <v>microRNA 150; microRNA 223</v>
      </c>
    </row>
    <row r="1878" spans="1:11" ht="60" customHeight="1" x14ac:dyDescent="0.2">
      <c r="A1878" s="2">
        <v>1875</v>
      </c>
      <c r="B1878" s="3" t="str">
        <f t="shared" si="327"/>
        <v>microRNA 223</v>
      </c>
      <c r="C1878" s="3" t="str">
        <f t="shared" si="328"/>
        <v>MIR223</v>
      </c>
      <c r="D1878" s="3" t="str">
        <f t="shared" si="329"/>
        <v>hsa-mir-223</v>
      </c>
      <c r="E1878" s="2" t="s">
        <v>72</v>
      </c>
      <c r="F1878" s="3" t="str">
        <f t="shared" si="330"/>
        <v>microRNA 223</v>
      </c>
      <c r="G1878" s="4"/>
      <c r="H1878" s="3" t="str">
        <f>HYPERLINK("https://www.cortellis.com/drugdiscovery/entity/biomarkers/28446","7-microRNA gastric cancer panel")</f>
        <v>7-microRNA gastric cancer panel</v>
      </c>
      <c r="I1878" s="2" t="s">
        <v>25</v>
      </c>
      <c r="J1878" s="2" t="s">
        <v>19</v>
      </c>
      <c r="K1878" s="4" t="str">
        <f>HYPERLINK("https://www.cortellis.com/drugdiscovery/result/proxy/related-content/biomarkers/genestargets/28446","microRNA 223")</f>
        <v>microRNA 223</v>
      </c>
    </row>
    <row r="1879" spans="1:11" ht="60" customHeight="1" x14ac:dyDescent="0.2">
      <c r="A1879" s="2">
        <v>1876</v>
      </c>
      <c r="B1879" s="3" t="str">
        <f t="shared" si="327"/>
        <v>microRNA 223</v>
      </c>
      <c r="C1879" s="3" t="str">
        <f t="shared" si="328"/>
        <v>MIR223</v>
      </c>
      <c r="D1879" s="3" t="str">
        <f t="shared" si="329"/>
        <v>hsa-mir-223</v>
      </c>
      <c r="E1879" s="2" t="s">
        <v>72</v>
      </c>
      <c r="F1879" s="3" t="str">
        <f t="shared" si="330"/>
        <v>microRNA 223</v>
      </c>
      <c r="G1879" s="4"/>
      <c r="H1879" s="3" t="str">
        <f>HYPERLINK("https://www.cortellis.com/drugdiscovery/entity/biomarkers/31110","3-microRNA B-cell chronic lymphocytic leukemia panel")</f>
        <v>3-microRNA B-cell chronic lymphocytic leukemia panel</v>
      </c>
      <c r="I1879" s="2" t="s">
        <v>25</v>
      </c>
      <c r="J1879" s="2" t="s">
        <v>19</v>
      </c>
      <c r="K1879" s="4" t="str">
        <f>HYPERLINK("https://www.cortellis.com/drugdiscovery/result/proxy/related-content/biomarkers/genestargets/31110","microRNA 223")</f>
        <v>microRNA 223</v>
      </c>
    </row>
    <row r="1880" spans="1:11" ht="60" customHeight="1" x14ac:dyDescent="0.2">
      <c r="A1880" s="2">
        <v>1877</v>
      </c>
      <c r="B1880" s="3" t="str">
        <f t="shared" si="327"/>
        <v>microRNA 223</v>
      </c>
      <c r="C1880" s="3" t="str">
        <f t="shared" si="328"/>
        <v>MIR223</v>
      </c>
      <c r="D1880" s="3" t="str">
        <f t="shared" si="329"/>
        <v>hsa-mir-223</v>
      </c>
      <c r="E1880" s="2" t="s">
        <v>72</v>
      </c>
      <c r="F1880" s="3" t="str">
        <f t="shared" si="330"/>
        <v>microRNA 223</v>
      </c>
      <c r="G1880" s="4"/>
      <c r="H1880" s="3" t="str">
        <f>HYPERLINK("https://www.cortellis.com/drugdiscovery/entity/biomarkers/36533","7-microRNA liver panel")</f>
        <v>7-microRNA liver panel</v>
      </c>
      <c r="I1880" s="2" t="s">
        <v>52</v>
      </c>
      <c r="J1880" s="2" t="s">
        <v>19</v>
      </c>
      <c r="K1880" s="4" t="str">
        <f>HYPERLINK("https://www.cortellis.com/drugdiscovery/result/proxy/related-content/biomarkers/genestargets/36533","microRNA 223")</f>
        <v>microRNA 223</v>
      </c>
    </row>
    <row r="1881" spans="1:11" ht="60" customHeight="1" x14ac:dyDescent="0.2">
      <c r="A1881" s="2">
        <v>1878</v>
      </c>
      <c r="B1881" s="3" t="str">
        <f t="shared" si="327"/>
        <v>microRNA 223</v>
      </c>
      <c r="C1881" s="3" t="str">
        <f t="shared" si="328"/>
        <v>MIR223</v>
      </c>
      <c r="D1881" s="3" t="str">
        <f t="shared" si="329"/>
        <v>hsa-mir-223</v>
      </c>
      <c r="E1881" s="2" t="s">
        <v>72</v>
      </c>
      <c r="F1881" s="3" t="str">
        <f t="shared" si="330"/>
        <v>microRNA 223</v>
      </c>
      <c r="G1881" s="4"/>
      <c r="H1881" s="3" t="str">
        <f>HYPERLINK("https://www.cortellis.com/drugdiscovery/entity/biomarkers/40925","microRNA 223-3p")</f>
        <v>microRNA 223-3p</v>
      </c>
      <c r="I1881" s="2" t="s">
        <v>99</v>
      </c>
      <c r="J1881" s="2" t="s">
        <v>19</v>
      </c>
      <c r="K1881" s="4" t="str">
        <f>HYPERLINK("https://www.cortellis.com/drugdiscovery/result/proxy/related-content/biomarkers/genestargets/40925","microRNA 223")</f>
        <v>microRNA 223</v>
      </c>
    </row>
    <row r="1882" spans="1:11" ht="60" customHeight="1" x14ac:dyDescent="0.2">
      <c r="A1882" s="2">
        <v>1879</v>
      </c>
      <c r="B1882" s="3" t="str">
        <f t="shared" si="327"/>
        <v>microRNA 223</v>
      </c>
      <c r="C1882" s="3" t="str">
        <f t="shared" si="328"/>
        <v>MIR223</v>
      </c>
      <c r="D1882" s="3" t="str">
        <f t="shared" si="329"/>
        <v>hsa-mir-223</v>
      </c>
      <c r="E1882" s="2" t="s">
        <v>72</v>
      </c>
      <c r="F1882" s="3" t="str">
        <f t="shared" si="330"/>
        <v>microRNA 223</v>
      </c>
      <c r="G1882" s="4"/>
      <c r="H1882" s="3" t="str">
        <f>HYPERLINK("https://www.cortellis.com/drugdiscovery/entity/biomarkers/41006","microRNA 223-5p")</f>
        <v>microRNA 223-5p</v>
      </c>
      <c r="I1882" s="2" t="s">
        <v>80</v>
      </c>
      <c r="J1882" s="2" t="s">
        <v>19</v>
      </c>
      <c r="K1882" s="4" t="str">
        <f>HYPERLINK("https://www.cortellis.com/drugdiscovery/result/proxy/related-content/biomarkers/genestargets/41006","microRNA 223")</f>
        <v>microRNA 223</v>
      </c>
    </row>
    <row r="1883" spans="1:11" ht="60" customHeight="1" x14ac:dyDescent="0.2">
      <c r="A1883" s="2">
        <v>1880</v>
      </c>
      <c r="B1883" s="3" t="str">
        <f t="shared" si="327"/>
        <v>microRNA 223</v>
      </c>
      <c r="C1883" s="3" t="str">
        <f t="shared" si="328"/>
        <v>MIR223</v>
      </c>
      <c r="D1883" s="3" t="str">
        <f t="shared" si="329"/>
        <v>hsa-mir-223</v>
      </c>
      <c r="E1883" s="2" t="s">
        <v>72</v>
      </c>
      <c r="F1883" s="3" t="str">
        <f t="shared" si="330"/>
        <v>microRNA 223</v>
      </c>
      <c r="G1883" s="4"/>
      <c r="H1883" s="3" t="str">
        <f>HYPERLINK("https://www.cortellis.com/drugdiscovery/entity/biomarkers/43209","15-microRNA pulmonary tuberculosis panel")</f>
        <v>15-microRNA pulmonary tuberculosis panel</v>
      </c>
      <c r="I1883" s="2" t="s">
        <v>34</v>
      </c>
      <c r="J1883" s="2" t="s">
        <v>19</v>
      </c>
      <c r="K1883" s="4" t="str">
        <f>HYPERLINK("https://www.cortellis.com/drugdiscovery/result/proxy/related-content/biomarkers/genestargets/43209","microRNA 146a; microRNA 223")</f>
        <v>microRNA 146a; microRNA 223</v>
      </c>
    </row>
    <row r="1884" spans="1:11" ht="60" customHeight="1" x14ac:dyDescent="0.2">
      <c r="A1884" s="2">
        <v>1881</v>
      </c>
      <c r="B1884" s="3" t="str">
        <f t="shared" si="327"/>
        <v>microRNA 223</v>
      </c>
      <c r="C1884" s="3" t="str">
        <f t="shared" si="328"/>
        <v>MIR223</v>
      </c>
      <c r="D1884" s="3" t="str">
        <f t="shared" si="329"/>
        <v>hsa-mir-223</v>
      </c>
      <c r="E1884" s="2" t="s">
        <v>72</v>
      </c>
      <c r="F1884" s="3" t="str">
        <f t="shared" si="330"/>
        <v>microRNA 223</v>
      </c>
      <c r="G1884" s="4"/>
      <c r="H1884" s="3" t="str">
        <f>HYPERLINK("https://www.cortellis.com/drugdiscovery/entity/biomarkers/45275","4-microRNA colorectal cancer panel")</f>
        <v>4-microRNA colorectal cancer panel</v>
      </c>
      <c r="I1884" s="2" t="s">
        <v>52</v>
      </c>
      <c r="J1884" s="2" t="s">
        <v>19</v>
      </c>
      <c r="K1884" s="4" t="str">
        <f>HYPERLINK("https://www.cortellis.com/drugdiscovery/result/proxy/related-content/biomarkers/genestargets/45275","microRNA 223")</f>
        <v>microRNA 223</v>
      </c>
    </row>
    <row r="1885" spans="1:11" ht="60" customHeight="1" x14ac:dyDescent="0.2">
      <c r="A1885" s="2">
        <v>1882</v>
      </c>
      <c r="B1885" s="3" t="str">
        <f t="shared" si="327"/>
        <v>microRNA 223</v>
      </c>
      <c r="C1885" s="3" t="str">
        <f t="shared" si="328"/>
        <v>MIR223</v>
      </c>
      <c r="D1885" s="3" t="str">
        <f t="shared" si="329"/>
        <v>hsa-mir-223</v>
      </c>
      <c r="E1885" s="2" t="s">
        <v>72</v>
      </c>
      <c r="F1885" s="3" t="str">
        <f t="shared" si="330"/>
        <v>microRNA 223</v>
      </c>
      <c r="G1885" s="4"/>
      <c r="H1885" s="3" t="str">
        <f>HYPERLINK("https://www.cortellis.com/drugdiscovery/entity/biomarkers/45276","7-microRNA esophageal cancer panel")</f>
        <v>7-microRNA esophageal cancer panel</v>
      </c>
      <c r="I1885" s="2" t="s">
        <v>23</v>
      </c>
      <c r="J1885" s="2" t="s">
        <v>19</v>
      </c>
      <c r="K1885" s="4" t="str">
        <f>HYPERLINK("https://www.cortellis.com/drugdiscovery/result/proxy/related-content/biomarkers/genestargets/45276","microRNA 223")</f>
        <v>microRNA 223</v>
      </c>
    </row>
    <row r="1886" spans="1:11" ht="60" customHeight="1" x14ac:dyDescent="0.2">
      <c r="A1886" s="2">
        <v>1883</v>
      </c>
      <c r="B1886" s="3" t="str">
        <f t="shared" si="327"/>
        <v>microRNA 223</v>
      </c>
      <c r="C1886" s="3" t="str">
        <f t="shared" si="328"/>
        <v>MIR223</v>
      </c>
      <c r="D1886" s="3" t="str">
        <f t="shared" si="329"/>
        <v>hsa-mir-223</v>
      </c>
      <c r="E1886" s="2" t="s">
        <v>72</v>
      </c>
      <c r="F1886" s="3" t="str">
        <f t="shared" si="330"/>
        <v>microRNA 223</v>
      </c>
      <c r="G1886" s="4"/>
      <c r="H1886" s="3" t="str">
        <f>HYPERLINK("https://www.cortellis.com/drugdiscovery/entity/biomarkers/46588","4-microRNA colorectal cancer panel")</f>
        <v>4-microRNA colorectal cancer panel</v>
      </c>
      <c r="I1886" s="2" t="s">
        <v>100</v>
      </c>
      <c r="J1886" s="2" t="s">
        <v>19</v>
      </c>
      <c r="K1886" s="4" t="str">
        <f>HYPERLINK("https://www.cortellis.com/drugdiscovery/result/proxy/related-content/biomarkers/genestargets/46588","microRNA 223")</f>
        <v>microRNA 223</v>
      </c>
    </row>
    <row r="1887" spans="1:11" ht="60" customHeight="1" x14ac:dyDescent="0.2">
      <c r="A1887" s="2">
        <v>1884</v>
      </c>
      <c r="B1887" s="3" t="str">
        <f t="shared" si="327"/>
        <v>microRNA 223</v>
      </c>
      <c r="C1887" s="3" t="str">
        <f t="shared" si="328"/>
        <v>MIR223</v>
      </c>
      <c r="D1887" s="3" t="str">
        <f t="shared" si="329"/>
        <v>hsa-mir-223</v>
      </c>
      <c r="E1887" s="2" t="s">
        <v>72</v>
      </c>
      <c r="F1887" s="3" t="str">
        <f t="shared" si="330"/>
        <v>microRNA 223</v>
      </c>
      <c r="G1887" s="4"/>
      <c r="H1887" s="3" t="str">
        <f>HYPERLINK("https://www.cortellis.com/drugdiscovery/entity/biomarkers/50406","22-microRNA expression clear cell renal cell cancer panel")</f>
        <v>22-microRNA expression clear cell renal cell cancer panel</v>
      </c>
      <c r="I1887" s="2" t="s">
        <v>66</v>
      </c>
      <c r="J1887" s="2" t="s">
        <v>19</v>
      </c>
      <c r="K1887" s="4" t="str">
        <f>HYPERLINK("https://www.cortellis.com/drugdiscovery/result/proxy/related-content/biomarkers/genestargets/50406","microRNA 146b; microRNA 223")</f>
        <v>microRNA 146b; microRNA 223</v>
      </c>
    </row>
    <row r="1888" spans="1:11" ht="60" customHeight="1" x14ac:dyDescent="0.2">
      <c r="A1888" s="2">
        <v>1885</v>
      </c>
      <c r="B1888" s="3" t="str">
        <f t="shared" si="327"/>
        <v>microRNA 223</v>
      </c>
      <c r="C1888" s="3" t="str">
        <f t="shared" si="328"/>
        <v>MIR223</v>
      </c>
      <c r="D1888" s="3" t="str">
        <f t="shared" si="329"/>
        <v>hsa-mir-223</v>
      </c>
      <c r="E1888" s="2" t="s">
        <v>72</v>
      </c>
      <c r="F1888" s="3" t="str">
        <f t="shared" si="330"/>
        <v>microRNA 223</v>
      </c>
      <c r="G1888" s="4"/>
      <c r="H1888" s="3" t="str">
        <f>HYPERLINK("https://www.cortellis.com/drugdiscovery/entity/biomarkers/50455","6-microRNA expression chronic lymphocytic leukemia panel")</f>
        <v>6-microRNA expression chronic lymphocytic leukemia panel</v>
      </c>
      <c r="I1888" s="2" t="s">
        <v>23</v>
      </c>
      <c r="J1888" s="2" t="s">
        <v>19</v>
      </c>
      <c r="K1888" s="4" t="str">
        <f>HYPERLINK("https://www.cortellis.com/drugdiscovery/result/proxy/related-content/biomarkers/genestargets/50455","microRNA 150; microRNA 155; microRNA 223")</f>
        <v>microRNA 150; microRNA 155; microRNA 223</v>
      </c>
    </row>
    <row r="1889" spans="1:11" ht="60" customHeight="1" x14ac:dyDescent="0.2">
      <c r="A1889" s="2">
        <v>1886</v>
      </c>
      <c r="B1889" s="3" t="str">
        <f t="shared" si="327"/>
        <v>microRNA 223</v>
      </c>
      <c r="C1889" s="3" t="str">
        <f t="shared" si="328"/>
        <v>MIR223</v>
      </c>
      <c r="D1889" s="3" t="str">
        <f t="shared" si="329"/>
        <v>hsa-mir-223</v>
      </c>
      <c r="E1889" s="2" t="s">
        <v>72</v>
      </c>
      <c r="F1889" s="3" t="str">
        <f t="shared" si="330"/>
        <v>microRNA 223</v>
      </c>
      <c r="G1889" s="4"/>
      <c r="H1889" s="3" t="str">
        <f>HYPERLINK("https://www.cortellis.com/drugdiscovery/entity/biomarkers/53164","6-microRNA gastric cancer panel")</f>
        <v>6-microRNA gastric cancer panel</v>
      </c>
      <c r="I1889" s="2" t="s">
        <v>23</v>
      </c>
      <c r="J1889" s="2" t="s">
        <v>19</v>
      </c>
      <c r="K1889" s="4" t="str">
        <f>HYPERLINK("https://www.cortellis.com/drugdiscovery/result/proxy/related-content/biomarkers/genestargets/53164","microRNA 223")</f>
        <v>microRNA 223</v>
      </c>
    </row>
    <row r="1890" spans="1:11" ht="60" customHeight="1" x14ac:dyDescent="0.2">
      <c r="A1890" s="2">
        <v>1887</v>
      </c>
      <c r="B1890" s="3" t="str">
        <f t="shared" si="327"/>
        <v>microRNA 223</v>
      </c>
      <c r="C1890" s="3" t="str">
        <f t="shared" si="328"/>
        <v>MIR223</v>
      </c>
      <c r="D1890" s="3" t="str">
        <f t="shared" si="329"/>
        <v>hsa-mir-223</v>
      </c>
      <c r="E1890" s="2" t="s">
        <v>72</v>
      </c>
      <c r="F1890" s="3" t="str">
        <f t="shared" si="330"/>
        <v>microRNA 223</v>
      </c>
      <c r="G1890" s="4"/>
      <c r="H1890" s="3" t="str">
        <f>HYPERLINK("https://www.cortellis.com/drugdiscovery/entity/biomarkers/54404","4 microRNA gene expression idiopathic scoliosis panel")</f>
        <v>4 microRNA gene expression idiopathic scoliosis panel</v>
      </c>
      <c r="I1890" s="2" t="s">
        <v>20</v>
      </c>
      <c r="J1890" s="2" t="s">
        <v>15</v>
      </c>
      <c r="K1890" s="4" t="str">
        <f>HYPERLINK("https://www.cortellis.com/drugdiscovery/result/proxy/related-content/biomarkers/genestargets/54404","microRNA 223")</f>
        <v>microRNA 223</v>
      </c>
    </row>
    <row r="1891" spans="1:11" ht="60" customHeight="1" x14ac:dyDescent="0.2">
      <c r="A1891" s="2">
        <v>1888</v>
      </c>
      <c r="B1891" s="3" t="str">
        <f t="shared" si="327"/>
        <v>microRNA 223</v>
      </c>
      <c r="C1891" s="3" t="str">
        <f t="shared" si="328"/>
        <v>MIR223</v>
      </c>
      <c r="D1891" s="3" t="str">
        <f t="shared" si="329"/>
        <v>hsa-mir-223</v>
      </c>
      <c r="E1891" s="2" t="s">
        <v>72</v>
      </c>
      <c r="F1891" s="3" t="str">
        <f t="shared" si="330"/>
        <v>microRNA 223</v>
      </c>
      <c r="G1891" s="4"/>
      <c r="H1891" s="3" t="str">
        <f>HYPERLINK("https://www.cortellis.com/drugdiscovery/entity/biomarkers/56520","8-microRNA spontaneous preterm birth panel")</f>
        <v>8-microRNA spontaneous preterm birth panel</v>
      </c>
      <c r="I1891" s="2" t="s">
        <v>23</v>
      </c>
      <c r="J1891" s="2" t="s">
        <v>19</v>
      </c>
      <c r="K1891" s="4" t="str">
        <f>HYPERLINK("https://www.cortellis.com/drugdiscovery/result/proxy/related-content/biomarkers/genestargets/56520","microRNA 223")</f>
        <v>microRNA 223</v>
      </c>
    </row>
    <row r="1892" spans="1:11" ht="60" customHeight="1" x14ac:dyDescent="0.2">
      <c r="A1892" s="2">
        <v>1889</v>
      </c>
      <c r="B1892" s="3" t="str">
        <f t="shared" si="327"/>
        <v>microRNA 223</v>
      </c>
      <c r="C1892" s="3" t="str">
        <f t="shared" si="328"/>
        <v>MIR223</v>
      </c>
      <c r="D1892" s="3" t="str">
        <f t="shared" si="329"/>
        <v>hsa-mir-223</v>
      </c>
      <c r="E1892" s="2" t="s">
        <v>72</v>
      </c>
      <c r="F1892" s="3" t="str">
        <f t="shared" si="330"/>
        <v>microRNA 223</v>
      </c>
      <c r="G1892" s="4"/>
      <c r="H1892" s="3" t="str">
        <f>HYPERLINK("https://www.cortellis.com/drugdiscovery/entity/biomarkers/57434","16-microRNA colon cancer panel")</f>
        <v>16-microRNA colon cancer panel</v>
      </c>
      <c r="I1892" s="2" t="s">
        <v>41</v>
      </c>
      <c r="J1892" s="2" t="s">
        <v>19</v>
      </c>
      <c r="K1892" s="4" t="str">
        <f>HYPERLINK("https://www.cortellis.com/drugdiscovery/result/proxy/related-content/biomarkers/genestargets/57434","microRNA 146a; microRNA 150; microRNA 223")</f>
        <v>microRNA 146a; microRNA 150; microRNA 223</v>
      </c>
    </row>
    <row r="1893" spans="1:11" ht="60" customHeight="1" x14ac:dyDescent="0.2">
      <c r="A1893" s="2">
        <v>1890</v>
      </c>
      <c r="B1893" s="3" t="str">
        <f t="shared" ref="B1893:B1919" si="331">HYPERLINK("https://portal.genego.com/cgi/entity_page.cgi?term=100&amp;id=-587056571","sTNFA")</f>
        <v>sTNFA</v>
      </c>
      <c r="C1893" s="3" t="str">
        <f t="shared" ref="C1893:C1919" si="332">HYPERLINK("https://portal.genego.com/cgi/entity_page.cgi?term=20&amp;id=-1163959157","TNF")</f>
        <v>TNF</v>
      </c>
      <c r="D1893" s="3" t="str">
        <f t="shared" ref="D1893:D1919" si="333">HYPERLINK("https://portal.genego.com/cgi/entity_page.cgi?term=7&amp;id=470300400","sTNFA_(HUMAN)")</f>
        <v>sTNFA_(HUMAN)</v>
      </c>
      <c r="E1893" s="2" t="s">
        <v>21</v>
      </c>
      <c r="F1893" s="3" t="str">
        <f t="shared" ref="F1893:F1919" si="334">HYPERLINK("https://portal.genego.com/cgi/entity_page.cgi?term=100&amp;id=-587056571","Tumor necrosis factor soluble form")</f>
        <v>Tumor necrosis factor soluble form</v>
      </c>
      <c r="G1893" s="4"/>
      <c r="H1893" s="3" t="str">
        <f>HYPERLINK("https://www.cortellis.com/drugdiscovery/entity/biomarkers/274","Tumor necrosis factor")</f>
        <v>Tumor necrosis factor</v>
      </c>
      <c r="I1893" s="2" t="s">
        <v>22</v>
      </c>
      <c r="J1893" s="2" t="s">
        <v>15</v>
      </c>
      <c r="K1893" s="4" t="str">
        <f>HYPERLINK("https://www.cortellis.com/drugdiscovery/result/proxy/related-content/biomarkers/genestargets/274","tumor necrosis factor")</f>
        <v>tumor necrosis factor</v>
      </c>
    </row>
    <row r="1894" spans="1:11" ht="60" customHeight="1" x14ac:dyDescent="0.2">
      <c r="A1894" s="2">
        <v>1891</v>
      </c>
      <c r="B1894" s="3" t="str">
        <f t="shared" si="331"/>
        <v>sTNFA</v>
      </c>
      <c r="C1894" s="3" t="str">
        <f t="shared" si="332"/>
        <v>TNF</v>
      </c>
      <c r="D1894" s="3" t="str">
        <f t="shared" si="333"/>
        <v>sTNFA_(HUMAN)</v>
      </c>
      <c r="E1894" s="2" t="s">
        <v>21</v>
      </c>
      <c r="F1894" s="3" t="str">
        <f t="shared" si="334"/>
        <v>Tumor necrosis factor soluble form</v>
      </c>
      <c r="G1894" s="4"/>
      <c r="H1894" s="3" t="str">
        <f>HYPERLINK("https://www.cortellis.com/drugdiscovery/entity/biomarkers/27598","89-protein neurological alzheimer's panel")</f>
        <v>89-protein neurological alzheimer's panel</v>
      </c>
      <c r="I1894" s="2" t="s">
        <v>23</v>
      </c>
      <c r="J1894" s="2" t="s">
        <v>17</v>
      </c>
      <c r="K1894"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895" spans="1:11" ht="60" customHeight="1" x14ac:dyDescent="0.2">
      <c r="A1895" s="2">
        <v>1892</v>
      </c>
      <c r="B1895" s="3" t="str">
        <f t="shared" si="331"/>
        <v>sTNFA</v>
      </c>
      <c r="C1895" s="3" t="str">
        <f t="shared" si="332"/>
        <v>TNF</v>
      </c>
      <c r="D1895" s="3" t="str">
        <f t="shared" si="333"/>
        <v>sTNFA_(HUMAN)</v>
      </c>
      <c r="E1895" s="2" t="s">
        <v>21</v>
      </c>
      <c r="F1895" s="3" t="str">
        <f t="shared" si="334"/>
        <v>Tumor necrosis factor soluble form</v>
      </c>
      <c r="G1895" s="4"/>
      <c r="H1895" s="3" t="str">
        <f>HYPERLINK("https://www.cortellis.com/drugdiscovery/entity/biomarkers/27640","5-protein alzheimer's panel")</f>
        <v>5-protein alzheimer's panel</v>
      </c>
      <c r="I1895" s="2" t="s">
        <v>23</v>
      </c>
      <c r="J1895" s="2" t="s">
        <v>17</v>
      </c>
      <c r="K1895" s="4" t="str">
        <f>HYPERLINK("https://www.cortellis.com/drugdiscovery/result/proxy/related-content/biomarkers/genestargets/27640","tumor necrosis factor")</f>
        <v>tumor necrosis factor</v>
      </c>
    </row>
    <row r="1896" spans="1:11" ht="60" customHeight="1" x14ac:dyDescent="0.2">
      <c r="A1896" s="2">
        <v>1893</v>
      </c>
      <c r="B1896" s="3" t="str">
        <f t="shared" si="331"/>
        <v>sTNFA</v>
      </c>
      <c r="C1896" s="3" t="str">
        <f t="shared" si="332"/>
        <v>TNF</v>
      </c>
      <c r="D1896" s="3" t="str">
        <f t="shared" si="333"/>
        <v>sTNFA_(HUMAN)</v>
      </c>
      <c r="E1896" s="2" t="s">
        <v>21</v>
      </c>
      <c r="F1896" s="3" t="str">
        <f t="shared" si="334"/>
        <v>Tumor necrosis factor soluble form</v>
      </c>
      <c r="G1896" s="4"/>
      <c r="H1896" s="3" t="str">
        <f>HYPERLINK("https://www.cortellis.com/drugdiscovery/entity/biomarkers/27734","6-protein lung cancer panel")</f>
        <v>6-protein lung cancer panel</v>
      </c>
      <c r="I1896" s="2" t="s">
        <v>23</v>
      </c>
      <c r="J1896" s="2" t="s">
        <v>17</v>
      </c>
      <c r="K1896" s="4" t="str">
        <f>HYPERLINK("https://www.cortellis.com/drugdiscovery/result/proxy/related-content/biomarkers/genestargets/27734","interferon gamma; tumor necrosis factor")</f>
        <v>interferon gamma; tumor necrosis factor</v>
      </c>
    </row>
    <row r="1897" spans="1:11" ht="60" customHeight="1" x14ac:dyDescent="0.2">
      <c r="A1897" s="2">
        <v>1894</v>
      </c>
      <c r="B1897" s="3" t="str">
        <f t="shared" si="331"/>
        <v>sTNFA</v>
      </c>
      <c r="C1897" s="3" t="str">
        <f t="shared" si="332"/>
        <v>TNF</v>
      </c>
      <c r="D1897" s="3" t="str">
        <f t="shared" si="333"/>
        <v>sTNFA_(HUMAN)</v>
      </c>
      <c r="E1897" s="2" t="s">
        <v>21</v>
      </c>
      <c r="F1897" s="3" t="str">
        <f t="shared" si="334"/>
        <v>Tumor necrosis factor soluble form</v>
      </c>
      <c r="G1897" s="4"/>
      <c r="H1897" s="3" t="str">
        <f>HYPERLINK("https://www.cortellis.com/drugdiscovery/entity/biomarkers/28148","11-gene expression lung cancer panel")</f>
        <v>11-gene expression lung cancer panel</v>
      </c>
      <c r="I1897" s="2" t="s">
        <v>25</v>
      </c>
      <c r="J1897" s="2" t="s">
        <v>19</v>
      </c>
      <c r="K1897" s="4" t="str">
        <f>HYPERLINK("https://www.cortellis.com/drugdiscovery/result/proxy/related-content/biomarkers/genestargets/28148","interferon gamma; interleukin 15; tumor necrosis factor")</f>
        <v>interferon gamma; interleukin 15; tumor necrosis factor</v>
      </c>
    </row>
    <row r="1898" spans="1:11" ht="60" customHeight="1" x14ac:dyDescent="0.2">
      <c r="A1898" s="2">
        <v>1895</v>
      </c>
      <c r="B1898" s="3" t="str">
        <f t="shared" si="331"/>
        <v>sTNFA</v>
      </c>
      <c r="C1898" s="3" t="str">
        <f t="shared" si="332"/>
        <v>TNF</v>
      </c>
      <c r="D1898" s="3" t="str">
        <f t="shared" si="333"/>
        <v>sTNFA_(HUMAN)</v>
      </c>
      <c r="E1898" s="2" t="s">
        <v>21</v>
      </c>
      <c r="F1898" s="3" t="str">
        <f t="shared" si="334"/>
        <v>Tumor necrosis factor soluble form</v>
      </c>
      <c r="G1898" s="4"/>
      <c r="H1898" s="3" t="str">
        <f>HYPERLINK("https://www.cortellis.com/drugdiscovery/entity/biomarkers/28647","15-gene expression lung cancer panel")</f>
        <v>15-gene expression lung cancer panel</v>
      </c>
      <c r="I1898" s="2" t="s">
        <v>20</v>
      </c>
      <c r="J1898" s="2" t="s">
        <v>19</v>
      </c>
      <c r="K1898" s="4" t="str">
        <f>HYPERLINK("https://www.cortellis.com/drugdiscovery/result/proxy/related-content/biomarkers/genestargets/28647","interferon gamma; interleukin 15; tumor necrosis factor")</f>
        <v>interferon gamma; interleukin 15; tumor necrosis factor</v>
      </c>
    </row>
    <row r="1899" spans="1:11" ht="60" customHeight="1" x14ac:dyDescent="0.2">
      <c r="A1899" s="2">
        <v>1896</v>
      </c>
      <c r="B1899" s="3" t="str">
        <f t="shared" si="331"/>
        <v>sTNFA</v>
      </c>
      <c r="C1899" s="3" t="str">
        <f t="shared" si="332"/>
        <v>TNF</v>
      </c>
      <c r="D1899" s="3" t="str">
        <f t="shared" si="333"/>
        <v>sTNFA_(HUMAN)</v>
      </c>
      <c r="E1899" s="2" t="s">
        <v>21</v>
      </c>
      <c r="F1899" s="3" t="str">
        <f t="shared" si="334"/>
        <v>Tumor necrosis factor soluble form</v>
      </c>
      <c r="G1899" s="4"/>
      <c r="H1899" s="3" t="str">
        <f>HYPERLINK("https://www.cortellis.com/drugdiscovery/entity/biomarkers/29676","277-gene expression lung cancer panel")</f>
        <v>277-gene expression lung cancer panel</v>
      </c>
      <c r="I1899" s="2" t="s">
        <v>25</v>
      </c>
      <c r="J1899" s="2" t="s">
        <v>19</v>
      </c>
      <c r="K1899" s="4" t="str">
        <f>HYPERLINK("https://www.cortellis.com/drugdiscovery/result/proxy/related-content/biomarkers/genestargets/29676","cyclin D1; tumor necrosis factor")</f>
        <v>cyclin D1; tumor necrosis factor</v>
      </c>
    </row>
    <row r="1900" spans="1:11" ht="60" customHeight="1" x14ac:dyDescent="0.2">
      <c r="A1900" s="2">
        <v>1897</v>
      </c>
      <c r="B1900" s="3" t="str">
        <f t="shared" si="331"/>
        <v>sTNFA</v>
      </c>
      <c r="C1900" s="3" t="str">
        <f t="shared" si="332"/>
        <v>TNF</v>
      </c>
      <c r="D1900" s="3" t="str">
        <f t="shared" si="333"/>
        <v>sTNFA_(HUMAN)</v>
      </c>
      <c r="E1900" s="2" t="s">
        <v>21</v>
      </c>
      <c r="F1900" s="3" t="str">
        <f t="shared" si="334"/>
        <v>Tumor necrosis factor soluble form</v>
      </c>
      <c r="G1900" s="4"/>
      <c r="H1900" s="3" t="str">
        <f>HYPERLINK("https://www.cortellis.com/drugdiscovery/entity/biomarkers/30768","11-protein cardiovascular panel")</f>
        <v>11-protein cardiovascular panel</v>
      </c>
      <c r="I1900" s="2" t="s">
        <v>23</v>
      </c>
      <c r="J1900" s="2" t="s">
        <v>17</v>
      </c>
      <c r="K1900" s="4" t="str">
        <f>HYPERLINK("https://www.cortellis.com/drugdiscovery/result/proxy/related-content/biomarkers/genestargets/30768","interferon gamma; interleukin 12B; tumor necrosis factor")</f>
        <v>interferon gamma; interleukin 12B; tumor necrosis factor</v>
      </c>
    </row>
    <row r="1901" spans="1:11" ht="60" customHeight="1" x14ac:dyDescent="0.2">
      <c r="A1901" s="2">
        <v>1898</v>
      </c>
      <c r="B1901" s="3" t="str">
        <f t="shared" si="331"/>
        <v>sTNFA</v>
      </c>
      <c r="C1901" s="3" t="str">
        <f t="shared" si="332"/>
        <v>TNF</v>
      </c>
      <c r="D1901" s="3" t="str">
        <f t="shared" si="333"/>
        <v>sTNFA_(HUMAN)</v>
      </c>
      <c r="E1901" s="2" t="s">
        <v>21</v>
      </c>
      <c r="F1901" s="3" t="str">
        <f t="shared" si="334"/>
        <v>Tumor necrosis factor soluble form</v>
      </c>
      <c r="G1901" s="4"/>
      <c r="H1901" s="3" t="str">
        <f>HYPERLINK("https://www.cortellis.com/drugdiscovery/entity/biomarkers/34385","30-protein alzheimer's panel")</f>
        <v>30-protein alzheimer's panel</v>
      </c>
      <c r="I1901" s="2" t="s">
        <v>23</v>
      </c>
      <c r="J1901" s="2" t="s">
        <v>17</v>
      </c>
      <c r="K1901" s="4" t="str">
        <f>HYPERLINK("https://www.cortellis.com/drugdiscovery/result/proxy/related-content/biomarkers/genestargets/34385","C-C motif chemokine ligand 2; interleukin 7; tenascin C; tumor necrosis factor")</f>
        <v>C-C motif chemokine ligand 2; interleukin 7; tenascin C; tumor necrosis factor</v>
      </c>
    </row>
    <row r="1902" spans="1:11" ht="60" customHeight="1" x14ac:dyDescent="0.2">
      <c r="A1902" s="2">
        <v>1899</v>
      </c>
      <c r="B1902" s="3" t="str">
        <f t="shared" si="331"/>
        <v>sTNFA</v>
      </c>
      <c r="C1902" s="3" t="str">
        <f t="shared" si="332"/>
        <v>TNF</v>
      </c>
      <c r="D1902" s="3" t="str">
        <f t="shared" si="333"/>
        <v>sTNFA_(HUMAN)</v>
      </c>
      <c r="E1902" s="2" t="s">
        <v>21</v>
      </c>
      <c r="F1902" s="3" t="str">
        <f t="shared" si="334"/>
        <v>Tumor necrosis factor soluble form</v>
      </c>
      <c r="G1902" s="4"/>
      <c r="H1902" s="3" t="str">
        <f>HYPERLINK("https://www.cortellis.com/drugdiscovery/entity/biomarkers/34437","3-protein 3-autoantibody lung cancer panel")</f>
        <v>3-protein 3-autoantibody lung cancer panel</v>
      </c>
      <c r="I1902" s="2" t="s">
        <v>23</v>
      </c>
      <c r="J1902" s="2" t="s">
        <v>17</v>
      </c>
      <c r="K1902" s="4" t="str">
        <f>HYPERLINK("https://www.cortellis.com/drugdiscovery/result/proxy/related-content/biomarkers/genestargets/34437","tumor necrosis factor")</f>
        <v>tumor necrosis factor</v>
      </c>
    </row>
    <row r="1903" spans="1:11" ht="60" customHeight="1" x14ac:dyDescent="0.2">
      <c r="A1903" s="2">
        <v>1900</v>
      </c>
      <c r="B1903" s="3" t="str">
        <f t="shared" si="331"/>
        <v>sTNFA</v>
      </c>
      <c r="C1903" s="3" t="str">
        <f t="shared" si="332"/>
        <v>TNF</v>
      </c>
      <c r="D1903" s="3" t="str">
        <f t="shared" si="333"/>
        <v>sTNFA_(HUMAN)</v>
      </c>
      <c r="E1903" s="2" t="s">
        <v>21</v>
      </c>
      <c r="F1903" s="3" t="str">
        <f t="shared" si="334"/>
        <v>Tumor necrosis factor soluble form</v>
      </c>
      <c r="G1903" s="4"/>
      <c r="H1903" s="3" t="str">
        <f>HYPERLINK("https://www.cortellis.com/drugdiscovery/entity/biomarkers/35424","60-gene expression ovarian cancer panel")</f>
        <v>60-gene expression ovarian cancer panel</v>
      </c>
      <c r="I1903" s="2" t="s">
        <v>18</v>
      </c>
      <c r="J1903" s="2" t="s">
        <v>19</v>
      </c>
      <c r="K1903" s="4" t="str">
        <f>HYPERLINK("https://www.cortellis.com/drugdiscovery/result/proxy/related-content/biomarkers/genestargets/35424","tumor necrosis factor")</f>
        <v>tumor necrosis factor</v>
      </c>
    </row>
    <row r="1904" spans="1:11" ht="60" customHeight="1" x14ac:dyDescent="0.2">
      <c r="A1904" s="2">
        <v>1901</v>
      </c>
      <c r="B1904" s="3" t="str">
        <f t="shared" si="331"/>
        <v>sTNFA</v>
      </c>
      <c r="C1904" s="3" t="str">
        <f t="shared" si="332"/>
        <v>TNF</v>
      </c>
      <c r="D1904" s="3" t="str">
        <f t="shared" si="333"/>
        <v>sTNFA_(HUMAN)</v>
      </c>
      <c r="E1904" s="2" t="s">
        <v>21</v>
      </c>
      <c r="F1904" s="3" t="str">
        <f t="shared" si="334"/>
        <v>Tumor necrosis factor soluble form</v>
      </c>
      <c r="G1904" s="4"/>
      <c r="H1904" s="3" t="str">
        <f>HYPERLINK("https://www.cortellis.com/drugdiscovery/entity/biomarkers/36125","10-protein respiratory panel")</f>
        <v>10-protein respiratory panel</v>
      </c>
      <c r="I1904" s="2" t="s">
        <v>25</v>
      </c>
      <c r="J1904" s="2" t="s">
        <v>17</v>
      </c>
      <c r="K1904" s="4" t="str">
        <f>HYPERLINK("https://www.cortellis.com/drugdiscovery/result/proxy/related-content/biomarkers/genestargets/36125","interferon gamma; tumor necrosis factor")</f>
        <v>interferon gamma; tumor necrosis factor</v>
      </c>
    </row>
    <row r="1905" spans="1:11" ht="60" customHeight="1" x14ac:dyDescent="0.2">
      <c r="A1905" s="2">
        <v>1902</v>
      </c>
      <c r="B1905" s="3" t="str">
        <f t="shared" si="331"/>
        <v>sTNFA</v>
      </c>
      <c r="C1905" s="3" t="str">
        <f t="shared" si="332"/>
        <v>TNF</v>
      </c>
      <c r="D1905" s="3" t="str">
        <f t="shared" si="333"/>
        <v>sTNFA_(HUMAN)</v>
      </c>
      <c r="E1905" s="2" t="s">
        <v>21</v>
      </c>
      <c r="F1905" s="3" t="str">
        <f t="shared" si="334"/>
        <v>Tumor necrosis factor soluble form</v>
      </c>
      <c r="G1905" s="4"/>
      <c r="H1905" s="3" t="str">
        <f>HYPERLINK("https://www.cortellis.com/drugdiscovery/entity/biomarkers/36127","3-protein respiratory panel")</f>
        <v>3-protein respiratory panel</v>
      </c>
      <c r="I1905" s="2" t="s">
        <v>25</v>
      </c>
      <c r="J1905" s="2" t="s">
        <v>17</v>
      </c>
      <c r="K1905" s="4" t="str">
        <f>HYPERLINK("https://www.cortellis.com/drugdiscovery/result/proxy/related-content/biomarkers/genestargets/36127","interferon gamma; tumor necrosis factor")</f>
        <v>interferon gamma; tumor necrosis factor</v>
      </c>
    </row>
    <row r="1906" spans="1:11" ht="60" customHeight="1" x14ac:dyDescent="0.2">
      <c r="A1906" s="2">
        <v>1903</v>
      </c>
      <c r="B1906" s="3" t="str">
        <f t="shared" si="331"/>
        <v>sTNFA</v>
      </c>
      <c r="C1906" s="3" t="str">
        <f t="shared" si="332"/>
        <v>TNF</v>
      </c>
      <c r="D1906" s="3" t="str">
        <f t="shared" si="333"/>
        <v>sTNFA_(HUMAN)</v>
      </c>
      <c r="E1906" s="2" t="s">
        <v>21</v>
      </c>
      <c r="F1906" s="3" t="str">
        <f t="shared" si="334"/>
        <v>Tumor necrosis factor soluble form</v>
      </c>
      <c r="G1906" s="4"/>
      <c r="H1906" s="3" t="str">
        <f>HYPERLINK("https://www.cortellis.com/drugdiscovery/entity/biomarkers/37520","4-protein bacteremia panel")</f>
        <v>4-protein bacteremia panel</v>
      </c>
      <c r="I1906" s="2" t="s">
        <v>23</v>
      </c>
      <c r="J1906" s="2" t="s">
        <v>17</v>
      </c>
      <c r="K1906" s="4" t="str">
        <f>HYPERLINK("https://www.cortellis.com/drugdiscovery/result/proxy/related-content/biomarkers/genestargets/37520","tumor necrosis factor")</f>
        <v>tumor necrosis factor</v>
      </c>
    </row>
    <row r="1907" spans="1:11" ht="60" customHeight="1" x14ac:dyDescent="0.2">
      <c r="A1907" s="2">
        <v>1904</v>
      </c>
      <c r="B1907" s="3" t="str">
        <f t="shared" si="331"/>
        <v>sTNFA</v>
      </c>
      <c r="C1907" s="3" t="str">
        <f t="shared" si="332"/>
        <v>TNF</v>
      </c>
      <c r="D1907" s="3" t="str">
        <f t="shared" si="333"/>
        <v>sTNFA_(HUMAN)</v>
      </c>
      <c r="E1907" s="2" t="s">
        <v>21</v>
      </c>
      <c r="F1907" s="3" t="str">
        <f t="shared" si="334"/>
        <v>Tumor necrosis factor soluble form</v>
      </c>
      <c r="G1907" s="4"/>
      <c r="H1907" s="3" t="str">
        <f>HYPERLINK("https://www.cortellis.com/drugdiscovery/entity/biomarkers/43870","17-genomic 14-protein 3-biochemical irritable bowel syndrome panel")</f>
        <v>17-genomic 14-protein 3-biochemical irritable bowel syndrome panel</v>
      </c>
      <c r="I1907" s="2" t="s">
        <v>52</v>
      </c>
      <c r="J1907" s="2" t="s">
        <v>53</v>
      </c>
      <c r="K1907" s="4" t="str">
        <f>HYPERLINK("https://www.cortellis.com/drugdiscovery/result/proxy/related-content/biomarkers/genestargets/43870","interleukin 12B; tumor necrosis factor")</f>
        <v>interleukin 12B; tumor necrosis factor</v>
      </c>
    </row>
    <row r="1908" spans="1:11" ht="60" customHeight="1" x14ac:dyDescent="0.2">
      <c r="A1908" s="2">
        <v>1905</v>
      </c>
      <c r="B1908" s="3" t="str">
        <f t="shared" si="331"/>
        <v>sTNFA</v>
      </c>
      <c r="C1908" s="3" t="str">
        <f t="shared" si="332"/>
        <v>TNF</v>
      </c>
      <c r="D1908" s="3" t="str">
        <f t="shared" si="333"/>
        <v>sTNFA_(HUMAN)</v>
      </c>
      <c r="E1908" s="2" t="s">
        <v>21</v>
      </c>
      <c r="F1908" s="3" t="str">
        <f t="shared" si="334"/>
        <v>Tumor necrosis factor soluble form</v>
      </c>
      <c r="G1908" s="4"/>
      <c r="H1908" s="3" t="str">
        <f>HYPERLINK("https://www.cortellis.com/drugdiscovery/entity/biomarkers/46842","7-protein non small cell lung cancer panel")</f>
        <v>7-protein non small cell lung cancer panel</v>
      </c>
      <c r="I1908" s="2" t="s">
        <v>23</v>
      </c>
      <c r="J1908" s="2" t="s">
        <v>17</v>
      </c>
      <c r="K1908" s="4" t="str">
        <f>HYPERLINK("https://www.cortellis.com/drugdiscovery/result/proxy/related-content/biomarkers/genestargets/46842","tumor necrosis factor")</f>
        <v>tumor necrosis factor</v>
      </c>
    </row>
    <row r="1909" spans="1:11" ht="60" customHeight="1" x14ac:dyDescent="0.2">
      <c r="A1909" s="2">
        <v>1906</v>
      </c>
      <c r="B1909" s="3" t="str">
        <f t="shared" si="331"/>
        <v>sTNFA</v>
      </c>
      <c r="C1909" s="3" t="str">
        <f t="shared" si="332"/>
        <v>TNF</v>
      </c>
      <c r="D1909" s="3" t="str">
        <f t="shared" si="333"/>
        <v>sTNFA_(HUMAN)</v>
      </c>
      <c r="E1909" s="2" t="s">
        <v>21</v>
      </c>
      <c r="F1909" s="3" t="str">
        <f t="shared" si="334"/>
        <v>Tumor necrosis factor soluble form</v>
      </c>
      <c r="G1909" s="4"/>
      <c r="H1909" s="3" t="str">
        <f>HYPERLINK("https://www.cortellis.com/drugdiscovery/entity/biomarkers/50816","10-gene lyme disease panel")</f>
        <v>10-gene lyme disease panel</v>
      </c>
      <c r="I1909" s="2" t="s">
        <v>23</v>
      </c>
      <c r="J1909" s="2" t="s">
        <v>15</v>
      </c>
      <c r="K1909" s="4" t="str">
        <f>HYPERLINK("https://www.cortellis.com/drugdiscovery/result/proxy/related-content/biomarkers/genestargets/50816","C-C motif chemokine ligand 2; interferon gamma; tumor necrosis factor")</f>
        <v>C-C motif chemokine ligand 2; interferon gamma; tumor necrosis factor</v>
      </c>
    </row>
    <row r="1910" spans="1:11" ht="60" customHeight="1" x14ac:dyDescent="0.2">
      <c r="A1910" s="2">
        <v>1907</v>
      </c>
      <c r="B1910" s="3" t="str">
        <f t="shared" si="331"/>
        <v>sTNFA</v>
      </c>
      <c r="C1910" s="3" t="str">
        <f t="shared" si="332"/>
        <v>TNF</v>
      </c>
      <c r="D1910" s="3" t="str">
        <f t="shared" si="333"/>
        <v>sTNFA_(HUMAN)</v>
      </c>
      <c r="E1910" s="2" t="s">
        <v>21</v>
      </c>
      <c r="F1910" s="3" t="str">
        <f t="shared" si="334"/>
        <v>Tumor necrosis factor soluble form</v>
      </c>
      <c r="G1910" s="4"/>
      <c r="H1910" s="3" t="str">
        <f>HYPERLINK("https://www.cortellis.com/drugdiscovery/entity/biomarkers/50817","11-gene lyme disease panel")</f>
        <v>11-gene lyme disease panel</v>
      </c>
      <c r="I1910" s="2" t="s">
        <v>23</v>
      </c>
      <c r="J1910" s="2" t="s">
        <v>15</v>
      </c>
      <c r="K1910" s="4" t="str">
        <f>HYPERLINK("https://www.cortellis.com/drugdiscovery/result/proxy/related-content/biomarkers/genestargets/50817","C-C motif chemokine ligand 2; interferon gamma; tumor necrosis factor")</f>
        <v>C-C motif chemokine ligand 2; interferon gamma; tumor necrosis factor</v>
      </c>
    </row>
    <row r="1911" spans="1:11" ht="60" customHeight="1" x14ac:dyDescent="0.2">
      <c r="A1911" s="2">
        <v>1908</v>
      </c>
      <c r="B1911" s="3" t="str">
        <f t="shared" si="331"/>
        <v>sTNFA</v>
      </c>
      <c r="C1911" s="3" t="str">
        <f t="shared" si="332"/>
        <v>TNF</v>
      </c>
      <c r="D1911" s="3" t="str">
        <f t="shared" si="333"/>
        <v>sTNFA_(HUMAN)</v>
      </c>
      <c r="E1911" s="2" t="s">
        <v>21</v>
      </c>
      <c r="F1911" s="3" t="str">
        <f t="shared" si="334"/>
        <v>Tumor necrosis factor soluble form</v>
      </c>
      <c r="G1911" s="4"/>
      <c r="H1911" s="3" t="str">
        <f>HYPERLINK("https://www.cortellis.com/drugdiscovery/entity/biomarkers/50818","12 protein Lyme disease panel")</f>
        <v>12 protein Lyme disease panel</v>
      </c>
      <c r="I1911" s="2" t="s">
        <v>23</v>
      </c>
      <c r="J1911" s="2" t="s">
        <v>17</v>
      </c>
      <c r="K1911" s="4" t="str">
        <f>HYPERLINK("https://www.cortellis.com/drugdiscovery/result/proxy/related-content/biomarkers/genestargets/50818","C-C motif chemokine ligand 2; interferon gamma; tumor necrosis factor")</f>
        <v>C-C motif chemokine ligand 2; interferon gamma; tumor necrosis factor</v>
      </c>
    </row>
    <row r="1912" spans="1:11" ht="60" customHeight="1" x14ac:dyDescent="0.2">
      <c r="A1912" s="2">
        <v>1909</v>
      </c>
      <c r="B1912" s="3" t="str">
        <f t="shared" si="331"/>
        <v>sTNFA</v>
      </c>
      <c r="C1912" s="3" t="str">
        <f t="shared" si="332"/>
        <v>TNF</v>
      </c>
      <c r="D1912" s="3" t="str">
        <f t="shared" si="333"/>
        <v>sTNFA_(HUMAN)</v>
      </c>
      <c r="E1912" s="2" t="s">
        <v>21</v>
      </c>
      <c r="F1912" s="3" t="str">
        <f t="shared" si="334"/>
        <v>Tumor necrosis factor soluble form</v>
      </c>
      <c r="G1912" s="4"/>
      <c r="H1912" s="3" t="str">
        <f>HYPERLINK("https://www.cortellis.com/drugdiscovery/entity/biomarkers/51292","37-gene expression major depression panel")</f>
        <v>37-gene expression major depression panel</v>
      </c>
      <c r="I1912" s="2" t="s">
        <v>23</v>
      </c>
      <c r="J1912" s="2" t="s">
        <v>19</v>
      </c>
      <c r="K1912" s="4" t="str">
        <f>HYPERLINK("https://www.cortellis.com/drugdiscovery/result/proxy/related-content/biomarkers/genestargets/51292","C-C motif chemokine ligand 2; tumor necrosis factor")</f>
        <v>C-C motif chemokine ligand 2; tumor necrosis factor</v>
      </c>
    </row>
    <row r="1913" spans="1:11" ht="60" customHeight="1" x14ac:dyDescent="0.2">
      <c r="A1913" s="2">
        <v>1910</v>
      </c>
      <c r="B1913" s="3" t="str">
        <f t="shared" si="331"/>
        <v>sTNFA</v>
      </c>
      <c r="C1913" s="3" t="str">
        <f t="shared" si="332"/>
        <v>TNF</v>
      </c>
      <c r="D1913" s="3" t="str">
        <f t="shared" si="333"/>
        <v>sTNFA_(HUMAN)</v>
      </c>
      <c r="E1913" s="2" t="s">
        <v>21</v>
      </c>
      <c r="F1913" s="3" t="str">
        <f t="shared" si="334"/>
        <v>Tumor necrosis factor soluble form</v>
      </c>
      <c r="G1913" s="4"/>
      <c r="H1913" s="3" t="str">
        <f>HYPERLINK("https://www.cortellis.com/drugdiscovery/entity/biomarkers/57224","21-protein mild cognitive impairment panel")</f>
        <v>21-protein mild cognitive impairment panel</v>
      </c>
      <c r="I1913" s="2" t="s">
        <v>23</v>
      </c>
      <c r="J1913" s="2" t="s">
        <v>19</v>
      </c>
      <c r="K1913" s="4" t="str">
        <f>HYPERLINK("https://www.cortellis.com/drugdiscovery/result/proxy/related-content/biomarkers/genestargets/57224","interleukin 7; tenascin C; tumor necrosis factor")</f>
        <v>interleukin 7; tenascin C; tumor necrosis factor</v>
      </c>
    </row>
    <row r="1914" spans="1:11" ht="60" customHeight="1" x14ac:dyDescent="0.2">
      <c r="A1914" s="2">
        <v>1911</v>
      </c>
      <c r="B1914" s="3" t="str">
        <f t="shared" si="331"/>
        <v>sTNFA</v>
      </c>
      <c r="C1914" s="3" t="str">
        <f t="shared" si="332"/>
        <v>TNF</v>
      </c>
      <c r="D1914" s="3" t="str">
        <f t="shared" si="333"/>
        <v>sTNFA_(HUMAN)</v>
      </c>
      <c r="E1914" s="2" t="s">
        <v>21</v>
      </c>
      <c r="F1914" s="3" t="str">
        <f t="shared" si="334"/>
        <v>Tumor necrosis factor soluble form</v>
      </c>
      <c r="G1914" s="4"/>
      <c r="H1914" s="3" t="str">
        <f>HYPERLINK("https://www.cortellis.com/drugdiscovery/entity/biomarkers/57250","9-protein non-muscle invasive bladder cancer panel")</f>
        <v>9-protein non-muscle invasive bladder cancer panel</v>
      </c>
      <c r="I1914" s="2" t="s">
        <v>18</v>
      </c>
      <c r="J1914" s="2" t="s">
        <v>17</v>
      </c>
      <c r="K1914" s="4" t="str">
        <f>HYPERLINK("https://www.cortellis.com/drugdiscovery/result/proxy/related-content/biomarkers/genestargets/57250","interferon gamma; interleukin 12B; tumor necrosis factor")</f>
        <v>interferon gamma; interleukin 12B; tumor necrosis factor</v>
      </c>
    </row>
    <row r="1915" spans="1:11" ht="60" customHeight="1" x14ac:dyDescent="0.2">
      <c r="A1915" s="2">
        <v>1912</v>
      </c>
      <c r="B1915" s="3" t="str">
        <f t="shared" si="331"/>
        <v>sTNFA</v>
      </c>
      <c r="C1915" s="3" t="str">
        <f t="shared" si="332"/>
        <v>TNF</v>
      </c>
      <c r="D1915" s="3" t="str">
        <f t="shared" si="333"/>
        <v>sTNFA_(HUMAN)</v>
      </c>
      <c r="E1915" s="2" t="s">
        <v>21</v>
      </c>
      <c r="F1915" s="3" t="str">
        <f t="shared" si="334"/>
        <v>Tumor necrosis factor soluble form</v>
      </c>
      <c r="G1915" s="4"/>
      <c r="H1915" s="3" t="str">
        <f>HYPERLINK("https://www.cortellis.com/drugdiscovery/entity/biomarkers/62155","19-protein rhegmatogenous retinal detachment panel")</f>
        <v>19-protein rhegmatogenous retinal detachment panel</v>
      </c>
      <c r="I1915" s="2" t="s">
        <v>24</v>
      </c>
      <c r="J1915" s="2" t="s">
        <v>17</v>
      </c>
      <c r="K1915" s="4" t="str">
        <f>HYPERLINK("https://www.cortellis.com/drugdiscovery/result/proxy/related-content/biomarkers/genestargets/62155","C-C motif chemokine ligand 2; interleukin 12B; tumor necrosis factor")</f>
        <v>C-C motif chemokine ligand 2; interleukin 12B; tumor necrosis factor</v>
      </c>
    </row>
    <row r="1916" spans="1:11" ht="60" customHeight="1" x14ac:dyDescent="0.2">
      <c r="A1916" s="2">
        <v>1913</v>
      </c>
      <c r="B1916" s="3" t="str">
        <f t="shared" si="331"/>
        <v>sTNFA</v>
      </c>
      <c r="C1916" s="3" t="str">
        <f t="shared" si="332"/>
        <v>TNF</v>
      </c>
      <c r="D1916" s="3" t="str">
        <f t="shared" si="333"/>
        <v>sTNFA_(HUMAN)</v>
      </c>
      <c r="E1916" s="2" t="s">
        <v>21</v>
      </c>
      <c r="F1916" s="3" t="str">
        <f t="shared" si="334"/>
        <v>Tumor necrosis factor soluble form</v>
      </c>
      <c r="G1916" s="4"/>
      <c r="H1916" s="3" t="str">
        <f>HYPERLINK("https://www.cortellis.com/drugdiscovery/entity/biomarkers/62663","9-protein immunological disorders panel")</f>
        <v>9-protein immunological disorders panel</v>
      </c>
      <c r="I1916" s="2" t="s">
        <v>24</v>
      </c>
      <c r="J1916" s="2" t="s">
        <v>17</v>
      </c>
      <c r="K1916" s="4" t="str">
        <f>HYPERLINK("https://www.cortellis.com/drugdiscovery/result/proxy/related-content/biomarkers/genestargets/62663","C-C motif chemokine ligand 2; interferon gamma; tumor necrosis factor")</f>
        <v>C-C motif chemokine ligand 2; interferon gamma; tumor necrosis factor</v>
      </c>
    </row>
    <row r="1917" spans="1:11" ht="60" customHeight="1" x14ac:dyDescent="0.2">
      <c r="A1917" s="2">
        <v>1914</v>
      </c>
      <c r="B1917" s="3" t="str">
        <f t="shared" si="331"/>
        <v>sTNFA</v>
      </c>
      <c r="C1917" s="3" t="str">
        <f t="shared" si="332"/>
        <v>TNF</v>
      </c>
      <c r="D1917" s="3" t="str">
        <f t="shared" si="333"/>
        <v>sTNFA_(HUMAN)</v>
      </c>
      <c r="E1917" s="2" t="s">
        <v>21</v>
      </c>
      <c r="F1917" s="3" t="str">
        <f t="shared" si="334"/>
        <v>Tumor necrosis factor soluble form</v>
      </c>
      <c r="G1917" s="4"/>
      <c r="H1917" s="3" t="str">
        <f>HYPERLINK("https://www.cortellis.com/drugdiscovery/entity/biomarkers/62730","7-protein Alzheimer's disease panel")</f>
        <v>7-protein Alzheimer's disease panel</v>
      </c>
      <c r="I1917" s="2" t="s">
        <v>23</v>
      </c>
      <c r="J1917" s="2" t="s">
        <v>17</v>
      </c>
      <c r="K1917" s="4" t="str">
        <f>HYPERLINK("https://www.cortellis.com/drugdiscovery/result/proxy/related-content/biomarkers/genestargets/62730","tumor necrosis factor")</f>
        <v>tumor necrosis factor</v>
      </c>
    </row>
    <row r="1918" spans="1:11" ht="60" customHeight="1" x14ac:dyDescent="0.2">
      <c r="A1918" s="2">
        <v>1915</v>
      </c>
      <c r="B1918" s="3" t="str">
        <f t="shared" si="331"/>
        <v>sTNFA</v>
      </c>
      <c r="C1918" s="3" t="str">
        <f t="shared" si="332"/>
        <v>TNF</v>
      </c>
      <c r="D1918" s="3" t="str">
        <f t="shared" si="333"/>
        <v>sTNFA_(HUMAN)</v>
      </c>
      <c r="E1918" s="2" t="s">
        <v>21</v>
      </c>
      <c r="F1918" s="3" t="str">
        <f t="shared" si="334"/>
        <v>Tumor necrosis factor soluble form</v>
      </c>
      <c r="G1918" s="4"/>
      <c r="H1918" s="3" t="str">
        <f>HYPERLINK("https://www.cortellis.com/drugdiscovery/entity/biomarkers/62746","5-protein renal disorder panel")</f>
        <v>5-protein renal disorder panel</v>
      </c>
      <c r="I1918" s="2" t="s">
        <v>25</v>
      </c>
      <c r="J1918" s="2" t="s">
        <v>17</v>
      </c>
      <c r="K1918" s="4" t="str">
        <f>HYPERLINK("https://www.cortellis.com/drugdiscovery/result/proxy/related-content/biomarkers/genestargets/62746","tumor necrosis factor")</f>
        <v>tumor necrosis factor</v>
      </c>
    </row>
    <row r="1919" spans="1:11" ht="60" customHeight="1" x14ac:dyDescent="0.2">
      <c r="A1919" s="2">
        <v>1916</v>
      </c>
      <c r="B1919" s="3" t="str">
        <f t="shared" si="331"/>
        <v>sTNFA</v>
      </c>
      <c r="C1919" s="3" t="str">
        <f t="shared" si="332"/>
        <v>TNF</v>
      </c>
      <c r="D1919" s="3" t="str">
        <f t="shared" si="333"/>
        <v>sTNFA_(HUMAN)</v>
      </c>
      <c r="E1919" s="2" t="s">
        <v>21</v>
      </c>
      <c r="F1919" s="3" t="str">
        <f t="shared" si="334"/>
        <v>Tumor necrosis factor soluble form</v>
      </c>
      <c r="G1919" s="4"/>
      <c r="H1919" s="3" t="str">
        <f>HYPERLINK("https://www.cortellis.com/drugdiscovery/entity/biomarkers/65259","22-gene expression hepatocellular carcinoma panel")</f>
        <v>22-gene expression hepatocellular carcinoma panel</v>
      </c>
      <c r="I1919" s="2" t="s">
        <v>25</v>
      </c>
      <c r="J1919" s="2" t="s">
        <v>19</v>
      </c>
      <c r="K1919" s="4" t="str">
        <f>HYPERLINK("https://www.cortellis.com/drugdiscovery/result/proxy/related-content/biomarkers/genestargets/65259","tumor necrosis factor")</f>
        <v>tumor necrosis factor</v>
      </c>
    </row>
    <row r="1920" spans="1:11" ht="60" customHeight="1" x14ac:dyDescent="0.2">
      <c r="A1920" s="2">
        <v>1917</v>
      </c>
      <c r="B1920" s="3"/>
      <c r="C1920" s="3" t="str">
        <f t="shared" ref="C1920:C1946" si="335">HYPERLINK("https://portal.genego.com/cgi/entity_page.cgi?term=20&amp;id=1978121817","CCL2")</f>
        <v>CCL2</v>
      </c>
      <c r="D1920" s="3" t="str">
        <f t="shared" ref="D1920:D1946" si="336">HYPERLINK("https://portal.genego.com/cgi/entity_page.cgi?term=7&amp;id=-386289972","CCL2_(HUMAN)_transcript")</f>
        <v>CCL2_(HUMAN)_transcript</v>
      </c>
      <c r="E1920" s="2" t="s">
        <v>72</v>
      </c>
      <c r="F1920" s="3"/>
      <c r="G1920" s="4"/>
      <c r="H1920" s="3" t="str">
        <f>HYPERLINK("https://www.cortellis.com/drugdiscovery/entity/biomarkers/130","C-C motif chemokine 2")</f>
        <v>C-C motif chemokine 2</v>
      </c>
      <c r="I1920" s="2" t="s">
        <v>22</v>
      </c>
      <c r="J1920" s="2" t="s">
        <v>15</v>
      </c>
      <c r="K1920" s="4" t="str">
        <f>HYPERLINK("https://www.cortellis.com/drugdiscovery/result/proxy/related-content/biomarkers/genestargets/130","C-C motif chemokine ligand 2")</f>
        <v>C-C motif chemokine ligand 2</v>
      </c>
    </row>
    <row r="1921" spans="1:11" ht="60" customHeight="1" x14ac:dyDescent="0.2">
      <c r="A1921" s="2">
        <v>1918</v>
      </c>
      <c r="B1921" s="3"/>
      <c r="C1921" s="3" t="str">
        <f t="shared" si="335"/>
        <v>CCL2</v>
      </c>
      <c r="D1921" s="3" t="str">
        <f t="shared" si="336"/>
        <v>CCL2_(HUMAN)_transcript</v>
      </c>
      <c r="E1921" s="2" t="s">
        <v>72</v>
      </c>
      <c r="F1921" s="3"/>
      <c r="G1921" s="4"/>
      <c r="H1921" s="3" t="str">
        <f>HYPERLINK("https://www.cortellis.com/drugdiscovery/entity/biomarkers/27598","89-protein neurological alzheimer's panel")</f>
        <v>89-protein neurological alzheimer's panel</v>
      </c>
      <c r="I1921" s="2" t="s">
        <v>23</v>
      </c>
      <c r="J1921" s="2" t="s">
        <v>17</v>
      </c>
      <c r="K1921"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1922" spans="1:11" ht="60" customHeight="1" x14ac:dyDescent="0.2">
      <c r="A1922" s="2">
        <v>1919</v>
      </c>
      <c r="B1922" s="3"/>
      <c r="C1922" s="3" t="str">
        <f t="shared" si="335"/>
        <v>CCL2</v>
      </c>
      <c r="D1922" s="3" t="str">
        <f t="shared" si="336"/>
        <v>CCL2_(HUMAN)_transcript</v>
      </c>
      <c r="E1922" s="2" t="s">
        <v>72</v>
      </c>
      <c r="F1922" s="3"/>
      <c r="G1922" s="4"/>
      <c r="H1922" s="3" t="str">
        <f>HYPERLINK("https://www.cortellis.com/drugdiscovery/entity/biomarkers/29865","37-gene expression lupus panel")</f>
        <v>37-gene expression lupus panel</v>
      </c>
      <c r="I1922" s="2" t="s">
        <v>23</v>
      </c>
      <c r="J1922" s="2" t="s">
        <v>19</v>
      </c>
      <c r="K1922" s="4" t="str">
        <f>HYPERLINK("https://www.cortellis.com/drugdiscovery/result/proxy/related-content/biomarkers/genestargets/29865","C-C motif chemokine ligand 2")</f>
        <v>C-C motif chemokine ligand 2</v>
      </c>
    </row>
    <row r="1923" spans="1:11" ht="60" customHeight="1" x14ac:dyDescent="0.2">
      <c r="A1923" s="2">
        <v>1920</v>
      </c>
      <c r="B1923" s="3"/>
      <c r="C1923" s="3" t="str">
        <f t="shared" si="335"/>
        <v>CCL2</v>
      </c>
      <c r="D1923" s="3" t="str">
        <f t="shared" si="336"/>
        <v>CCL2_(HUMAN)_transcript</v>
      </c>
      <c r="E1923" s="2" t="s">
        <v>72</v>
      </c>
      <c r="F1923" s="3"/>
      <c r="G1923" s="4"/>
      <c r="H1923" s="3" t="str">
        <f>HYPERLINK("https://www.cortellis.com/drugdiscovery/entity/biomarkers/31652","786-gene expression cancer panel")</f>
        <v>786-gene expression cancer panel</v>
      </c>
      <c r="I1923" s="2" t="s">
        <v>23</v>
      </c>
      <c r="J1923" s="2" t="s">
        <v>19</v>
      </c>
      <c r="K1923" s="4" t="str">
        <f>HYPERLINK("https://www.cortellis.com/drugdiscovery/result/proxy/related-content/biomarkers/genestargets/31652","C-C motif chemokine ligand 2; coagulation factor III, tissue factor; tenascin C")</f>
        <v>C-C motif chemokine ligand 2; coagulation factor III, tissue factor; tenascin C</v>
      </c>
    </row>
    <row r="1924" spans="1:11" ht="60" customHeight="1" x14ac:dyDescent="0.2">
      <c r="A1924" s="2">
        <v>1921</v>
      </c>
      <c r="B1924" s="3"/>
      <c r="C1924" s="3" t="str">
        <f t="shared" si="335"/>
        <v>CCL2</v>
      </c>
      <c r="D1924" s="3" t="str">
        <f t="shared" si="336"/>
        <v>CCL2_(HUMAN)_transcript</v>
      </c>
      <c r="E1924" s="2" t="s">
        <v>72</v>
      </c>
      <c r="F1924" s="3"/>
      <c r="G1924" s="4"/>
      <c r="H1924" s="3" t="str">
        <f>HYPERLINK("https://www.cortellis.com/drugdiscovery/entity/biomarkers/31674","90-gene expression acute promyelocytic leukemia panel")</f>
        <v>90-gene expression acute promyelocytic leukemia panel</v>
      </c>
      <c r="I1924" s="2" t="s">
        <v>24</v>
      </c>
      <c r="J1924" s="2" t="s">
        <v>19</v>
      </c>
      <c r="K1924" s="4" t="str">
        <f>HYPERLINK("https://www.cortellis.com/drugdiscovery/result/proxy/related-content/biomarkers/genestargets/31674","C-C motif chemokine ligand 2")</f>
        <v>C-C motif chemokine ligand 2</v>
      </c>
    </row>
    <row r="1925" spans="1:11" ht="60" customHeight="1" x14ac:dyDescent="0.2">
      <c r="A1925" s="2">
        <v>1922</v>
      </c>
      <c r="B1925" s="3"/>
      <c r="C1925" s="3" t="str">
        <f t="shared" si="335"/>
        <v>CCL2</v>
      </c>
      <c r="D1925" s="3" t="str">
        <f t="shared" si="336"/>
        <v>CCL2_(HUMAN)_transcript</v>
      </c>
      <c r="E1925" s="2" t="s">
        <v>72</v>
      </c>
      <c r="F1925" s="3"/>
      <c r="G1925" s="4"/>
      <c r="H1925" s="3" t="str">
        <f>HYPERLINK("https://www.cortellis.com/drugdiscovery/entity/biomarkers/34385","30-protein alzheimer's panel")</f>
        <v>30-protein alzheimer's panel</v>
      </c>
      <c r="I1925" s="2" t="s">
        <v>23</v>
      </c>
      <c r="J1925" s="2" t="s">
        <v>17</v>
      </c>
      <c r="K1925" s="4" t="str">
        <f>HYPERLINK("https://www.cortellis.com/drugdiscovery/result/proxy/related-content/biomarkers/genestargets/34385","C-C motif chemokine ligand 2; interleukin 7; tenascin C; tumor necrosis factor")</f>
        <v>C-C motif chemokine ligand 2; interleukin 7; tenascin C; tumor necrosis factor</v>
      </c>
    </row>
    <row r="1926" spans="1:11" ht="60" customHeight="1" x14ac:dyDescent="0.2">
      <c r="A1926" s="2">
        <v>1923</v>
      </c>
      <c r="B1926" s="3"/>
      <c r="C1926" s="3" t="str">
        <f t="shared" si="335"/>
        <v>CCL2</v>
      </c>
      <c r="D1926" s="3" t="str">
        <f t="shared" si="336"/>
        <v>CCL2_(HUMAN)_transcript</v>
      </c>
      <c r="E1926" s="2" t="s">
        <v>72</v>
      </c>
      <c r="F1926" s="3"/>
      <c r="G1926" s="4"/>
      <c r="H1926" s="3" t="str">
        <f>HYPERLINK("https://www.cortellis.com/drugdiscovery/entity/biomarkers/36097","21-protein breast cancer panel")</f>
        <v>21-protein breast cancer panel</v>
      </c>
      <c r="I1926" s="2" t="s">
        <v>18</v>
      </c>
      <c r="J1926" s="2" t="s">
        <v>17</v>
      </c>
      <c r="K1926" s="4" t="str">
        <f>HYPERLINK("https://www.cortellis.com/drugdiscovery/result/proxy/related-content/biomarkers/genestargets/36097","C-C motif chemokine ligand 2; interleukin 12B; interleukin 7")</f>
        <v>C-C motif chemokine ligand 2; interleukin 12B; interleukin 7</v>
      </c>
    </row>
    <row r="1927" spans="1:11" ht="60" customHeight="1" x14ac:dyDescent="0.2">
      <c r="A1927" s="2">
        <v>1924</v>
      </c>
      <c r="B1927" s="3"/>
      <c r="C1927" s="3" t="str">
        <f t="shared" si="335"/>
        <v>CCL2</v>
      </c>
      <c r="D1927" s="3" t="str">
        <f t="shared" si="336"/>
        <v>CCL2_(HUMAN)_transcript</v>
      </c>
      <c r="E1927" s="2" t="s">
        <v>72</v>
      </c>
      <c r="F1927" s="3"/>
      <c r="G1927" s="4"/>
      <c r="H1927" s="3" t="str">
        <f>HYPERLINK("https://www.cortellis.com/drugdiscovery/entity/biomarkers/38194","6-protein lung cancer panel")</f>
        <v>6-protein lung cancer panel</v>
      </c>
      <c r="I1927" s="2" t="s">
        <v>23</v>
      </c>
      <c r="J1927" s="2" t="s">
        <v>17</v>
      </c>
      <c r="K1927" s="4" t="str">
        <f>HYPERLINK("https://www.cortellis.com/drugdiscovery/result/proxy/related-content/biomarkers/genestargets/38194","C-C motif chemokine ligand 2")</f>
        <v>C-C motif chemokine ligand 2</v>
      </c>
    </row>
    <row r="1928" spans="1:11" ht="60" customHeight="1" x14ac:dyDescent="0.2">
      <c r="A1928" s="2">
        <v>1925</v>
      </c>
      <c r="B1928" s="3"/>
      <c r="C1928" s="3" t="str">
        <f t="shared" si="335"/>
        <v>CCL2</v>
      </c>
      <c r="D1928" s="3" t="str">
        <f t="shared" si="336"/>
        <v>CCL2_(HUMAN)_transcript</v>
      </c>
      <c r="E1928" s="2" t="s">
        <v>72</v>
      </c>
      <c r="F1928" s="3"/>
      <c r="G1928" s="4"/>
      <c r="H1928" s="3" t="str">
        <f>HYPERLINK("https://www.cortellis.com/drugdiscovery/entity/biomarkers/38797","204-gene expression breast cancer panel")</f>
        <v>204-gene expression breast cancer panel</v>
      </c>
      <c r="I1928" s="2" t="s">
        <v>25</v>
      </c>
      <c r="J1928" s="2" t="s">
        <v>19</v>
      </c>
      <c r="K1928" s="4" t="str">
        <f>HYPERLINK("https://www.cortellis.com/drugdiscovery/result/proxy/related-content/biomarkers/genestargets/38797","C-C motif chemokine ligand 2")</f>
        <v>C-C motif chemokine ligand 2</v>
      </c>
    </row>
    <row r="1929" spans="1:11" ht="60" customHeight="1" x14ac:dyDescent="0.2">
      <c r="A1929" s="2">
        <v>1926</v>
      </c>
      <c r="B1929" s="3"/>
      <c r="C1929" s="3" t="str">
        <f t="shared" si="335"/>
        <v>CCL2</v>
      </c>
      <c r="D1929" s="3" t="str">
        <f t="shared" si="336"/>
        <v>CCL2_(HUMAN)_transcript</v>
      </c>
      <c r="E1929" s="2" t="s">
        <v>72</v>
      </c>
      <c r="F1929" s="3"/>
      <c r="G1929" s="4"/>
      <c r="H1929" s="3" t="str">
        <f>HYPERLINK("https://www.cortellis.com/drugdiscovery/entity/biomarkers/39788","Epithelial-mesenchymal transition gene signature")</f>
        <v>Epithelial-mesenchymal transition gene signature</v>
      </c>
      <c r="I1929" s="2" t="s">
        <v>18</v>
      </c>
      <c r="J1929" s="2" t="s">
        <v>19</v>
      </c>
      <c r="K1929" s="4" t="str">
        <f>HYPERLINK("https://www.cortellis.com/drugdiscovery/result/proxy/related-content/biomarkers/genestargets/39788","C-C motif chemokine ligand 2; matrix metallopeptidase 9")</f>
        <v>C-C motif chemokine ligand 2; matrix metallopeptidase 9</v>
      </c>
    </row>
    <row r="1930" spans="1:11" ht="60" customHeight="1" x14ac:dyDescent="0.2">
      <c r="A1930" s="2">
        <v>1927</v>
      </c>
      <c r="B1930" s="3"/>
      <c r="C1930" s="3" t="str">
        <f t="shared" si="335"/>
        <v>CCL2</v>
      </c>
      <c r="D1930" s="3" t="str">
        <f t="shared" si="336"/>
        <v>CCL2_(HUMAN)_transcript</v>
      </c>
      <c r="E1930" s="2" t="s">
        <v>72</v>
      </c>
      <c r="F1930" s="3"/>
      <c r="G1930" s="4"/>
      <c r="H1930" s="3" t="str">
        <f>HYPERLINK("https://www.cortellis.com/drugdiscovery/entity/biomarkers/41724","113-gene expression breast cancer panel")</f>
        <v>113-gene expression breast cancer panel</v>
      </c>
      <c r="I1930" s="2" t="s">
        <v>25</v>
      </c>
      <c r="J1930" s="2" t="s">
        <v>19</v>
      </c>
      <c r="K1930" s="4" t="str">
        <f>HYPERLINK("https://www.cortellis.com/drugdiscovery/result/proxy/related-content/biomarkers/genestargets/41724","C-C motif chemokine ligand 2; tenascin C")</f>
        <v>C-C motif chemokine ligand 2; tenascin C</v>
      </c>
    </row>
    <row r="1931" spans="1:11" ht="60" customHeight="1" x14ac:dyDescent="0.2">
      <c r="A1931" s="2">
        <v>1928</v>
      </c>
      <c r="B1931" s="3"/>
      <c r="C1931" s="3" t="str">
        <f t="shared" si="335"/>
        <v>CCL2</v>
      </c>
      <c r="D1931" s="3" t="str">
        <f t="shared" si="336"/>
        <v>CCL2_(HUMAN)_transcript</v>
      </c>
      <c r="E1931" s="2" t="s">
        <v>72</v>
      </c>
      <c r="F1931" s="3"/>
      <c r="G1931" s="4"/>
      <c r="H1931" s="3" t="str">
        <f>HYPERLINK("https://www.cortellis.com/drugdiscovery/entity/biomarkers/42240","14-gene expression glioblastoma panel")</f>
        <v>14-gene expression glioblastoma panel</v>
      </c>
      <c r="I1931" s="2" t="s">
        <v>25</v>
      </c>
      <c r="J1931" s="2" t="s">
        <v>19</v>
      </c>
      <c r="K1931" s="4" t="str">
        <f>HYPERLINK("https://www.cortellis.com/drugdiscovery/result/proxy/related-content/biomarkers/genestargets/42240","C-C motif chemokine ligand 2")</f>
        <v>C-C motif chemokine ligand 2</v>
      </c>
    </row>
    <row r="1932" spans="1:11" ht="60" customHeight="1" x14ac:dyDescent="0.2">
      <c r="A1932" s="2">
        <v>1929</v>
      </c>
      <c r="B1932" s="3"/>
      <c r="C1932" s="3" t="str">
        <f t="shared" si="335"/>
        <v>CCL2</v>
      </c>
      <c r="D1932" s="3" t="str">
        <f t="shared" si="336"/>
        <v>CCL2_(HUMAN)_transcript</v>
      </c>
      <c r="E1932" s="2" t="s">
        <v>72</v>
      </c>
      <c r="F1932" s="3"/>
      <c r="G1932" s="4"/>
      <c r="H1932" s="3" t="str">
        <f>HYPERLINK("https://www.cortellis.com/drugdiscovery/entity/biomarkers/43073","4-protein glioblastoma panel")</f>
        <v>4-protein glioblastoma panel</v>
      </c>
      <c r="I1932" s="2" t="s">
        <v>25</v>
      </c>
      <c r="J1932" s="2" t="s">
        <v>17</v>
      </c>
      <c r="K1932" s="4" t="str">
        <f>HYPERLINK("https://www.cortellis.com/drugdiscovery/result/proxy/related-content/biomarkers/genestargets/43073","C-C motif chemokine ligand 2; interleukin 7")</f>
        <v>C-C motif chemokine ligand 2; interleukin 7</v>
      </c>
    </row>
    <row r="1933" spans="1:11" ht="60" customHeight="1" x14ac:dyDescent="0.2">
      <c r="A1933" s="2">
        <v>1930</v>
      </c>
      <c r="B1933" s="3"/>
      <c r="C1933" s="3" t="str">
        <f t="shared" si="335"/>
        <v>CCL2</v>
      </c>
      <c r="D1933" s="3" t="str">
        <f t="shared" si="336"/>
        <v>CCL2_(HUMAN)_transcript</v>
      </c>
      <c r="E1933" s="2" t="s">
        <v>72</v>
      </c>
      <c r="F1933" s="3"/>
      <c r="G1933" s="4"/>
      <c r="H1933" s="3" t="str">
        <f>HYPERLINK("https://www.cortellis.com/drugdiscovery/entity/biomarkers/46063","15-gene expression graves disease panel")</f>
        <v>15-gene expression graves disease panel</v>
      </c>
      <c r="I1933" s="2" t="s">
        <v>23</v>
      </c>
      <c r="J1933" s="2" t="s">
        <v>19</v>
      </c>
      <c r="K1933" s="4" t="str">
        <f>HYPERLINK("https://www.cortellis.com/drugdiscovery/result/proxy/related-content/biomarkers/genestargets/46063","C-C motif chemokine ligand 2")</f>
        <v>C-C motif chemokine ligand 2</v>
      </c>
    </row>
    <row r="1934" spans="1:11" ht="60" customHeight="1" x14ac:dyDescent="0.2">
      <c r="A1934" s="2">
        <v>1931</v>
      </c>
      <c r="B1934" s="3"/>
      <c r="C1934" s="3" t="str">
        <f t="shared" si="335"/>
        <v>CCL2</v>
      </c>
      <c r="D1934" s="3" t="str">
        <f t="shared" si="336"/>
        <v>CCL2_(HUMAN)_transcript</v>
      </c>
      <c r="E1934" s="2" t="s">
        <v>72</v>
      </c>
      <c r="F1934" s="3"/>
      <c r="G1934" s="4"/>
      <c r="H1934" s="3" t="str">
        <f>HYPERLINK("https://www.cortellis.com/drugdiscovery/entity/biomarkers/48483","AngioMatrix")</f>
        <v>AngioMatrix</v>
      </c>
      <c r="I1934" s="2" t="s">
        <v>26</v>
      </c>
      <c r="J1934" s="2" t="s">
        <v>19</v>
      </c>
      <c r="K1934" s="4" t="str">
        <f>HYPERLINK("https://www.cortellis.com/drugdiscovery/result/proxy/related-content/biomarkers/genestargets/48483","C-C motif chemokine ligand 2; tenascin C")</f>
        <v>C-C motif chemokine ligand 2; tenascin C</v>
      </c>
    </row>
    <row r="1935" spans="1:11" ht="60" customHeight="1" x14ac:dyDescent="0.2">
      <c r="A1935" s="2">
        <v>1932</v>
      </c>
      <c r="B1935" s="3"/>
      <c r="C1935" s="3" t="str">
        <f t="shared" si="335"/>
        <v>CCL2</v>
      </c>
      <c r="D1935" s="3" t="str">
        <f t="shared" si="336"/>
        <v>CCL2_(HUMAN)_transcript</v>
      </c>
      <c r="E1935" s="2" t="s">
        <v>72</v>
      </c>
      <c r="F1935" s="3"/>
      <c r="G1935" s="4"/>
      <c r="H1935" s="3" t="str">
        <f>HYPERLINK("https://www.cortellis.com/drugdiscovery/entity/biomarkers/50816","10-gene lyme disease panel")</f>
        <v>10-gene lyme disease panel</v>
      </c>
      <c r="I1935" s="2" t="s">
        <v>23</v>
      </c>
      <c r="J1935" s="2" t="s">
        <v>15</v>
      </c>
      <c r="K1935" s="4" t="str">
        <f>HYPERLINK("https://www.cortellis.com/drugdiscovery/result/proxy/related-content/biomarkers/genestargets/50816","C-C motif chemokine ligand 2; interferon gamma; tumor necrosis factor")</f>
        <v>C-C motif chemokine ligand 2; interferon gamma; tumor necrosis factor</v>
      </c>
    </row>
    <row r="1936" spans="1:11" ht="60" customHeight="1" x14ac:dyDescent="0.2">
      <c r="A1936" s="2">
        <v>1933</v>
      </c>
      <c r="B1936" s="3"/>
      <c r="C1936" s="3" t="str">
        <f t="shared" si="335"/>
        <v>CCL2</v>
      </c>
      <c r="D1936" s="3" t="str">
        <f t="shared" si="336"/>
        <v>CCL2_(HUMAN)_transcript</v>
      </c>
      <c r="E1936" s="2" t="s">
        <v>72</v>
      </c>
      <c r="F1936" s="3"/>
      <c r="G1936" s="4"/>
      <c r="H1936" s="3" t="str">
        <f>HYPERLINK("https://www.cortellis.com/drugdiscovery/entity/biomarkers/50817","11-gene lyme disease panel")</f>
        <v>11-gene lyme disease panel</v>
      </c>
      <c r="I1936" s="2" t="s">
        <v>23</v>
      </c>
      <c r="J1936" s="2" t="s">
        <v>15</v>
      </c>
      <c r="K1936" s="4" t="str">
        <f>HYPERLINK("https://www.cortellis.com/drugdiscovery/result/proxy/related-content/biomarkers/genestargets/50817","C-C motif chemokine ligand 2; interferon gamma; tumor necrosis factor")</f>
        <v>C-C motif chemokine ligand 2; interferon gamma; tumor necrosis factor</v>
      </c>
    </row>
    <row r="1937" spans="1:11" ht="60" customHeight="1" x14ac:dyDescent="0.2">
      <c r="A1937" s="2">
        <v>1934</v>
      </c>
      <c r="B1937" s="3"/>
      <c r="C1937" s="3" t="str">
        <f t="shared" si="335"/>
        <v>CCL2</v>
      </c>
      <c r="D1937" s="3" t="str">
        <f t="shared" si="336"/>
        <v>CCL2_(HUMAN)_transcript</v>
      </c>
      <c r="E1937" s="2" t="s">
        <v>72</v>
      </c>
      <c r="F1937" s="3"/>
      <c r="G1937" s="4"/>
      <c r="H1937" s="3" t="str">
        <f>HYPERLINK("https://www.cortellis.com/drugdiscovery/entity/biomarkers/50818","12 protein Lyme disease panel")</f>
        <v>12 protein Lyme disease panel</v>
      </c>
      <c r="I1937" s="2" t="s">
        <v>23</v>
      </c>
      <c r="J1937" s="2" t="s">
        <v>17</v>
      </c>
      <c r="K1937" s="4" t="str">
        <f>HYPERLINK("https://www.cortellis.com/drugdiscovery/result/proxy/related-content/biomarkers/genestargets/50818","C-C motif chemokine ligand 2; interferon gamma; tumor necrosis factor")</f>
        <v>C-C motif chemokine ligand 2; interferon gamma; tumor necrosis factor</v>
      </c>
    </row>
    <row r="1938" spans="1:11" ht="60" customHeight="1" x14ac:dyDescent="0.2">
      <c r="A1938" s="2">
        <v>1935</v>
      </c>
      <c r="B1938" s="3"/>
      <c r="C1938" s="3" t="str">
        <f t="shared" si="335"/>
        <v>CCL2</v>
      </c>
      <c r="D1938" s="3" t="str">
        <f t="shared" si="336"/>
        <v>CCL2_(HUMAN)_transcript</v>
      </c>
      <c r="E1938" s="2" t="s">
        <v>72</v>
      </c>
      <c r="F1938" s="3"/>
      <c r="G1938" s="4"/>
      <c r="H1938" s="3" t="str">
        <f>HYPERLINK("https://www.cortellis.com/drugdiscovery/entity/biomarkers/50876","6-gene expression glioblastoma panel")</f>
        <v>6-gene expression glioblastoma panel</v>
      </c>
      <c r="I1938" s="2" t="s">
        <v>27</v>
      </c>
      <c r="J1938" s="2" t="s">
        <v>19</v>
      </c>
      <c r="K1938" s="4" t="str">
        <f>HYPERLINK("https://www.cortellis.com/drugdiscovery/result/proxy/related-content/biomarkers/genestargets/50876","C-C motif chemokine ligand 2")</f>
        <v>C-C motif chemokine ligand 2</v>
      </c>
    </row>
    <row r="1939" spans="1:11" ht="60" customHeight="1" x14ac:dyDescent="0.2">
      <c r="A1939" s="2">
        <v>1936</v>
      </c>
      <c r="B1939" s="3"/>
      <c r="C1939" s="3" t="str">
        <f t="shared" si="335"/>
        <v>CCL2</v>
      </c>
      <c r="D1939" s="3" t="str">
        <f t="shared" si="336"/>
        <v>CCL2_(HUMAN)_transcript</v>
      </c>
      <c r="E1939" s="2" t="s">
        <v>72</v>
      </c>
      <c r="F1939" s="3"/>
      <c r="G1939" s="4"/>
      <c r="H1939" s="3" t="str">
        <f>HYPERLINK("https://www.cortellis.com/drugdiscovery/entity/biomarkers/51292","37-gene expression major depression panel")</f>
        <v>37-gene expression major depression panel</v>
      </c>
      <c r="I1939" s="2" t="s">
        <v>23</v>
      </c>
      <c r="J1939" s="2" t="s">
        <v>19</v>
      </c>
      <c r="K1939" s="4" t="str">
        <f>HYPERLINK("https://www.cortellis.com/drugdiscovery/result/proxy/related-content/biomarkers/genestargets/51292","C-C motif chemokine ligand 2; tumor necrosis factor")</f>
        <v>C-C motif chemokine ligand 2; tumor necrosis factor</v>
      </c>
    </row>
    <row r="1940" spans="1:11" ht="60" customHeight="1" x14ac:dyDescent="0.2">
      <c r="A1940" s="2">
        <v>1937</v>
      </c>
      <c r="B1940" s="3"/>
      <c r="C1940" s="3" t="str">
        <f t="shared" si="335"/>
        <v>CCL2</v>
      </c>
      <c r="D1940" s="3" t="str">
        <f t="shared" si="336"/>
        <v>CCL2_(HUMAN)_transcript</v>
      </c>
      <c r="E1940" s="2" t="s">
        <v>72</v>
      </c>
      <c r="F1940" s="3"/>
      <c r="G1940" s="4"/>
      <c r="H1940" s="3" t="str">
        <f>HYPERLINK("https://www.cortellis.com/drugdiscovery/entity/biomarkers/53322","4-protein arthritis panel")</f>
        <v>4-protein arthritis panel</v>
      </c>
      <c r="I1940" s="2" t="s">
        <v>28</v>
      </c>
      <c r="J1940" s="2" t="s">
        <v>17</v>
      </c>
      <c r="K1940" s="4" t="str">
        <f>HYPERLINK("https://www.cortellis.com/drugdiscovery/result/proxy/related-content/biomarkers/genestargets/53322","C-C motif chemokine ligand 2")</f>
        <v>C-C motif chemokine ligand 2</v>
      </c>
    </row>
    <row r="1941" spans="1:11" ht="60" customHeight="1" x14ac:dyDescent="0.2">
      <c r="A1941" s="2">
        <v>1938</v>
      </c>
      <c r="B1941" s="3"/>
      <c r="C1941" s="3" t="str">
        <f t="shared" si="335"/>
        <v>CCL2</v>
      </c>
      <c r="D1941" s="3" t="str">
        <f t="shared" si="336"/>
        <v>CCL2_(HUMAN)_transcript</v>
      </c>
      <c r="E1941" s="2" t="s">
        <v>72</v>
      </c>
      <c r="F1941" s="3"/>
      <c r="G1941" s="4"/>
      <c r="H1941" s="3" t="str">
        <f>HYPERLINK("https://www.cortellis.com/drugdiscovery/entity/biomarkers/56837","794-gene expression intrahepatic cholangiocarcinoma panel")</f>
        <v>794-gene expression intrahepatic cholangiocarcinoma panel</v>
      </c>
      <c r="I1941" s="2" t="s">
        <v>25</v>
      </c>
      <c r="J1941" s="2" t="s">
        <v>19</v>
      </c>
      <c r="K1941" s="4" t="str">
        <f>HYPERLINK("https://www.cortellis.com/drugdiscovery/result/proxy/related-content/biomarkers/genestargets/56837","C-C motif chemokine ligand 2; tenascin C")</f>
        <v>C-C motif chemokine ligand 2; tenascin C</v>
      </c>
    </row>
    <row r="1942" spans="1:11" ht="60" customHeight="1" x14ac:dyDescent="0.2">
      <c r="A1942" s="2">
        <v>1939</v>
      </c>
      <c r="B1942" s="3"/>
      <c r="C1942" s="3" t="str">
        <f t="shared" si="335"/>
        <v>CCL2</v>
      </c>
      <c r="D1942" s="3" t="str">
        <f t="shared" si="336"/>
        <v>CCL2_(HUMAN)_transcript</v>
      </c>
      <c r="E1942" s="2" t="s">
        <v>72</v>
      </c>
      <c r="F1942" s="3"/>
      <c r="G1942" s="4"/>
      <c r="H1942" s="3" t="str">
        <f>HYPERLINK("https://www.cortellis.com/drugdiscovery/entity/biomarkers/58911","12-gene expression breast cancer panel")</f>
        <v>12-gene expression breast cancer panel</v>
      </c>
      <c r="I1942" s="2" t="s">
        <v>18</v>
      </c>
      <c r="J1942" s="2" t="s">
        <v>19</v>
      </c>
      <c r="K1942" s="4" t="str">
        <f>HYPERLINK("https://www.cortellis.com/drugdiscovery/result/proxy/related-content/biomarkers/genestargets/58911","C-C motif chemokine ligand 2")</f>
        <v>C-C motif chemokine ligand 2</v>
      </c>
    </row>
    <row r="1943" spans="1:11" ht="60" customHeight="1" x14ac:dyDescent="0.2">
      <c r="A1943" s="2">
        <v>1940</v>
      </c>
      <c r="B1943" s="3"/>
      <c r="C1943" s="3" t="str">
        <f t="shared" si="335"/>
        <v>CCL2</v>
      </c>
      <c r="D1943" s="3" t="str">
        <f t="shared" si="336"/>
        <v>CCL2_(HUMAN)_transcript</v>
      </c>
      <c r="E1943" s="2" t="s">
        <v>72</v>
      </c>
      <c r="F1943" s="3"/>
      <c r="G1943" s="4"/>
      <c r="H1943" s="3" t="str">
        <f>HYPERLINK("https://www.cortellis.com/drugdiscovery/entity/biomarkers/60189","CCL2-ATF7IP fusion protein")</f>
        <v>CCL2-ATF7IP fusion protein</v>
      </c>
      <c r="I1943" s="2" t="s">
        <v>18</v>
      </c>
      <c r="J1943" s="2" t="s">
        <v>15</v>
      </c>
      <c r="K1943" s="4" t="str">
        <f>HYPERLINK("https://www.cortellis.com/drugdiscovery/result/proxy/related-content/biomarkers/genestargets/60189","C-C motif chemokine ligand 2")</f>
        <v>C-C motif chemokine ligand 2</v>
      </c>
    </row>
    <row r="1944" spans="1:11" ht="60" customHeight="1" x14ac:dyDescent="0.2">
      <c r="A1944" s="2">
        <v>1941</v>
      </c>
      <c r="B1944" s="3"/>
      <c r="C1944" s="3" t="str">
        <f t="shared" si="335"/>
        <v>CCL2</v>
      </c>
      <c r="D1944" s="3" t="str">
        <f t="shared" si="336"/>
        <v>CCL2_(HUMAN)_transcript</v>
      </c>
      <c r="E1944" s="2" t="s">
        <v>72</v>
      </c>
      <c r="F1944" s="3"/>
      <c r="G1944" s="4"/>
      <c r="H1944" s="3" t="str">
        <f>HYPERLINK("https://www.cortellis.com/drugdiscovery/entity/biomarkers/62155","19-protein rhegmatogenous retinal detachment panel")</f>
        <v>19-protein rhegmatogenous retinal detachment panel</v>
      </c>
      <c r="I1944" s="2" t="s">
        <v>24</v>
      </c>
      <c r="J1944" s="2" t="s">
        <v>17</v>
      </c>
      <c r="K1944" s="4" t="str">
        <f>HYPERLINK("https://www.cortellis.com/drugdiscovery/result/proxy/related-content/biomarkers/genestargets/62155","C-C motif chemokine ligand 2; interleukin 12B; tumor necrosis factor")</f>
        <v>C-C motif chemokine ligand 2; interleukin 12B; tumor necrosis factor</v>
      </c>
    </row>
    <row r="1945" spans="1:11" ht="60" customHeight="1" x14ac:dyDescent="0.2">
      <c r="A1945" s="2">
        <v>1942</v>
      </c>
      <c r="B1945" s="3"/>
      <c r="C1945" s="3" t="str">
        <f t="shared" si="335"/>
        <v>CCL2</v>
      </c>
      <c r="D1945" s="3" t="str">
        <f t="shared" si="336"/>
        <v>CCL2_(HUMAN)_transcript</v>
      </c>
      <c r="E1945" s="2" t="s">
        <v>72</v>
      </c>
      <c r="F1945" s="3"/>
      <c r="G1945" s="4"/>
      <c r="H1945" s="3" t="str">
        <f>HYPERLINK("https://www.cortellis.com/drugdiscovery/entity/biomarkers/62663","9-protein immunological disorders panel")</f>
        <v>9-protein immunological disorders panel</v>
      </c>
      <c r="I1945" s="2" t="s">
        <v>24</v>
      </c>
      <c r="J1945" s="2" t="s">
        <v>17</v>
      </c>
      <c r="K1945" s="4" t="str">
        <f>HYPERLINK("https://www.cortellis.com/drugdiscovery/result/proxy/related-content/biomarkers/genestargets/62663","C-C motif chemokine ligand 2; interferon gamma; tumor necrosis factor")</f>
        <v>C-C motif chemokine ligand 2; interferon gamma; tumor necrosis factor</v>
      </c>
    </row>
    <row r="1946" spans="1:11" ht="60" customHeight="1" x14ac:dyDescent="0.2">
      <c r="A1946" s="2">
        <v>1943</v>
      </c>
      <c r="B1946" s="3"/>
      <c r="C1946" s="3" t="str">
        <f t="shared" si="335"/>
        <v>CCL2</v>
      </c>
      <c r="D1946" s="3" t="str">
        <f t="shared" si="336"/>
        <v>CCL2_(HUMAN)_transcript</v>
      </c>
      <c r="E1946" s="2" t="s">
        <v>72</v>
      </c>
      <c r="F1946" s="3"/>
      <c r="G1946" s="4"/>
      <c r="H1946" s="3" t="str">
        <f>HYPERLINK("https://www.cortellis.com/drugdiscovery/entity/biomarkers/64489","13-gene expression head and neck squamous cell carcinoma panel")</f>
        <v>13-gene expression head and neck squamous cell carcinoma panel</v>
      </c>
      <c r="I1946" s="2" t="s">
        <v>18</v>
      </c>
      <c r="J1946" s="2" t="s">
        <v>19</v>
      </c>
      <c r="K1946" s="4" t="str">
        <f>HYPERLINK("https://www.cortellis.com/drugdiscovery/result/proxy/related-content/biomarkers/genestargets/64489","C-C motif chemokine ligand 2")</f>
        <v>C-C motif chemokine ligand 2</v>
      </c>
    </row>
    <row r="1947" spans="1:11" ht="60" customHeight="1" x14ac:dyDescent="0.2">
      <c r="A1947" s="2">
        <v>1944</v>
      </c>
      <c r="B1947" s="3"/>
      <c r="C1947" s="3" t="str">
        <f t="shared" ref="C1947:C1980" si="337">HYPERLINK("https://portal.genego.com/cgi/entity_page.cgi?term=20&amp;id=-841303359","CCND1")</f>
        <v>CCND1</v>
      </c>
      <c r="D1947" s="3" t="str">
        <f t="shared" ref="D1947:D1980" si="338">HYPERLINK("https://portal.genego.com/cgi/entity_page.cgi?term=7&amp;id=-854651605","CCND1_(HUMAN)_transcript")</f>
        <v>CCND1_(HUMAN)_transcript</v>
      </c>
      <c r="E1947" s="2" t="s">
        <v>72</v>
      </c>
      <c r="F1947" s="3"/>
      <c r="G1947" s="4"/>
      <c r="H1947" s="3" t="str">
        <f>HYPERLINK("https://www.cortellis.com/drugdiscovery/entity/biomarkers/11","G1/S-specific cyclin-D1")</f>
        <v>G1/S-specific cyclin-D1</v>
      </c>
      <c r="I1947" s="2" t="s">
        <v>22</v>
      </c>
      <c r="J1947" s="2" t="s">
        <v>15</v>
      </c>
      <c r="K1947" s="4" t="str">
        <f>HYPERLINK("https://www.cortellis.com/drugdiscovery/result/proxy/related-content/biomarkers/genestargets/11","cyclin D1")</f>
        <v>cyclin D1</v>
      </c>
    </row>
    <row r="1948" spans="1:11" ht="60" customHeight="1" x14ac:dyDescent="0.2">
      <c r="A1948" s="2">
        <v>1945</v>
      </c>
      <c r="B1948" s="3"/>
      <c r="C1948" s="3" t="str">
        <f t="shared" si="337"/>
        <v>CCND1</v>
      </c>
      <c r="D1948" s="3" t="str">
        <f t="shared" si="338"/>
        <v>CCND1_(HUMAN)_transcript</v>
      </c>
      <c r="E1948" s="2" t="s">
        <v>72</v>
      </c>
      <c r="F1948" s="3"/>
      <c r="G1948" s="4"/>
      <c r="H1948" s="3" t="str">
        <f>HYPERLINK("https://www.cortellis.com/drugdiscovery/entity/biomarkers/19284","CCND1-IGH fusion protein")</f>
        <v>CCND1-IGH fusion protein</v>
      </c>
      <c r="I1948" s="2" t="s">
        <v>40</v>
      </c>
      <c r="J1948" s="2" t="s">
        <v>15</v>
      </c>
      <c r="K1948" s="4" t="str">
        <f>HYPERLINK("https://www.cortellis.com/drugdiscovery/result/proxy/related-content/biomarkers/genestargets/19284","cyclin D1")</f>
        <v>cyclin D1</v>
      </c>
    </row>
    <row r="1949" spans="1:11" ht="60" customHeight="1" x14ac:dyDescent="0.2">
      <c r="A1949" s="2">
        <v>1946</v>
      </c>
      <c r="B1949" s="3"/>
      <c r="C1949" s="3" t="str">
        <f t="shared" si="337"/>
        <v>CCND1</v>
      </c>
      <c r="D1949" s="3" t="str">
        <f t="shared" si="338"/>
        <v>CCND1_(HUMAN)_transcript</v>
      </c>
      <c r="E1949" s="2" t="s">
        <v>72</v>
      </c>
      <c r="F1949" s="3"/>
      <c r="G1949" s="4"/>
      <c r="H1949" s="3" t="str">
        <f>HYPERLINK("https://www.cortellis.com/drugdiscovery/entity/biomarkers/25323","4-protein prostate cancer panel")</f>
        <v>4-protein prostate cancer panel</v>
      </c>
      <c r="I1949" s="2" t="s">
        <v>25</v>
      </c>
      <c r="J1949" s="2" t="s">
        <v>17</v>
      </c>
      <c r="K1949" s="4" t="str">
        <f>HYPERLINK("https://www.cortellis.com/drugdiscovery/result/proxy/related-content/biomarkers/genestargets/25323","cyclin D1")</f>
        <v>cyclin D1</v>
      </c>
    </row>
    <row r="1950" spans="1:11" ht="60" customHeight="1" x14ac:dyDescent="0.2">
      <c r="A1950" s="2">
        <v>1947</v>
      </c>
      <c r="B1950" s="3"/>
      <c r="C1950" s="3" t="str">
        <f t="shared" si="337"/>
        <v>CCND1</v>
      </c>
      <c r="D1950" s="3" t="str">
        <f t="shared" si="338"/>
        <v>CCND1_(HUMAN)_transcript</v>
      </c>
      <c r="E1950" s="2" t="s">
        <v>72</v>
      </c>
      <c r="F1950" s="3"/>
      <c r="G1950" s="4"/>
      <c r="H1950" s="3" t="str">
        <f>HYPERLINK("https://www.cortellis.com/drugdiscovery/entity/biomarkers/25837","374-gene expression breast cancer panel")</f>
        <v>374-gene expression breast cancer panel</v>
      </c>
      <c r="I1950" s="2" t="s">
        <v>25</v>
      </c>
      <c r="J1950" s="2" t="s">
        <v>19</v>
      </c>
      <c r="K1950" s="4" t="str">
        <f>HYPERLINK("https://www.cortellis.com/drugdiscovery/result/proxy/related-content/biomarkers/genestargets/25837","CD44 molecule (Indian blood group); coagulation factor III, tissue factor; cyclin D1")</f>
        <v>CD44 molecule (Indian blood group); coagulation factor III, tissue factor; cyclin D1</v>
      </c>
    </row>
    <row r="1951" spans="1:11" ht="60" customHeight="1" x14ac:dyDescent="0.2">
      <c r="A1951" s="2">
        <v>1948</v>
      </c>
      <c r="B1951" s="3"/>
      <c r="C1951" s="3" t="str">
        <f t="shared" si="337"/>
        <v>CCND1</v>
      </c>
      <c r="D1951" s="3" t="str">
        <f t="shared" si="338"/>
        <v>CCND1_(HUMAN)_transcript</v>
      </c>
      <c r="E1951" s="2" t="s">
        <v>72</v>
      </c>
      <c r="F1951" s="3"/>
      <c r="G1951" s="4"/>
      <c r="H1951" s="3" t="str">
        <f>HYPERLINK("https://www.cortellis.com/drugdiscovery/entity/biomarkers/29676","277-gene expression lung cancer panel")</f>
        <v>277-gene expression lung cancer panel</v>
      </c>
      <c r="I1951" s="2" t="s">
        <v>25</v>
      </c>
      <c r="J1951" s="2" t="s">
        <v>19</v>
      </c>
      <c r="K1951" s="4" t="str">
        <f>HYPERLINK("https://www.cortellis.com/drugdiscovery/result/proxy/related-content/biomarkers/genestargets/29676","cyclin D1; tumor necrosis factor")</f>
        <v>cyclin D1; tumor necrosis factor</v>
      </c>
    </row>
    <row r="1952" spans="1:11" ht="60" customHeight="1" x14ac:dyDescent="0.2">
      <c r="A1952" s="2">
        <v>1949</v>
      </c>
      <c r="B1952" s="3"/>
      <c r="C1952" s="3" t="str">
        <f t="shared" si="337"/>
        <v>CCND1</v>
      </c>
      <c r="D1952" s="3" t="str">
        <f t="shared" si="338"/>
        <v>CCND1_(HUMAN)_transcript</v>
      </c>
      <c r="E1952" s="2" t="s">
        <v>72</v>
      </c>
      <c r="F1952" s="3"/>
      <c r="G1952" s="4"/>
      <c r="H1952" s="3" t="str">
        <f>HYPERLINK("https://www.cortellis.com/drugdiscovery/entity/biomarkers/29864","6-gene expression thyroid panel")</f>
        <v>6-gene expression thyroid panel</v>
      </c>
      <c r="I1952" s="2" t="s">
        <v>23</v>
      </c>
      <c r="J1952" s="2" t="s">
        <v>19</v>
      </c>
      <c r="K1952" s="4" t="str">
        <f>HYPERLINK("https://www.cortellis.com/drugdiscovery/result/proxy/related-content/biomarkers/genestargets/29864","cyclin D1")</f>
        <v>cyclin D1</v>
      </c>
    </row>
    <row r="1953" spans="1:11" ht="60" customHeight="1" x14ac:dyDescent="0.2">
      <c r="A1953" s="2">
        <v>1950</v>
      </c>
      <c r="B1953" s="3"/>
      <c r="C1953" s="3" t="str">
        <f t="shared" si="337"/>
        <v>CCND1</v>
      </c>
      <c r="D1953" s="3" t="str">
        <f t="shared" si="338"/>
        <v>CCND1_(HUMAN)_transcript</v>
      </c>
      <c r="E1953" s="2" t="s">
        <v>72</v>
      </c>
      <c r="F1953" s="3"/>
      <c r="G1953" s="4"/>
      <c r="H1953" s="3" t="str">
        <f>HYPERLINK("https://www.cortellis.com/drugdiscovery/entity/biomarkers/33042","6-gene expression neuroblastoma panel")</f>
        <v>6-gene expression neuroblastoma panel</v>
      </c>
      <c r="I1953" s="2" t="s">
        <v>41</v>
      </c>
      <c r="J1953" s="2" t="s">
        <v>19</v>
      </c>
      <c r="K1953" s="4" t="str">
        <f>HYPERLINK("https://www.cortellis.com/drugdiscovery/result/proxy/related-content/biomarkers/genestargets/33042","cyclin D1")</f>
        <v>cyclin D1</v>
      </c>
    </row>
    <row r="1954" spans="1:11" ht="60" customHeight="1" x14ac:dyDescent="0.2">
      <c r="A1954" s="2">
        <v>1951</v>
      </c>
      <c r="B1954" s="3"/>
      <c r="C1954" s="3" t="str">
        <f t="shared" si="337"/>
        <v>CCND1</v>
      </c>
      <c r="D1954" s="3" t="str">
        <f t="shared" si="338"/>
        <v>CCND1_(HUMAN)_transcript</v>
      </c>
      <c r="E1954" s="2" t="s">
        <v>72</v>
      </c>
      <c r="F1954" s="3"/>
      <c r="G1954" s="4"/>
      <c r="H1954" s="3" t="str">
        <f>HYPERLINK("https://www.cortellis.com/drugdiscovery/entity/biomarkers/34289","21-gene expression breast cancer panel")</f>
        <v>21-gene expression breast cancer panel</v>
      </c>
      <c r="I1954" s="2" t="s">
        <v>18</v>
      </c>
      <c r="J1954" s="2" t="s">
        <v>19</v>
      </c>
      <c r="K1954" s="4" t="str">
        <f>HYPERLINK("https://www.cortellis.com/drugdiscovery/result/proxy/related-content/biomarkers/genestargets/34289","cyclin D1")</f>
        <v>cyclin D1</v>
      </c>
    </row>
    <row r="1955" spans="1:11" ht="60" customHeight="1" x14ac:dyDescent="0.2">
      <c r="A1955" s="2">
        <v>1952</v>
      </c>
      <c r="B1955" s="3"/>
      <c r="C1955" s="3" t="str">
        <f t="shared" si="337"/>
        <v>CCND1</v>
      </c>
      <c r="D1955" s="3" t="str">
        <f t="shared" si="338"/>
        <v>CCND1_(HUMAN)_transcript</v>
      </c>
      <c r="E1955" s="2" t="s">
        <v>72</v>
      </c>
      <c r="F1955" s="3"/>
      <c r="G1955" s="4"/>
      <c r="H1955" s="3" t="str">
        <f>HYPERLINK("https://www.cortellis.com/drugdiscovery/entity/biomarkers/39504","4-protein lung cancer panel")</f>
        <v>4-protein lung cancer panel</v>
      </c>
      <c r="I1955" s="2" t="s">
        <v>25</v>
      </c>
      <c r="J1955" s="2" t="s">
        <v>17</v>
      </c>
      <c r="K1955" s="4" t="str">
        <f>HYPERLINK("https://www.cortellis.com/drugdiscovery/result/proxy/related-content/biomarkers/genestargets/39504","cyclin D1")</f>
        <v>cyclin D1</v>
      </c>
    </row>
    <row r="1956" spans="1:11" ht="60" customHeight="1" x14ac:dyDescent="0.2">
      <c r="A1956" s="2">
        <v>1953</v>
      </c>
      <c r="B1956" s="3"/>
      <c r="C1956" s="3" t="str">
        <f t="shared" si="337"/>
        <v>CCND1</v>
      </c>
      <c r="D1956" s="3" t="str">
        <f t="shared" si="338"/>
        <v>CCND1_(HUMAN)_transcript</v>
      </c>
      <c r="E1956" s="2" t="s">
        <v>72</v>
      </c>
      <c r="F1956" s="3"/>
      <c r="G1956" s="4"/>
      <c r="H1956" s="3" t="str">
        <f>HYPERLINK("https://www.cortellis.com/drugdiscovery/entity/biomarkers/39535","8-protein hepatocellular cancer panel")</f>
        <v>8-protein hepatocellular cancer panel</v>
      </c>
      <c r="I1956" s="2" t="s">
        <v>18</v>
      </c>
      <c r="J1956" s="2" t="s">
        <v>17</v>
      </c>
      <c r="K1956" s="4" t="str">
        <f>HYPERLINK("https://www.cortellis.com/drugdiscovery/result/proxy/related-content/biomarkers/genestargets/39535","cyclin D1")</f>
        <v>cyclin D1</v>
      </c>
    </row>
    <row r="1957" spans="1:11" ht="60" customHeight="1" x14ac:dyDescent="0.2">
      <c r="A1957" s="2">
        <v>1954</v>
      </c>
      <c r="B1957" s="3"/>
      <c r="C1957" s="3" t="str">
        <f t="shared" si="337"/>
        <v>CCND1</v>
      </c>
      <c r="D1957" s="3" t="str">
        <f t="shared" si="338"/>
        <v>CCND1_(HUMAN)_transcript</v>
      </c>
      <c r="E1957" s="2" t="s">
        <v>72</v>
      </c>
      <c r="F1957" s="3"/>
      <c r="G1957" s="4"/>
      <c r="H1957" s="3" t="str">
        <f>HYPERLINK("https://www.cortellis.com/drugdiscovery/entity/biomarkers/39872","11-gene expression ovarian cancer panel")</f>
        <v>11-gene expression ovarian cancer panel</v>
      </c>
      <c r="I1957" s="2" t="s">
        <v>25</v>
      </c>
      <c r="J1957" s="2" t="s">
        <v>19</v>
      </c>
      <c r="K1957" s="4" t="str">
        <f>HYPERLINK("https://www.cortellis.com/drugdiscovery/result/proxy/related-content/biomarkers/genestargets/39872","cyclin D1")</f>
        <v>cyclin D1</v>
      </c>
    </row>
    <row r="1958" spans="1:11" ht="60" customHeight="1" x14ac:dyDescent="0.2">
      <c r="A1958" s="2">
        <v>1955</v>
      </c>
      <c r="B1958" s="3"/>
      <c r="C1958" s="3" t="str">
        <f t="shared" si="337"/>
        <v>CCND1</v>
      </c>
      <c r="D1958" s="3" t="str">
        <f t="shared" si="338"/>
        <v>CCND1_(HUMAN)_transcript</v>
      </c>
      <c r="E1958" s="2" t="s">
        <v>72</v>
      </c>
      <c r="F1958" s="3"/>
      <c r="G1958" s="4"/>
      <c r="H1958" s="3" t="str">
        <f>HYPERLINK("https://www.cortellis.com/drugdiscovery/entity/biomarkers/40578","4-protein bladder cancer panel")</f>
        <v>4-protein bladder cancer panel</v>
      </c>
      <c r="I1958" s="2" t="s">
        <v>25</v>
      </c>
      <c r="J1958" s="2" t="s">
        <v>17</v>
      </c>
      <c r="K1958" s="4" t="str">
        <f>HYPERLINK("https://www.cortellis.com/drugdiscovery/result/proxy/related-content/biomarkers/genestargets/40578","cyclin D1")</f>
        <v>cyclin D1</v>
      </c>
    </row>
    <row r="1959" spans="1:11" ht="60" customHeight="1" x14ac:dyDescent="0.2">
      <c r="A1959" s="2">
        <v>1956</v>
      </c>
      <c r="B1959" s="3"/>
      <c r="C1959" s="3" t="str">
        <f t="shared" si="337"/>
        <v>CCND1</v>
      </c>
      <c r="D1959" s="3" t="str">
        <f t="shared" si="338"/>
        <v>CCND1_(HUMAN)_transcript</v>
      </c>
      <c r="E1959" s="2" t="s">
        <v>72</v>
      </c>
      <c r="F1959" s="3"/>
      <c r="G1959" s="4"/>
      <c r="H1959" s="3" t="str">
        <f>HYPERLINK("https://www.cortellis.com/drugdiscovery/entity/biomarkers/42718","56-gene expression endometrial cancer panel")</f>
        <v>56-gene expression endometrial cancer panel</v>
      </c>
      <c r="I1959" s="2" t="s">
        <v>23</v>
      </c>
      <c r="J1959" s="2" t="s">
        <v>19</v>
      </c>
      <c r="K1959" s="4" t="str">
        <f>HYPERLINK("https://www.cortellis.com/drugdiscovery/result/proxy/related-content/biomarkers/genestargets/42718","cyclin D1")</f>
        <v>cyclin D1</v>
      </c>
    </row>
    <row r="1960" spans="1:11" ht="60" customHeight="1" x14ac:dyDescent="0.2">
      <c r="A1960" s="2">
        <v>1957</v>
      </c>
      <c r="B1960" s="3"/>
      <c r="C1960" s="3" t="str">
        <f t="shared" si="337"/>
        <v>CCND1</v>
      </c>
      <c r="D1960" s="3" t="str">
        <f t="shared" si="338"/>
        <v>CCND1_(HUMAN)_transcript</v>
      </c>
      <c r="E1960" s="2" t="s">
        <v>72</v>
      </c>
      <c r="F1960" s="3"/>
      <c r="G1960" s="4"/>
      <c r="H1960" s="3" t="str">
        <f>HYPERLINK("https://www.cortellis.com/drugdiscovery/entity/biomarkers/43018","14-gene expression cancer panel")</f>
        <v>14-gene expression cancer panel</v>
      </c>
      <c r="I1960" s="2" t="s">
        <v>24</v>
      </c>
      <c r="J1960" s="2" t="s">
        <v>19</v>
      </c>
      <c r="K1960" s="4" t="str">
        <f>HYPERLINK("https://www.cortellis.com/drugdiscovery/result/proxy/related-content/biomarkers/genestargets/43018","cyclin D1")</f>
        <v>cyclin D1</v>
      </c>
    </row>
    <row r="1961" spans="1:11" ht="60" customHeight="1" x14ac:dyDescent="0.2">
      <c r="A1961" s="2">
        <v>1958</v>
      </c>
      <c r="B1961" s="3"/>
      <c r="C1961" s="3" t="str">
        <f t="shared" si="337"/>
        <v>CCND1</v>
      </c>
      <c r="D1961" s="3" t="str">
        <f t="shared" si="338"/>
        <v>CCND1_(HUMAN)_transcript</v>
      </c>
      <c r="E1961" s="2" t="s">
        <v>72</v>
      </c>
      <c r="F1961" s="3"/>
      <c r="G1961" s="4"/>
      <c r="H1961" s="3" t="str">
        <f>HYPERLINK("https://www.cortellis.com/drugdiscovery/entity/biomarkers/48282","31-gene expression glioblastoma panel")</f>
        <v>31-gene expression glioblastoma panel</v>
      </c>
      <c r="I1961" s="2" t="s">
        <v>18</v>
      </c>
      <c r="J1961" s="2" t="s">
        <v>19</v>
      </c>
      <c r="K1961" s="4" t="str">
        <f>HYPERLINK("https://www.cortellis.com/drugdiscovery/result/proxy/related-content/biomarkers/genestargets/48282","cyclin D1; dystroglycan 1; protein tyrosine phosphatase receptor type C")</f>
        <v>cyclin D1; dystroglycan 1; protein tyrosine phosphatase receptor type C</v>
      </c>
    </row>
    <row r="1962" spans="1:11" ht="60" customHeight="1" x14ac:dyDescent="0.2">
      <c r="A1962" s="2">
        <v>1959</v>
      </c>
      <c r="B1962" s="3"/>
      <c r="C1962" s="3" t="str">
        <f t="shared" si="337"/>
        <v>CCND1</v>
      </c>
      <c r="D1962" s="3" t="str">
        <f t="shared" si="338"/>
        <v>CCND1_(HUMAN)_transcript</v>
      </c>
      <c r="E1962" s="2" t="s">
        <v>72</v>
      </c>
      <c r="F1962" s="3"/>
      <c r="G1962" s="4"/>
      <c r="H1962" s="3" t="str">
        <f>HYPERLINK("https://www.cortellis.com/drugdiscovery/entity/biomarkers/52074","20 gene expression breast cancer panel")</f>
        <v>20 gene expression breast cancer panel</v>
      </c>
      <c r="I1962" s="2" t="s">
        <v>25</v>
      </c>
      <c r="J1962" s="2" t="s">
        <v>19</v>
      </c>
      <c r="K1962" s="4" t="str">
        <f>HYPERLINK("https://www.cortellis.com/drugdiscovery/result/proxy/related-content/biomarkers/genestargets/52074","cyclin D1")</f>
        <v>cyclin D1</v>
      </c>
    </row>
    <row r="1963" spans="1:11" ht="60" customHeight="1" x14ac:dyDescent="0.2">
      <c r="A1963" s="2">
        <v>1960</v>
      </c>
      <c r="B1963" s="3"/>
      <c r="C1963" s="3" t="str">
        <f t="shared" si="337"/>
        <v>CCND1</v>
      </c>
      <c r="D1963" s="3" t="str">
        <f t="shared" si="338"/>
        <v>CCND1_(HUMAN)_transcript</v>
      </c>
      <c r="E1963" s="2" t="s">
        <v>72</v>
      </c>
      <c r="F1963" s="3"/>
      <c r="G1963" s="4"/>
      <c r="H1963" s="3" t="str">
        <f>HYPERLINK("https://www.cortellis.com/drugdiscovery/entity/biomarkers/53379","26-gene expression ovarian cancer panel")</f>
        <v>26-gene expression ovarian cancer panel</v>
      </c>
      <c r="I1963" s="2" t="s">
        <v>25</v>
      </c>
      <c r="J1963" s="2" t="s">
        <v>15</v>
      </c>
      <c r="K1963" s="4" t="str">
        <f>HYPERLINK("https://www.cortellis.com/drugdiscovery/result/proxy/related-content/biomarkers/genestargets/53379","cyclin D1")</f>
        <v>cyclin D1</v>
      </c>
    </row>
    <row r="1964" spans="1:11" ht="60" customHeight="1" x14ac:dyDescent="0.2">
      <c r="A1964" s="2">
        <v>1961</v>
      </c>
      <c r="B1964" s="3"/>
      <c r="C1964" s="3" t="str">
        <f t="shared" si="337"/>
        <v>CCND1</v>
      </c>
      <c r="D1964" s="3" t="str">
        <f t="shared" si="338"/>
        <v>CCND1_(HUMAN)_transcript</v>
      </c>
      <c r="E1964" s="2" t="s">
        <v>72</v>
      </c>
      <c r="F1964" s="3"/>
      <c r="G1964" s="4"/>
      <c r="H1964" s="3" t="str">
        <f>HYPERLINK("https://www.cortellis.com/drugdiscovery/entity/biomarkers/55486","5-gene expression clear cell renal cell carcinoma panel")</f>
        <v>5-gene expression clear cell renal cell carcinoma panel</v>
      </c>
      <c r="I1964" s="2" t="s">
        <v>25</v>
      </c>
      <c r="J1964" s="2" t="s">
        <v>15</v>
      </c>
      <c r="K1964" s="4" t="str">
        <f>HYPERLINK("https://www.cortellis.com/drugdiscovery/result/proxy/related-content/biomarkers/genestargets/55486","cyclin D1")</f>
        <v>cyclin D1</v>
      </c>
    </row>
    <row r="1965" spans="1:11" ht="60" customHeight="1" x14ac:dyDescent="0.2">
      <c r="A1965" s="2">
        <v>1962</v>
      </c>
      <c r="B1965" s="3"/>
      <c r="C1965" s="3" t="str">
        <f t="shared" si="337"/>
        <v>CCND1</v>
      </c>
      <c r="D1965" s="3" t="str">
        <f t="shared" si="338"/>
        <v>CCND1_(HUMAN)_transcript</v>
      </c>
      <c r="E1965" s="2" t="s">
        <v>72</v>
      </c>
      <c r="F1965" s="3"/>
      <c r="G1965" s="4"/>
      <c r="H1965" s="3" t="str">
        <f>HYPERLINK("https://www.cortellis.com/drugdiscovery/entity/biomarkers/57018","8-gene expression B-cell chronic lymphocytic leukemia panel")</f>
        <v>8-gene expression B-cell chronic lymphocytic leukemia panel</v>
      </c>
      <c r="I1965" s="2" t="s">
        <v>23</v>
      </c>
      <c r="J1965" s="2" t="s">
        <v>19</v>
      </c>
      <c r="K1965" s="4" t="str">
        <f>HYPERLINK("https://www.cortellis.com/drugdiscovery/result/proxy/related-content/biomarkers/genestargets/57018","cyclin D1")</f>
        <v>cyclin D1</v>
      </c>
    </row>
    <row r="1966" spans="1:11" ht="60" customHeight="1" x14ac:dyDescent="0.2">
      <c r="A1966" s="2">
        <v>1963</v>
      </c>
      <c r="B1966" s="3"/>
      <c r="C1966" s="3" t="str">
        <f t="shared" si="337"/>
        <v>CCND1</v>
      </c>
      <c r="D1966" s="3" t="str">
        <f t="shared" si="338"/>
        <v>CCND1_(HUMAN)_transcript</v>
      </c>
      <c r="E1966" s="2" t="s">
        <v>72</v>
      </c>
      <c r="F1966" s="3"/>
      <c r="G1966" s="4"/>
      <c r="H1966" s="3" t="str">
        <f>HYPERLINK("https://www.cortellis.com/drugdiscovery/entity/biomarkers/59125","6-gene expression prostate cancer panel")</f>
        <v>6-gene expression prostate cancer panel</v>
      </c>
      <c r="I1966" s="2" t="s">
        <v>23</v>
      </c>
      <c r="J1966" s="2" t="s">
        <v>19</v>
      </c>
      <c r="K1966" s="4" t="str">
        <f>HYPERLINK("https://www.cortellis.com/drugdiscovery/result/proxy/related-content/biomarkers/genestargets/59125","cyclin D1")</f>
        <v>cyclin D1</v>
      </c>
    </row>
    <row r="1967" spans="1:11" ht="60" customHeight="1" x14ac:dyDescent="0.2">
      <c r="A1967" s="2">
        <v>1964</v>
      </c>
      <c r="B1967" s="3"/>
      <c r="C1967" s="3" t="str">
        <f t="shared" si="337"/>
        <v>CCND1</v>
      </c>
      <c r="D1967" s="3" t="str">
        <f t="shared" si="338"/>
        <v>CCND1_(HUMAN)_transcript</v>
      </c>
      <c r="E1967" s="2" t="s">
        <v>72</v>
      </c>
      <c r="F1967" s="3"/>
      <c r="G1967" s="4"/>
      <c r="H1967" s="3" t="str">
        <f>HYPERLINK("https://www.cortellis.com/drugdiscovery/entity/biomarkers/60662","OAZ1-CCND1 fusion protein")</f>
        <v>OAZ1-CCND1 fusion protein</v>
      </c>
      <c r="I1967" s="2" t="s">
        <v>34</v>
      </c>
      <c r="J1967" s="2" t="s">
        <v>15</v>
      </c>
      <c r="K1967" s="4" t="str">
        <f>HYPERLINK("https://www.cortellis.com/drugdiscovery/result/proxy/related-content/biomarkers/genestargets/60662","cyclin D1")</f>
        <v>cyclin D1</v>
      </c>
    </row>
    <row r="1968" spans="1:11" ht="60" customHeight="1" x14ac:dyDescent="0.2">
      <c r="A1968" s="2">
        <v>1965</v>
      </c>
      <c r="B1968" s="3"/>
      <c r="C1968" s="3" t="str">
        <f t="shared" si="337"/>
        <v>CCND1</v>
      </c>
      <c r="D1968" s="3" t="str">
        <f t="shared" si="338"/>
        <v>CCND1_(HUMAN)_transcript</v>
      </c>
      <c r="E1968" s="2" t="s">
        <v>72</v>
      </c>
      <c r="F1968" s="3"/>
      <c r="G1968" s="4"/>
      <c r="H1968" s="3" t="str">
        <f>HYPERLINK("https://www.cortellis.com/drugdiscovery/entity/biomarkers/60691","CCND1-IGK fusion gene")</f>
        <v>CCND1-IGK fusion gene</v>
      </c>
      <c r="I1968" s="2" t="s">
        <v>34</v>
      </c>
      <c r="J1968" s="2" t="s">
        <v>19</v>
      </c>
      <c r="K1968" s="4" t="str">
        <f>HYPERLINK("https://www.cortellis.com/drugdiscovery/result/proxy/related-content/biomarkers/genestargets/60691","cyclin D1")</f>
        <v>cyclin D1</v>
      </c>
    </row>
    <row r="1969" spans="1:11" ht="60" customHeight="1" x14ac:dyDescent="0.2">
      <c r="A1969" s="2">
        <v>1966</v>
      </c>
      <c r="B1969" s="3"/>
      <c r="C1969" s="3" t="str">
        <f t="shared" si="337"/>
        <v>CCND1</v>
      </c>
      <c r="D1969" s="3" t="str">
        <f t="shared" si="338"/>
        <v>CCND1_(HUMAN)_transcript</v>
      </c>
      <c r="E1969" s="2" t="s">
        <v>72</v>
      </c>
      <c r="F1969" s="3"/>
      <c r="G1969" s="4"/>
      <c r="H1969" s="3" t="str">
        <f>HYPERLINK("https://www.cortellis.com/drugdiscovery/entity/biomarkers/60782","KLF2-CCND1 fusion protein")</f>
        <v>KLF2-CCND1 fusion protein</v>
      </c>
      <c r="I1969" s="2" t="s">
        <v>34</v>
      </c>
      <c r="J1969" s="2" t="s">
        <v>15</v>
      </c>
      <c r="K1969" s="4" t="str">
        <f>HYPERLINK("https://www.cortellis.com/drugdiscovery/result/proxy/related-content/biomarkers/genestargets/60782","cyclin D1")</f>
        <v>cyclin D1</v>
      </c>
    </row>
    <row r="1970" spans="1:11" ht="60" customHeight="1" x14ac:dyDescent="0.2">
      <c r="A1970" s="2">
        <v>1967</v>
      </c>
      <c r="B1970" s="3"/>
      <c r="C1970" s="3" t="str">
        <f t="shared" si="337"/>
        <v>CCND1</v>
      </c>
      <c r="D1970" s="3" t="str">
        <f t="shared" si="338"/>
        <v>CCND1_(HUMAN)_transcript</v>
      </c>
      <c r="E1970" s="2" t="s">
        <v>72</v>
      </c>
      <c r="F1970" s="3"/>
      <c r="G1970" s="4"/>
      <c r="H1970" s="3" t="str">
        <f>HYPERLINK("https://www.cortellis.com/drugdiscovery/entity/biomarkers/61288","CCND1-SF1 fusion protein")</f>
        <v>CCND1-SF1 fusion protein</v>
      </c>
      <c r="I1970" s="2" t="s">
        <v>34</v>
      </c>
      <c r="J1970" s="2" t="s">
        <v>15</v>
      </c>
      <c r="K1970" s="4" t="str">
        <f>HYPERLINK("https://www.cortellis.com/drugdiscovery/result/proxy/related-content/biomarkers/genestargets/61288","cyclin D1")</f>
        <v>cyclin D1</v>
      </c>
    </row>
    <row r="1971" spans="1:11" ht="60" customHeight="1" x14ac:dyDescent="0.2">
      <c r="A1971" s="2">
        <v>1968</v>
      </c>
      <c r="B1971" s="3"/>
      <c r="C1971" s="3" t="str">
        <f t="shared" si="337"/>
        <v>CCND1</v>
      </c>
      <c r="D1971" s="3" t="str">
        <f t="shared" si="338"/>
        <v>CCND1_(HUMAN)_transcript</v>
      </c>
      <c r="E1971" s="2" t="s">
        <v>72</v>
      </c>
      <c r="F1971" s="3"/>
      <c r="G1971" s="4"/>
      <c r="H1971" s="3" t="str">
        <f>HYPERLINK("https://www.cortellis.com/drugdiscovery/entity/biomarkers/61289","B2M-CCND1 fusion protein")</f>
        <v>B2M-CCND1 fusion protein</v>
      </c>
      <c r="I1971" s="2" t="s">
        <v>34</v>
      </c>
      <c r="J1971" s="2" t="s">
        <v>15</v>
      </c>
      <c r="K1971" s="4" t="str">
        <f>HYPERLINK("https://www.cortellis.com/drugdiscovery/result/proxy/related-content/biomarkers/genestargets/61289","cyclin D1")</f>
        <v>cyclin D1</v>
      </c>
    </row>
    <row r="1972" spans="1:11" ht="60" customHeight="1" x14ac:dyDescent="0.2">
      <c r="A1972" s="2">
        <v>1969</v>
      </c>
      <c r="B1972" s="3"/>
      <c r="C1972" s="3" t="str">
        <f t="shared" si="337"/>
        <v>CCND1</v>
      </c>
      <c r="D1972" s="3" t="str">
        <f t="shared" si="338"/>
        <v>CCND1_(HUMAN)_transcript</v>
      </c>
      <c r="E1972" s="2" t="s">
        <v>72</v>
      </c>
      <c r="F1972" s="3"/>
      <c r="G1972" s="4"/>
      <c r="H1972" s="3" t="str">
        <f>HYPERLINK("https://www.cortellis.com/drugdiscovery/entity/biomarkers/61290","RIPOR1-CCND1 fusion protein")</f>
        <v>RIPOR1-CCND1 fusion protein</v>
      </c>
      <c r="I1972" s="2" t="s">
        <v>34</v>
      </c>
      <c r="J1972" s="2" t="s">
        <v>15</v>
      </c>
      <c r="K1972" s="4" t="str">
        <f>HYPERLINK("https://www.cortellis.com/drugdiscovery/result/proxy/related-content/biomarkers/genestargets/61290","cyclin D1")</f>
        <v>cyclin D1</v>
      </c>
    </row>
    <row r="1973" spans="1:11" ht="60" customHeight="1" x14ac:dyDescent="0.2">
      <c r="A1973" s="2">
        <v>1970</v>
      </c>
      <c r="B1973" s="3"/>
      <c r="C1973" s="3" t="str">
        <f t="shared" si="337"/>
        <v>CCND1</v>
      </c>
      <c r="D1973" s="3" t="str">
        <f t="shared" si="338"/>
        <v>CCND1_(HUMAN)_transcript</v>
      </c>
      <c r="E1973" s="2" t="s">
        <v>72</v>
      </c>
      <c r="F1973" s="3"/>
      <c r="G1973" s="4"/>
      <c r="H1973" s="3" t="str">
        <f>HYPERLINK("https://www.cortellis.com/drugdiscovery/entity/biomarkers/61291","RARA-CCND1 fusion protein")</f>
        <v>RARA-CCND1 fusion protein</v>
      </c>
      <c r="I1973" s="2" t="s">
        <v>34</v>
      </c>
      <c r="J1973" s="2" t="s">
        <v>15</v>
      </c>
      <c r="K1973" s="4" t="str">
        <f>HYPERLINK("https://www.cortellis.com/drugdiscovery/result/proxy/related-content/biomarkers/genestargets/61291","cyclin D1")</f>
        <v>cyclin D1</v>
      </c>
    </row>
    <row r="1974" spans="1:11" ht="60" customHeight="1" x14ac:dyDescent="0.2">
      <c r="A1974" s="2">
        <v>1971</v>
      </c>
      <c r="B1974" s="3"/>
      <c r="C1974" s="3" t="str">
        <f t="shared" si="337"/>
        <v>CCND1</v>
      </c>
      <c r="D1974" s="3" t="str">
        <f t="shared" si="338"/>
        <v>CCND1_(HUMAN)_transcript</v>
      </c>
      <c r="E1974" s="2" t="s">
        <v>72</v>
      </c>
      <c r="F1974" s="3"/>
      <c r="G1974" s="4"/>
      <c r="H1974" s="3" t="str">
        <f>HYPERLINK("https://www.cortellis.com/drugdiscovery/entity/biomarkers/61292","DDX5-CCND1 fusion protein")</f>
        <v>DDX5-CCND1 fusion protein</v>
      </c>
      <c r="I1974" s="2" t="s">
        <v>34</v>
      </c>
      <c r="J1974" s="2" t="s">
        <v>15</v>
      </c>
      <c r="K1974" s="4" t="str">
        <f>HYPERLINK("https://www.cortellis.com/drugdiscovery/result/proxy/related-content/biomarkers/genestargets/61292","cyclin D1")</f>
        <v>cyclin D1</v>
      </c>
    </row>
    <row r="1975" spans="1:11" ht="60" customHeight="1" x14ac:dyDescent="0.2">
      <c r="A1975" s="2">
        <v>1972</v>
      </c>
      <c r="B1975" s="3"/>
      <c r="C1975" s="3" t="str">
        <f t="shared" si="337"/>
        <v>CCND1</v>
      </c>
      <c r="D1975" s="3" t="str">
        <f t="shared" si="338"/>
        <v>CCND1_(HUMAN)_transcript</v>
      </c>
      <c r="E1975" s="2" t="s">
        <v>72</v>
      </c>
      <c r="F1975" s="3"/>
      <c r="G1975" s="4"/>
      <c r="H1975" s="3" t="str">
        <f>HYPERLINK("https://www.cortellis.com/drugdiscovery/entity/biomarkers/61293","MED16-CCND1 fusion protein")</f>
        <v>MED16-CCND1 fusion protein</v>
      </c>
      <c r="I1975" s="2" t="s">
        <v>34</v>
      </c>
      <c r="J1975" s="2" t="s">
        <v>15</v>
      </c>
      <c r="K1975" s="4" t="str">
        <f>HYPERLINK("https://www.cortellis.com/drugdiscovery/result/proxy/related-content/biomarkers/genestargets/61293","cyclin D1")</f>
        <v>cyclin D1</v>
      </c>
    </row>
    <row r="1976" spans="1:11" ht="60" customHeight="1" x14ac:dyDescent="0.2">
      <c r="A1976" s="2">
        <v>1973</v>
      </c>
      <c r="B1976" s="3"/>
      <c r="C1976" s="3" t="str">
        <f t="shared" si="337"/>
        <v>CCND1</v>
      </c>
      <c r="D1976" s="3" t="str">
        <f t="shared" si="338"/>
        <v>CCND1_(HUMAN)_transcript</v>
      </c>
      <c r="E1976" s="2" t="s">
        <v>72</v>
      </c>
      <c r="F1976" s="3"/>
      <c r="G1976" s="4"/>
      <c r="H1976" s="3" t="str">
        <f>HYPERLINK("https://www.cortellis.com/drugdiscovery/entity/biomarkers/61294","TPM4-CCND1 fusion protein")</f>
        <v>TPM4-CCND1 fusion protein</v>
      </c>
      <c r="I1976" s="2" t="s">
        <v>34</v>
      </c>
      <c r="J1976" s="2" t="s">
        <v>15</v>
      </c>
      <c r="K1976" s="4" t="str">
        <f>HYPERLINK("https://www.cortellis.com/drugdiscovery/result/proxy/related-content/biomarkers/genestargets/61294","cyclin D1")</f>
        <v>cyclin D1</v>
      </c>
    </row>
    <row r="1977" spans="1:11" ht="60" customHeight="1" x14ac:dyDescent="0.2">
      <c r="A1977" s="2">
        <v>1974</v>
      </c>
      <c r="B1977" s="3"/>
      <c r="C1977" s="3" t="str">
        <f t="shared" si="337"/>
        <v>CCND1</v>
      </c>
      <c r="D1977" s="3" t="str">
        <f t="shared" si="338"/>
        <v>CCND1_(HUMAN)_transcript</v>
      </c>
      <c r="E1977" s="2" t="s">
        <v>72</v>
      </c>
      <c r="F1977" s="3"/>
      <c r="G1977" s="4"/>
      <c r="H1977" s="3" t="str">
        <f>HYPERLINK("https://www.cortellis.com/drugdiscovery/entity/biomarkers/61295","HMGN2-CCND1 fusion protein")</f>
        <v>HMGN2-CCND1 fusion protein</v>
      </c>
      <c r="I1977" s="2" t="s">
        <v>34</v>
      </c>
      <c r="J1977" s="2" t="s">
        <v>15</v>
      </c>
      <c r="K1977" s="4" t="str">
        <f>HYPERLINK("https://www.cortellis.com/drugdiscovery/result/proxy/related-content/biomarkers/genestargets/61295","cyclin D1")</f>
        <v>cyclin D1</v>
      </c>
    </row>
    <row r="1978" spans="1:11" ht="60" customHeight="1" x14ac:dyDescent="0.2">
      <c r="A1978" s="2">
        <v>1975</v>
      </c>
      <c r="B1978" s="3"/>
      <c r="C1978" s="3" t="str">
        <f t="shared" si="337"/>
        <v>CCND1</v>
      </c>
      <c r="D1978" s="3" t="str">
        <f t="shared" si="338"/>
        <v>CCND1_(HUMAN)_transcript</v>
      </c>
      <c r="E1978" s="2" t="s">
        <v>72</v>
      </c>
      <c r="F1978" s="3"/>
      <c r="G1978" s="4"/>
      <c r="H1978" s="3" t="str">
        <f>HYPERLINK("https://www.cortellis.com/drugdiscovery/entity/biomarkers/61296","ACTB-CCND1 fusion protein")</f>
        <v>ACTB-CCND1 fusion protein</v>
      </c>
      <c r="I1978" s="2" t="s">
        <v>34</v>
      </c>
      <c r="J1978" s="2" t="s">
        <v>15</v>
      </c>
      <c r="K1978" s="4" t="str">
        <f>HYPERLINK("https://www.cortellis.com/drugdiscovery/result/proxy/related-content/biomarkers/genestargets/61296","cyclin D1")</f>
        <v>cyclin D1</v>
      </c>
    </row>
    <row r="1979" spans="1:11" ht="60" customHeight="1" x14ac:dyDescent="0.2">
      <c r="A1979" s="2">
        <v>1976</v>
      </c>
      <c r="B1979" s="3"/>
      <c r="C1979" s="3" t="str">
        <f t="shared" si="337"/>
        <v>CCND1</v>
      </c>
      <c r="D1979" s="3" t="str">
        <f t="shared" si="338"/>
        <v>CCND1_(HUMAN)_transcript</v>
      </c>
      <c r="E1979" s="2" t="s">
        <v>72</v>
      </c>
      <c r="F1979" s="3"/>
      <c r="G1979" s="4"/>
      <c r="H1979" s="3" t="str">
        <f>HYPERLINK("https://www.cortellis.com/drugdiscovery/entity/biomarkers/64935","CCND1-IGHJ6 fusion gene")</f>
        <v>CCND1-IGHJ6 fusion gene</v>
      </c>
      <c r="I1979" s="2" t="s">
        <v>18</v>
      </c>
      <c r="J1979" s="2" t="s">
        <v>19</v>
      </c>
      <c r="K1979" s="4" t="str">
        <f>HYPERLINK("https://www.cortellis.com/drugdiscovery/result/proxy/related-content/biomarkers/genestargets/64935","cyclin D1")</f>
        <v>cyclin D1</v>
      </c>
    </row>
    <row r="1980" spans="1:11" ht="60" customHeight="1" x14ac:dyDescent="0.2">
      <c r="A1980" s="2">
        <v>1977</v>
      </c>
      <c r="B1980" s="3"/>
      <c r="C1980" s="3" t="str">
        <f t="shared" si="337"/>
        <v>CCND1</v>
      </c>
      <c r="D1980" s="3" t="str">
        <f t="shared" si="338"/>
        <v>CCND1_(HUMAN)_transcript</v>
      </c>
      <c r="E1980" s="2" t="s">
        <v>72</v>
      </c>
      <c r="F1980" s="3"/>
      <c r="G1980" s="4"/>
      <c r="H1980" s="3" t="str">
        <f>HYPERLINK("https://www.cortellis.com/drugdiscovery/entity/biomarkers/64936","CCND1-IGHD3-9 fusion gene")</f>
        <v>CCND1-IGHD3-9 fusion gene</v>
      </c>
      <c r="I1980" s="2" t="s">
        <v>18</v>
      </c>
      <c r="J1980" s="2" t="s">
        <v>19</v>
      </c>
      <c r="K1980" s="4" t="str">
        <f>HYPERLINK("https://www.cortellis.com/drugdiscovery/result/proxy/related-content/biomarkers/genestargets/64936","cyclin D1")</f>
        <v>cyclin D1</v>
      </c>
    </row>
    <row r="1981" spans="1:11" ht="60" customHeight="1" x14ac:dyDescent="0.2">
      <c r="A1981" s="2">
        <v>1978</v>
      </c>
      <c r="B1981" s="3"/>
      <c r="C1981" s="3" t="str">
        <f t="shared" ref="C1981:C1999" si="339">HYPERLINK("https://portal.genego.com/cgi/entity_page.cgi?term=20&amp;id=-537110579","CD274")</f>
        <v>CD274</v>
      </c>
      <c r="D1981" s="3" t="str">
        <f t="shared" ref="D1981:D1999" si="340">HYPERLINK("https://portal.genego.com/cgi/entity_page.cgi?term=7&amp;id=-1457709539","CD274_(HUMAN)_transcript")</f>
        <v>CD274_(HUMAN)_transcript</v>
      </c>
      <c r="E1981" s="2" t="s">
        <v>72</v>
      </c>
      <c r="F1981" s="3"/>
      <c r="G1981" s="4"/>
      <c r="H1981" s="3" t="str">
        <f>HYPERLINK("https://www.cortellis.com/drugdiscovery/entity/biomarkers/824","Programmed cell death 1 ligand 1")</f>
        <v>Programmed cell death 1 ligand 1</v>
      </c>
      <c r="I1981" s="2" t="s">
        <v>64</v>
      </c>
      <c r="J1981" s="2" t="s">
        <v>15</v>
      </c>
      <c r="K1981" s="4" t="str">
        <f>HYPERLINK("https://www.cortellis.com/drugdiscovery/result/proxy/related-content/biomarkers/genestargets/824","CD274 molecule")</f>
        <v>CD274 molecule</v>
      </c>
    </row>
    <row r="1982" spans="1:11" ht="60" customHeight="1" x14ac:dyDescent="0.2">
      <c r="A1982" s="2">
        <v>1979</v>
      </c>
      <c r="B1982" s="3"/>
      <c r="C1982" s="3" t="str">
        <f t="shared" si="339"/>
        <v>CD274</v>
      </c>
      <c r="D1982" s="3" t="str">
        <f t="shared" si="340"/>
        <v>CD274_(HUMAN)_transcript</v>
      </c>
      <c r="E1982" s="2" t="s">
        <v>72</v>
      </c>
      <c r="F1982" s="3"/>
      <c r="G1982" s="4"/>
      <c r="H1982" s="3" t="str">
        <f>HYPERLINK("https://www.cortellis.com/drugdiscovery/entity/biomarkers/37946","44-gene expression breast cancer panel")</f>
        <v>44-gene expression breast cancer panel</v>
      </c>
      <c r="I1982" s="2" t="s">
        <v>33</v>
      </c>
      <c r="J1982" s="2" t="s">
        <v>19</v>
      </c>
      <c r="K1982" s="4" t="str">
        <f>HYPERLINK("https://www.cortellis.com/drugdiscovery/result/proxy/related-content/biomarkers/genestargets/37946","CD274 molecule; protein tyrosine phosphatase receptor type C")</f>
        <v>CD274 molecule; protein tyrosine phosphatase receptor type C</v>
      </c>
    </row>
    <row r="1983" spans="1:11" ht="60" customHeight="1" x14ac:dyDescent="0.2">
      <c r="A1983" s="2">
        <v>1980</v>
      </c>
      <c r="B1983" s="3"/>
      <c r="C1983" s="3" t="str">
        <f t="shared" si="339"/>
        <v>CD274</v>
      </c>
      <c r="D1983" s="3" t="str">
        <f t="shared" si="340"/>
        <v>CD274_(HUMAN)_transcript</v>
      </c>
      <c r="E1983" s="2" t="s">
        <v>72</v>
      </c>
      <c r="F1983" s="3"/>
      <c r="G1983" s="4"/>
      <c r="H1983" s="3" t="str">
        <f>HYPERLINK("https://www.cortellis.com/drugdiscovery/entity/biomarkers/38158","147-gene expression cancer panel")</f>
        <v>147-gene expression cancer panel</v>
      </c>
      <c r="I1983" s="2" t="s">
        <v>65</v>
      </c>
      <c r="J1983" s="2" t="s">
        <v>19</v>
      </c>
      <c r="K1983" s="4" t="str">
        <f>HYPERLINK("https://www.cortellis.com/drugdiscovery/result/proxy/related-content/biomarkers/genestargets/38158","CD274 molecule")</f>
        <v>CD274 molecule</v>
      </c>
    </row>
    <row r="1984" spans="1:11" ht="60" customHeight="1" x14ac:dyDescent="0.2">
      <c r="A1984" s="2">
        <v>1981</v>
      </c>
      <c r="B1984" s="3"/>
      <c r="C1984" s="3" t="str">
        <f t="shared" si="339"/>
        <v>CD274</v>
      </c>
      <c r="D1984" s="3" t="str">
        <f t="shared" si="340"/>
        <v>CD274_(HUMAN)_transcript</v>
      </c>
      <c r="E1984" s="2" t="s">
        <v>72</v>
      </c>
      <c r="F1984" s="3"/>
      <c r="G1984" s="4"/>
      <c r="H1984" s="3" t="str">
        <f>HYPERLINK("https://www.cortellis.com/drugdiscovery/entity/biomarkers/38653","61-gene expression allergic rhinitis panel")</f>
        <v>61-gene expression allergic rhinitis panel</v>
      </c>
      <c r="I1984" s="2" t="s">
        <v>23</v>
      </c>
      <c r="J1984" s="2" t="s">
        <v>19</v>
      </c>
      <c r="K1984" s="4" t="str">
        <f>HYPERLINK("https://www.cortellis.com/drugdiscovery/result/proxy/related-content/biomarkers/genestargets/38653","CD274 molecule; CD44 molecule (Indian blood group)")</f>
        <v>CD274 molecule; CD44 molecule (Indian blood group)</v>
      </c>
    </row>
    <row r="1985" spans="1:11" ht="60" customHeight="1" x14ac:dyDescent="0.2">
      <c r="A1985" s="2">
        <v>1982</v>
      </c>
      <c r="B1985" s="3"/>
      <c r="C1985" s="3" t="str">
        <f t="shared" si="339"/>
        <v>CD274</v>
      </c>
      <c r="D1985" s="3" t="str">
        <f t="shared" si="340"/>
        <v>CD274_(HUMAN)_transcript</v>
      </c>
      <c r="E1985" s="2" t="s">
        <v>72</v>
      </c>
      <c r="F1985" s="3"/>
      <c r="G1985" s="4"/>
      <c r="H1985" s="3" t="str">
        <f>HYPERLINK("https://www.cortellis.com/drugdiscovery/entity/biomarkers/49180","6-gene expression melanoma panel")</f>
        <v>6-gene expression melanoma panel</v>
      </c>
      <c r="I1985" s="2" t="s">
        <v>18</v>
      </c>
      <c r="J1985" s="2" t="s">
        <v>19</v>
      </c>
      <c r="K1985" s="4" t="str">
        <f>HYPERLINK("https://www.cortellis.com/drugdiscovery/result/proxy/related-content/biomarkers/genestargets/49180","CD274 molecule")</f>
        <v>CD274 molecule</v>
      </c>
    </row>
    <row r="1986" spans="1:11" ht="60" customHeight="1" x14ac:dyDescent="0.2">
      <c r="A1986" s="2">
        <v>1983</v>
      </c>
      <c r="B1986" s="3"/>
      <c r="C1986" s="3" t="str">
        <f t="shared" si="339"/>
        <v>CD274</v>
      </c>
      <c r="D1986" s="3" t="str">
        <f t="shared" si="340"/>
        <v>CD274_(HUMAN)_transcript</v>
      </c>
      <c r="E1986" s="2" t="s">
        <v>72</v>
      </c>
      <c r="F1986" s="3"/>
      <c r="G1986" s="4"/>
      <c r="H1986" s="3" t="str">
        <f>HYPERLINK("https://www.cortellis.com/drugdiscovery/entity/biomarkers/54719","44-gene expression cancer panel")</f>
        <v>44-gene expression cancer panel</v>
      </c>
      <c r="I1986" s="2" t="s">
        <v>18</v>
      </c>
      <c r="J1986" s="2" t="s">
        <v>19</v>
      </c>
      <c r="K1986" s="4" t="str">
        <f>HYPERLINK("https://www.cortellis.com/drugdiscovery/result/proxy/related-content/biomarkers/genestargets/54719","CD274 molecule; protein tyrosine phosphatase receptor type C")</f>
        <v>CD274 molecule; protein tyrosine phosphatase receptor type C</v>
      </c>
    </row>
    <row r="1987" spans="1:11" ht="60" customHeight="1" x14ac:dyDescent="0.2">
      <c r="A1987" s="2">
        <v>1984</v>
      </c>
      <c r="B1987" s="3"/>
      <c r="C1987" s="3" t="str">
        <f t="shared" si="339"/>
        <v>CD274</v>
      </c>
      <c r="D1987" s="3" t="str">
        <f t="shared" si="340"/>
        <v>CD274_(HUMAN)_transcript</v>
      </c>
      <c r="E1987" s="2" t="s">
        <v>72</v>
      </c>
      <c r="F1987" s="3"/>
      <c r="G1987" s="4"/>
      <c r="H1987" s="3" t="str">
        <f>HYPERLINK("https://www.cortellis.com/drugdiscovery/entity/biomarkers/55299","3-gene expression breast cancer panel")</f>
        <v>3-gene expression breast cancer panel</v>
      </c>
      <c r="I1987" s="2" t="s">
        <v>25</v>
      </c>
      <c r="J1987" s="2" t="s">
        <v>19</v>
      </c>
      <c r="K1987" s="4" t="str">
        <f>HYPERLINK("https://www.cortellis.com/drugdiscovery/result/proxy/related-content/biomarkers/genestargets/55299","CD274 molecule")</f>
        <v>CD274 molecule</v>
      </c>
    </row>
    <row r="1988" spans="1:11" ht="60" customHeight="1" x14ac:dyDescent="0.2">
      <c r="A1988" s="2">
        <v>1985</v>
      </c>
      <c r="B1988" s="3"/>
      <c r="C1988" s="3" t="str">
        <f t="shared" si="339"/>
        <v>CD274</v>
      </c>
      <c r="D1988" s="3" t="str">
        <f t="shared" si="340"/>
        <v>CD274_(HUMAN)_transcript</v>
      </c>
      <c r="E1988" s="2" t="s">
        <v>72</v>
      </c>
      <c r="F1988" s="3"/>
      <c r="G1988" s="4"/>
      <c r="H1988" s="3" t="str">
        <f>HYPERLINK("https://www.cortellis.com/drugdiscovery/entity/biomarkers/55724","4-gene expression non small cell lung cancer panel")</f>
        <v>4-gene expression non small cell lung cancer panel</v>
      </c>
      <c r="I1988" s="2" t="s">
        <v>18</v>
      </c>
      <c r="J1988" s="2" t="s">
        <v>19</v>
      </c>
      <c r="K1988" s="4" t="str">
        <f>HYPERLINK("https://www.cortellis.com/drugdiscovery/result/proxy/related-content/biomarkers/genestargets/55724","CD274 molecule; interferon gamma")</f>
        <v>CD274 molecule; interferon gamma</v>
      </c>
    </row>
    <row r="1989" spans="1:11" ht="60" customHeight="1" x14ac:dyDescent="0.2">
      <c r="A1989" s="2">
        <v>1986</v>
      </c>
      <c r="B1989" s="3"/>
      <c r="C1989" s="3" t="str">
        <f t="shared" si="339"/>
        <v>CD274</v>
      </c>
      <c r="D1989" s="3" t="str">
        <f t="shared" si="340"/>
        <v>CD274_(HUMAN)_transcript</v>
      </c>
      <c r="E1989" s="2" t="s">
        <v>72</v>
      </c>
      <c r="F1989" s="3"/>
      <c r="G1989" s="4"/>
      <c r="H1989" s="3" t="str">
        <f>HYPERLINK("https://www.cortellis.com/drugdiscovery/entity/biomarkers/58511","CD274-MLANA fusion protein")</f>
        <v>CD274-MLANA fusion protein</v>
      </c>
      <c r="I1989" s="2" t="s">
        <v>29</v>
      </c>
      <c r="J1989" s="2" t="s">
        <v>15</v>
      </c>
      <c r="K1989" s="4" t="str">
        <f>HYPERLINK("https://www.cortellis.com/drugdiscovery/result/proxy/related-content/biomarkers/genestargets/58511","CD274 molecule")</f>
        <v>CD274 molecule</v>
      </c>
    </row>
    <row r="1990" spans="1:11" ht="60" customHeight="1" x14ac:dyDescent="0.2">
      <c r="A1990" s="2">
        <v>1987</v>
      </c>
      <c r="B1990" s="3"/>
      <c r="C1990" s="3" t="str">
        <f t="shared" si="339"/>
        <v>CD274</v>
      </c>
      <c r="D1990" s="3" t="str">
        <f t="shared" si="340"/>
        <v>CD274_(HUMAN)_transcript</v>
      </c>
      <c r="E1990" s="2" t="s">
        <v>72</v>
      </c>
      <c r="F1990" s="3"/>
      <c r="G1990" s="4"/>
      <c r="H1990" s="3" t="str">
        <f>HYPERLINK("https://www.cortellis.com/drugdiscovery/entity/biomarkers/58913","5-gene expression breast cancer panel")</f>
        <v>5-gene expression breast cancer panel</v>
      </c>
      <c r="I1990" s="2" t="s">
        <v>25</v>
      </c>
      <c r="J1990" s="2" t="s">
        <v>19</v>
      </c>
      <c r="K1990" s="4" t="str">
        <f>HYPERLINK("https://www.cortellis.com/drugdiscovery/result/proxy/related-content/biomarkers/genestargets/58913","CD274 molecule")</f>
        <v>CD274 molecule</v>
      </c>
    </row>
    <row r="1991" spans="1:11" ht="60" customHeight="1" x14ac:dyDescent="0.2">
      <c r="A1991" s="2">
        <v>1988</v>
      </c>
      <c r="B1991" s="3"/>
      <c r="C1991" s="3" t="str">
        <f t="shared" si="339"/>
        <v>CD274</v>
      </c>
      <c r="D1991" s="3" t="str">
        <f t="shared" si="340"/>
        <v>CD274_(HUMAN)_transcript</v>
      </c>
      <c r="E1991" s="2" t="s">
        <v>72</v>
      </c>
      <c r="F1991" s="3"/>
      <c r="G1991" s="4"/>
      <c r="H1991" s="3" t="str">
        <f>HYPERLINK("https://www.cortellis.com/drugdiscovery/entity/biomarkers/59644","CD274-PDCD1LG2 fusion protein")</f>
        <v>CD274-PDCD1LG2 fusion protein</v>
      </c>
      <c r="I1991" s="2" t="s">
        <v>18</v>
      </c>
      <c r="J1991" s="2" t="s">
        <v>15</v>
      </c>
      <c r="K1991" s="4" t="str">
        <f>HYPERLINK("https://www.cortellis.com/drugdiscovery/result/proxy/related-content/biomarkers/genestargets/59644","CD274 molecule")</f>
        <v>CD274 molecule</v>
      </c>
    </row>
    <row r="1992" spans="1:11" ht="60" customHeight="1" x14ac:dyDescent="0.2">
      <c r="A1992" s="2">
        <v>1989</v>
      </c>
      <c r="B1992" s="3"/>
      <c r="C1992" s="3" t="str">
        <f t="shared" si="339"/>
        <v>CD274</v>
      </c>
      <c r="D1992" s="3" t="str">
        <f t="shared" si="340"/>
        <v>CD274_(HUMAN)_transcript</v>
      </c>
      <c r="E1992" s="2" t="s">
        <v>72</v>
      </c>
      <c r="F1992" s="3"/>
      <c r="G1992" s="4"/>
      <c r="H1992" s="3" t="str">
        <f>HYPERLINK("https://www.cortellis.com/drugdiscovery/entity/biomarkers/60578","4-gene expression lung cancer panel")</f>
        <v>4-gene expression lung cancer panel</v>
      </c>
      <c r="I1992" s="2" t="s">
        <v>46</v>
      </c>
      <c r="J1992" s="2" t="s">
        <v>15</v>
      </c>
      <c r="K1992" s="4" t="str">
        <f>HYPERLINK("https://www.cortellis.com/drugdiscovery/result/proxy/related-content/biomarkers/genestargets/60578","CD274 molecule; interferon gamma")</f>
        <v>CD274 molecule; interferon gamma</v>
      </c>
    </row>
    <row r="1993" spans="1:11" ht="60" customHeight="1" x14ac:dyDescent="0.2">
      <c r="A1993" s="2">
        <v>1990</v>
      </c>
      <c r="B1993" s="3"/>
      <c r="C1993" s="3" t="str">
        <f t="shared" si="339"/>
        <v>CD274</v>
      </c>
      <c r="D1993" s="3" t="str">
        <f t="shared" si="340"/>
        <v>CD274_(HUMAN)_transcript</v>
      </c>
      <c r="E1993" s="2" t="s">
        <v>72</v>
      </c>
      <c r="F1993" s="3"/>
      <c r="G1993" s="4"/>
      <c r="H1993" s="3" t="str">
        <f>HYPERLINK("https://www.cortellis.com/drugdiscovery/entity/biomarkers/62320","7-protein breast cancer panel")</f>
        <v>7-protein breast cancer panel</v>
      </c>
      <c r="I1993" s="2" t="s">
        <v>66</v>
      </c>
      <c r="J1993" s="2" t="s">
        <v>17</v>
      </c>
      <c r="K1993" s="4" t="str">
        <f>HYPERLINK("https://www.cortellis.com/drugdiscovery/result/proxy/related-content/biomarkers/genestargets/62320","CD274 molecule")</f>
        <v>CD274 molecule</v>
      </c>
    </row>
    <row r="1994" spans="1:11" ht="60" customHeight="1" x14ac:dyDescent="0.2">
      <c r="A1994" s="2">
        <v>1991</v>
      </c>
      <c r="B1994" s="3"/>
      <c r="C1994" s="3" t="str">
        <f t="shared" si="339"/>
        <v>CD274</v>
      </c>
      <c r="D1994" s="3" t="str">
        <f t="shared" si="340"/>
        <v>CD274_(HUMAN)_transcript</v>
      </c>
      <c r="E1994" s="2" t="s">
        <v>72</v>
      </c>
      <c r="F1994" s="3"/>
      <c r="G1994" s="4"/>
      <c r="H1994" s="3" t="str">
        <f>HYPERLINK("https://www.cortellis.com/drugdiscovery/entity/biomarkers/62680","4-gene expression stomach cancer panel")</f>
        <v>4-gene expression stomach cancer panel</v>
      </c>
      <c r="I1994" s="2" t="s">
        <v>24</v>
      </c>
      <c r="J1994" s="2" t="s">
        <v>19</v>
      </c>
      <c r="K1994" s="4" t="str">
        <f>HYPERLINK("https://www.cortellis.com/drugdiscovery/result/proxy/related-content/biomarkers/genestargets/62680","CD274 molecule; interferon gamma")</f>
        <v>CD274 molecule; interferon gamma</v>
      </c>
    </row>
    <row r="1995" spans="1:11" ht="60" customHeight="1" x14ac:dyDescent="0.2">
      <c r="A1995" s="2">
        <v>1992</v>
      </c>
      <c r="B1995" s="3"/>
      <c r="C1995" s="3" t="str">
        <f t="shared" si="339"/>
        <v>CD274</v>
      </c>
      <c r="D1995" s="3" t="str">
        <f t="shared" si="340"/>
        <v>CD274_(HUMAN)_transcript</v>
      </c>
      <c r="E1995" s="2" t="s">
        <v>72</v>
      </c>
      <c r="F1995" s="3"/>
      <c r="G1995" s="4"/>
      <c r="H1995" s="3" t="str">
        <f>HYPERLINK("https://www.cortellis.com/drugdiscovery/entity/biomarkers/63948","2-gene expression cancer panel")</f>
        <v>2-gene expression cancer panel</v>
      </c>
      <c r="I1995" s="2" t="s">
        <v>18</v>
      </c>
      <c r="J1995" s="2" t="s">
        <v>19</v>
      </c>
      <c r="K1995" s="4" t="str">
        <f>HYPERLINK("https://www.cortellis.com/drugdiscovery/result/proxy/related-content/biomarkers/genestargets/63948","CD274 molecule")</f>
        <v>CD274 molecule</v>
      </c>
    </row>
    <row r="1996" spans="1:11" ht="60" customHeight="1" x14ac:dyDescent="0.2">
      <c r="A1996" s="2">
        <v>1993</v>
      </c>
      <c r="B1996" s="3"/>
      <c r="C1996" s="3" t="str">
        <f t="shared" si="339"/>
        <v>CD274</v>
      </c>
      <c r="D1996" s="3" t="str">
        <f t="shared" si="340"/>
        <v>CD274_(HUMAN)_transcript</v>
      </c>
      <c r="E1996" s="2" t="s">
        <v>72</v>
      </c>
      <c r="F1996" s="3"/>
      <c r="G1996" s="4"/>
      <c r="H1996" s="3" t="str">
        <f>HYPERLINK("https://www.cortellis.com/drugdiscovery/entity/biomarkers/64861","35-gene expresssion cancer panel")</f>
        <v>35-gene expresssion cancer panel</v>
      </c>
      <c r="I1996" s="2" t="s">
        <v>38</v>
      </c>
      <c r="J1996" s="2" t="s">
        <v>15</v>
      </c>
      <c r="K1996" s="4" t="str">
        <f>HYPERLINK("https://www.cortellis.com/drugdiscovery/result/proxy/related-content/biomarkers/genestargets/64861","CD274 molecule; CD69 molecule; interferon gamma")</f>
        <v>CD274 molecule; CD69 molecule; interferon gamma</v>
      </c>
    </row>
    <row r="1997" spans="1:11" ht="60" customHeight="1" x14ac:dyDescent="0.2">
      <c r="A1997" s="2">
        <v>1994</v>
      </c>
      <c r="B1997" s="3"/>
      <c r="C1997" s="3" t="str">
        <f t="shared" si="339"/>
        <v>CD274</v>
      </c>
      <c r="D1997" s="3" t="str">
        <f t="shared" si="340"/>
        <v>CD274_(HUMAN)_transcript</v>
      </c>
      <c r="E1997" s="2" t="s">
        <v>72</v>
      </c>
      <c r="F1997" s="3"/>
      <c r="G1997" s="4"/>
      <c r="H1997" s="3" t="str">
        <f>HYPERLINK("https://www.cortellis.com/drugdiscovery/entity/biomarkers/64871","4-gene polymorphism cancer panel")</f>
        <v>4-gene polymorphism cancer panel</v>
      </c>
      <c r="I1997" s="2" t="s">
        <v>18</v>
      </c>
      <c r="J1997" s="2" t="s">
        <v>19</v>
      </c>
      <c r="K1997" s="4" t="str">
        <f>HYPERLINK("https://www.cortellis.com/drugdiscovery/result/proxy/related-content/biomarkers/genestargets/64871","CD274 molecule")</f>
        <v>CD274 molecule</v>
      </c>
    </row>
    <row r="1998" spans="1:11" ht="60" customHeight="1" x14ac:dyDescent="0.2">
      <c r="A1998" s="2">
        <v>1995</v>
      </c>
      <c r="B1998" s="3"/>
      <c r="C1998" s="3" t="str">
        <f t="shared" si="339"/>
        <v>CD274</v>
      </c>
      <c r="D1998" s="3" t="str">
        <f t="shared" si="340"/>
        <v>CD274_(HUMAN)_transcript</v>
      </c>
      <c r="E1998" s="2" t="s">
        <v>72</v>
      </c>
      <c r="F1998" s="3"/>
      <c r="G1998" s="4"/>
      <c r="H1998" s="3" t="str">
        <f>HYPERLINK("https://www.cortellis.com/drugdiscovery/entity/biomarkers/64882","8-protein cancer panel")</f>
        <v>8-protein cancer panel</v>
      </c>
      <c r="I1998" s="2" t="s">
        <v>23</v>
      </c>
      <c r="J1998" s="2" t="s">
        <v>17</v>
      </c>
      <c r="K1998" s="4" t="str">
        <f>HYPERLINK("https://www.cortellis.com/drugdiscovery/result/proxy/related-content/biomarkers/genestargets/64882","CD274 molecule; CD68 molecule")</f>
        <v>CD274 molecule; CD68 molecule</v>
      </c>
    </row>
    <row r="1999" spans="1:11" ht="60" customHeight="1" x14ac:dyDescent="0.2">
      <c r="A1999" s="2">
        <v>1996</v>
      </c>
      <c r="B1999" s="3"/>
      <c r="C1999" s="3" t="str">
        <f t="shared" si="339"/>
        <v>CD274</v>
      </c>
      <c r="D1999" s="3" t="str">
        <f t="shared" si="340"/>
        <v>CD274_(HUMAN)_transcript</v>
      </c>
      <c r="E1999" s="2" t="s">
        <v>72</v>
      </c>
      <c r="F1999" s="3"/>
      <c r="G1999" s="4"/>
      <c r="H1999" s="3" t="str">
        <f>HYPERLINK("https://www.cortellis.com/drugdiscovery/entity/biomarkers/65815","12-gene expression breast cancer panel")</f>
        <v>12-gene expression breast cancer panel</v>
      </c>
      <c r="I1999" s="2" t="s">
        <v>18</v>
      </c>
      <c r="J1999" s="2" t="s">
        <v>19</v>
      </c>
      <c r="K1999" s="4" t="str">
        <f>HYPERLINK("https://www.cortellis.com/drugdiscovery/result/proxy/related-content/biomarkers/genestargets/65815","CD274 molecule; cytotoxic T-lymphocyte associated protein 4")</f>
        <v>CD274 molecule; cytotoxic T-lymphocyte associated protein 4</v>
      </c>
    </row>
    <row r="2000" spans="1:11" ht="60" customHeight="1" x14ac:dyDescent="0.2">
      <c r="A2000" s="2">
        <v>1997</v>
      </c>
      <c r="B2000" s="3"/>
      <c r="C2000" s="3" t="str">
        <f t="shared" ref="C2000:C2010" si="341">HYPERLINK("https://portal.genego.com/cgi/entity_page.cgi?term=20&amp;id=841376480","CD44")</f>
        <v>CD44</v>
      </c>
      <c r="D2000" s="3" t="str">
        <f t="shared" ref="D2000:D2010" si="342">HYPERLINK("https://portal.genego.com/cgi/entity_page.cgi?term=7&amp;id=-1647176152","CD44_(HUMAN)_transcript")</f>
        <v>CD44_(HUMAN)_transcript</v>
      </c>
      <c r="E2000" s="2" t="s">
        <v>72</v>
      </c>
      <c r="F2000" s="3"/>
      <c r="G2000" s="4"/>
      <c r="H2000" s="3" t="str">
        <f>HYPERLINK("https://www.cortellis.com/drugdiscovery/entity/biomarkers/36","CD44 antigen")</f>
        <v>CD44 antigen</v>
      </c>
      <c r="I2000" s="2" t="s">
        <v>22</v>
      </c>
      <c r="J2000" s="2" t="s">
        <v>15</v>
      </c>
      <c r="K2000" s="4" t="str">
        <f>HYPERLINK("https://www.cortellis.com/drugdiscovery/result/proxy/related-content/biomarkers/genestargets/36","CD44 molecule (Indian blood group)")</f>
        <v>CD44 molecule (Indian blood group)</v>
      </c>
    </row>
    <row r="2001" spans="1:11" ht="60" customHeight="1" x14ac:dyDescent="0.2">
      <c r="A2001" s="2">
        <v>1998</v>
      </c>
      <c r="B2001" s="3"/>
      <c r="C2001" s="3" t="str">
        <f t="shared" si="341"/>
        <v>CD44</v>
      </c>
      <c r="D2001" s="3" t="str">
        <f t="shared" si="342"/>
        <v>CD44_(HUMAN)_transcript</v>
      </c>
      <c r="E2001" s="2" t="s">
        <v>72</v>
      </c>
      <c r="F2001" s="3"/>
      <c r="G2001" s="4"/>
      <c r="H2001" s="3" t="str">
        <f>HYPERLINK("https://www.cortellis.com/drugdiscovery/entity/biomarkers/25837","374-gene expression breast cancer panel")</f>
        <v>374-gene expression breast cancer panel</v>
      </c>
      <c r="I2001" s="2" t="s">
        <v>25</v>
      </c>
      <c r="J2001" s="2" t="s">
        <v>19</v>
      </c>
      <c r="K2001" s="4" t="str">
        <f>HYPERLINK("https://www.cortellis.com/drugdiscovery/result/proxy/related-content/biomarkers/genestargets/25837","CD44 molecule (Indian blood group); coagulation factor III, tissue factor; cyclin D1")</f>
        <v>CD44 molecule (Indian blood group); coagulation factor III, tissue factor; cyclin D1</v>
      </c>
    </row>
    <row r="2002" spans="1:11" ht="60" customHeight="1" x14ac:dyDescent="0.2">
      <c r="A2002" s="2">
        <v>1999</v>
      </c>
      <c r="B2002" s="3"/>
      <c r="C2002" s="3" t="str">
        <f t="shared" si="341"/>
        <v>CD44</v>
      </c>
      <c r="D2002" s="3" t="str">
        <f t="shared" si="342"/>
        <v>CD44_(HUMAN)_transcript</v>
      </c>
      <c r="E2002" s="2" t="s">
        <v>72</v>
      </c>
      <c r="F2002" s="3"/>
      <c r="G2002" s="4"/>
      <c r="H2002" s="3" t="str">
        <f>HYPERLINK("https://www.cortellis.com/drugdiscovery/entity/biomarkers/27383","59-gene expression neuroblastoma panel")</f>
        <v>59-gene expression neuroblastoma panel</v>
      </c>
      <c r="I2002" s="2" t="s">
        <v>25</v>
      </c>
      <c r="J2002" s="2" t="s">
        <v>19</v>
      </c>
      <c r="K2002" s="4" t="str">
        <f>HYPERLINK("https://www.cortellis.com/drugdiscovery/result/proxy/related-content/biomarkers/genestargets/27383","CD44 molecule (Indian blood group)")</f>
        <v>CD44 molecule (Indian blood group)</v>
      </c>
    </row>
    <row r="2003" spans="1:11" ht="60" customHeight="1" x14ac:dyDescent="0.2">
      <c r="A2003" s="2">
        <v>2000</v>
      </c>
      <c r="B2003" s="3"/>
      <c r="C2003" s="3" t="str">
        <f t="shared" si="341"/>
        <v>CD44</v>
      </c>
      <c r="D2003" s="3" t="str">
        <f t="shared" si="342"/>
        <v>CD44_(HUMAN)_transcript</v>
      </c>
      <c r="E2003" s="2" t="s">
        <v>72</v>
      </c>
      <c r="F2003" s="3"/>
      <c r="G2003" s="4"/>
      <c r="H2003" s="3" t="str">
        <f>HYPERLINK("https://www.cortellis.com/drugdiscovery/entity/biomarkers/27478","45-gene expression lung cancer panel")</f>
        <v>45-gene expression lung cancer panel</v>
      </c>
      <c r="I2003" s="2" t="s">
        <v>18</v>
      </c>
      <c r="J2003" s="2" t="s">
        <v>19</v>
      </c>
      <c r="K2003" s="4" t="str">
        <f>HYPERLINK("https://www.cortellis.com/drugdiscovery/result/proxy/related-content/biomarkers/genestargets/27478","CD44 molecule (Indian blood group)")</f>
        <v>CD44 molecule (Indian blood group)</v>
      </c>
    </row>
    <row r="2004" spans="1:11" ht="60" customHeight="1" x14ac:dyDescent="0.2">
      <c r="A2004" s="2">
        <v>2001</v>
      </c>
      <c r="B2004" s="3"/>
      <c r="C2004" s="3" t="str">
        <f t="shared" si="341"/>
        <v>CD44</v>
      </c>
      <c r="D2004" s="3" t="str">
        <f t="shared" si="342"/>
        <v>CD44_(HUMAN)_transcript</v>
      </c>
      <c r="E2004" s="2" t="s">
        <v>72</v>
      </c>
      <c r="F2004" s="3"/>
      <c r="G2004" s="4"/>
      <c r="H2004" s="3" t="str">
        <f>HYPERLINK("https://www.cortellis.com/drugdiscovery/entity/biomarkers/38653","61-gene expression allergic rhinitis panel")</f>
        <v>61-gene expression allergic rhinitis panel</v>
      </c>
      <c r="I2004" s="2" t="s">
        <v>23</v>
      </c>
      <c r="J2004" s="2" t="s">
        <v>19</v>
      </c>
      <c r="K2004" s="4" t="str">
        <f>HYPERLINK("https://www.cortellis.com/drugdiscovery/result/proxy/related-content/biomarkers/genestargets/38653","CD274 molecule; CD44 molecule (Indian blood group)")</f>
        <v>CD274 molecule; CD44 molecule (Indian blood group)</v>
      </c>
    </row>
    <row r="2005" spans="1:11" ht="60" customHeight="1" x14ac:dyDescent="0.2">
      <c r="A2005" s="2">
        <v>2002</v>
      </c>
      <c r="B2005" s="3"/>
      <c r="C2005" s="3" t="str">
        <f t="shared" si="341"/>
        <v>CD44</v>
      </c>
      <c r="D2005" s="3" t="str">
        <f t="shared" si="342"/>
        <v>CD44_(HUMAN)_transcript</v>
      </c>
      <c r="E2005" s="2" t="s">
        <v>72</v>
      </c>
      <c r="F2005" s="3"/>
      <c r="G2005" s="4"/>
      <c r="H2005" s="3" t="str">
        <f>HYPERLINK("https://www.cortellis.com/drugdiscovery/entity/biomarkers/39244","53-protein diffuse large B-cell lymphoma panel")</f>
        <v>53-protein diffuse large B-cell lymphoma panel</v>
      </c>
      <c r="I2005" s="2" t="s">
        <v>28</v>
      </c>
      <c r="J2005" s="2" t="s">
        <v>17</v>
      </c>
      <c r="K2005" s="4" t="str">
        <f>HYPERLINK("https://www.cortellis.com/drugdiscovery/result/proxy/related-content/biomarkers/genestargets/39244","CD44 molecule (Indian blood group)")</f>
        <v>CD44 molecule (Indian blood group)</v>
      </c>
    </row>
    <row r="2006" spans="1:11" ht="60" customHeight="1" x14ac:dyDescent="0.2">
      <c r="A2006" s="2">
        <v>2003</v>
      </c>
      <c r="B2006" s="3"/>
      <c r="C2006" s="3" t="str">
        <f t="shared" si="341"/>
        <v>CD44</v>
      </c>
      <c r="D2006" s="3" t="str">
        <f t="shared" si="342"/>
        <v>CD44_(HUMAN)_transcript</v>
      </c>
      <c r="E2006" s="2" t="s">
        <v>72</v>
      </c>
      <c r="F2006" s="3"/>
      <c r="G2006" s="4"/>
      <c r="H2006" s="3" t="str">
        <f>HYPERLINK("https://www.cortellis.com/drugdiscovery/entity/biomarkers/41312","4-gene expression prostate cancer panel")</f>
        <v>4-gene expression prostate cancer panel</v>
      </c>
      <c r="I2006" s="2" t="s">
        <v>23</v>
      </c>
      <c r="J2006" s="2" t="s">
        <v>19</v>
      </c>
      <c r="K2006" s="4" t="str">
        <f>HYPERLINK("https://www.cortellis.com/drugdiscovery/result/proxy/related-content/biomarkers/genestargets/41312","CD44 molecule (Indian blood group)")</f>
        <v>CD44 molecule (Indian blood group)</v>
      </c>
    </row>
    <row r="2007" spans="1:11" ht="60" customHeight="1" x14ac:dyDescent="0.2">
      <c r="A2007" s="2">
        <v>2004</v>
      </c>
      <c r="B2007" s="3"/>
      <c r="C2007" s="3" t="str">
        <f t="shared" si="341"/>
        <v>CD44</v>
      </c>
      <c r="D2007" s="3" t="str">
        <f t="shared" si="342"/>
        <v>CD44_(HUMAN)_transcript</v>
      </c>
      <c r="E2007" s="2" t="s">
        <v>72</v>
      </c>
      <c r="F2007" s="3"/>
      <c r="G2007" s="4"/>
      <c r="H2007" s="3" t="str">
        <f>HYPERLINK("https://www.cortellis.com/drugdiscovery/entity/biomarkers/41780","322-gene expression thyroid cancer panel")</f>
        <v>322-gene expression thyroid cancer panel</v>
      </c>
      <c r="I2007" s="2" t="s">
        <v>23</v>
      </c>
      <c r="J2007" s="2" t="s">
        <v>19</v>
      </c>
      <c r="K2007" s="4" t="str">
        <f>HYPERLINK("https://www.cortellis.com/drugdiscovery/result/proxy/related-content/biomarkers/genestargets/41780","CD44 molecule (Indian blood group)")</f>
        <v>CD44 molecule (Indian blood group)</v>
      </c>
    </row>
    <row r="2008" spans="1:11" ht="60" customHeight="1" x14ac:dyDescent="0.2">
      <c r="A2008" s="2">
        <v>2005</v>
      </c>
      <c r="B2008" s="3"/>
      <c r="C2008" s="3" t="str">
        <f t="shared" si="341"/>
        <v>CD44</v>
      </c>
      <c r="D2008" s="3" t="str">
        <f t="shared" si="342"/>
        <v>CD44_(HUMAN)_transcript</v>
      </c>
      <c r="E2008" s="2" t="s">
        <v>72</v>
      </c>
      <c r="F2008" s="3"/>
      <c r="G2008" s="4"/>
      <c r="H2008" s="3" t="str">
        <f>HYPERLINK("https://www.cortellis.com/drugdiscovery/entity/biomarkers/61761","8-gene expression lung cancer panel")</f>
        <v>8-gene expression lung cancer panel</v>
      </c>
      <c r="I2008" s="2" t="s">
        <v>23</v>
      </c>
      <c r="J2008" s="2" t="s">
        <v>19</v>
      </c>
      <c r="K2008" s="4" t="str">
        <f>HYPERLINK("https://www.cortellis.com/drugdiscovery/result/proxy/related-content/biomarkers/genestargets/61761","CD44 molecule (Indian blood group)")</f>
        <v>CD44 molecule (Indian blood group)</v>
      </c>
    </row>
    <row r="2009" spans="1:11" ht="60" customHeight="1" x14ac:dyDescent="0.2">
      <c r="A2009" s="2">
        <v>2006</v>
      </c>
      <c r="B2009" s="3"/>
      <c r="C2009" s="3" t="str">
        <f t="shared" si="341"/>
        <v>CD44</v>
      </c>
      <c r="D2009" s="3" t="str">
        <f t="shared" si="342"/>
        <v>CD44_(HUMAN)_transcript</v>
      </c>
      <c r="E2009" s="2" t="s">
        <v>72</v>
      </c>
      <c r="F2009" s="3"/>
      <c r="G2009" s="4"/>
      <c r="H2009" s="3" t="str">
        <f>HYPERLINK("https://www.cortellis.com/drugdiscovery/entity/biomarkers/62809","8-protein endometrium cancer panel")</f>
        <v>8-protein endometrium cancer panel</v>
      </c>
      <c r="I2009" s="2" t="s">
        <v>23</v>
      </c>
      <c r="J2009" s="2" t="s">
        <v>17</v>
      </c>
      <c r="K2009" s="4" t="str">
        <f>HYPERLINK("https://www.cortellis.com/drugdiscovery/result/proxy/related-content/biomarkers/genestargets/62809","CD44 molecule (Indian blood group)")</f>
        <v>CD44 molecule (Indian blood group)</v>
      </c>
    </row>
    <row r="2010" spans="1:11" ht="60" customHeight="1" x14ac:dyDescent="0.2">
      <c r="A2010" s="2">
        <v>2007</v>
      </c>
      <c r="B2010" s="3"/>
      <c r="C2010" s="3" t="str">
        <f t="shared" si="341"/>
        <v>CD44</v>
      </c>
      <c r="D2010" s="3" t="str">
        <f t="shared" si="342"/>
        <v>CD44_(HUMAN)_transcript</v>
      </c>
      <c r="E2010" s="2" t="s">
        <v>72</v>
      </c>
      <c r="F2010" s="3"/>
      <c r="G2010" s="4"/>
      <c r="H2010" s="3" t="str">
        <f>HYPERLINK("https://www.cortellis.com/drugdiscovery/entity/biomarkers/63165","CD44-IGF1R fusion protein")</f>
        <v>CD44-IGF1R fusion protein</v>
      </c>
      <c r="I2010" s="2" t="s">
        <v>29</v>
      </c>
      <c r="J2010" s="2" t="s">
        <v>15</v>
      </c>
      <c r="K2010" s="4" t="str">
        <f>HYPERLINK("https://www.cortellis.com/drugdiscovery/result/proxy/related-content/biomarkers/genestargets/63165","CD44 molecule (Indian blood group)")</f>
        <v>CD44 molecule (Indian blood group)</v>
      </c>
    </row>
    <row r="2011" spans="1:11" ht="60" customHeight="1" x14ac:dyDescent="0.2">
      <c r="A2011" s="2">
        <v>2008</v>
      </c>
      <c r="B2011" s="3"/>
      <c r="C2011" s="3" t="str">
        <f t="shared" ref="C2011:C2018" si="343">HYPERLINK("https://portal.genego.com/cgi/entity_page.cgi?term=20&amp;id=-520677977","CD68")</f>
        <v>CD68</v>
      </c>
      <c r="D2011" s="3" t="str">
        <f t="shared" ref="D2011:D2018" si="344">HYPERLINK("https://portal.genego.com/cgi/entity_page.cgi?term=7&amp;id=-351218175","CD68_(HUMAN)_transcript")</f>
        <v>CD68_(HUMAN)_transcript</v>
      </c>
      <c r="E2011" s="2" t="s">
        <v>72</v>
      </c>
      <c r="F2011" s="3"/>
      <c r="G2011" s="4"/>
      <c r="H2011" s="3" t="str">
        <f>HYPERLINK("https://www.cortellis.com/drugdiscovery/entity/biomarkers/66","Oncotype DX")</f>
        <v>Oncotype DX</v>
      </c>
      <c r="I2011" s="2" t="s">
        <v>35</v>
      </c>
      <c r="J2011" s="2" t="s">
        <v>19</v>
      </c>
      <c r="K2011" s="4" t="str">
        <f>HYPERLINK("https://www.cortellis.com/drugdiscovery/result/proxy/related-content/biomarkers/genestargets/66","CD68 molecule")</f>
        <v>CD68 molecule</v>
      </c>
    </row>
    <row r="2012" spans="1:11" ht="60" customHeight="1" x14ac:dyDescent="0.2">
      <c r="A2012" s="2">
        <v>2009</v>
      </c>
      <c r="B2012" s="3"/>
      <c r="C2012" s="3" t="str">
        <f t="shared" si="343"/>
        <v>CD68</v>
      </c>
      <c r="D2012" s="3" t="str">
        <f t="shared" si="344"/>
        <v>CD68_(HUMAN)_transcript</v>
      </c>
      <c r="E2012" s="2" t="s">
        <v>72</v>
      </c>
      <c r="F2012" s="3"/>
      <c r="G2012" s="4"/>
      <c r="H2012" s="3" t="str">
        <f>HYPERLINK("https://www.cortellis.com/drugdiscovery/entity/biomarkers/1645","Macrosialin")</f>
        <v>Macrosialin</v>
      </c>
      <c r="I2012" s="2" t="s">
        <v>36</v>
      </c>
      <c r="J2012" s="2" t="s">
        <v>15</v>
      </c>
      <c r="K2012" s="4" t="str">
        <f>HYPERLINK("https://www.cortellis.com/drugdiscovery/result/proxy/related-content/biomarkers/genestargets/1645","CD68 molecule")</f>
        <v>CD68 molecule</v>
      </c>
    </row>
    <row r="2013" spans="1:11" ht="60" customHeight="1" x14ac:dyDescent="0.2">
      <c r="A2013" s="2">
        <v>2010</v>
      </c>
      <c r="B2013" s="3"/>
      <c r="C2013" s="3" t="str">
        <f t="shared" si="343"/>
        <v>CD68</v>
      </c>
      <c r="D2013" s="3" t="str">
        <f t="shared" si="344"/>
        <v>CD68_(HUMAN)_transcript</v>
      </c>
      <c r="E2013" s="2" t="s">
        <v>72</v>
      </c>
      <c r="F2013" s="3"/>
      <c r="G2013" s="4"/>
      <c r="H2013" s="3" t="str">
        <f>HYPERLINK("https://www.cortellis.com/drugdiscovery/entity/biomarkers/12108","3-protein diffuse large B-cell lymphoma panel")</f>
        <v>3-protein diffuse large B-cell lymphoma panel</v>
      </c>
      <c r="I2013" s="2" t="s">
        <v>25</v>
      </c>
      <c r="J2013" s="2" t="s">
        <v>17</v>
      </c>
      <c r="K2013" s="4" t="str">
        <f>HYPERLINK("https://www.cortellis.com/drugdiscovery/result/proxy/related-content/biomarkers/genestargets/12108","CD68 molecule")</f>
        <v>CD68 molecule</v>
      </c>
    </row>
    <row r="2014" spans="1:11" ht="60" customHeight="1" x14ac:dyDescent="0.2">
      <c r="A2014" s="2">
        <v>2011</v>
      </c>
      <c r="B2014" s="3"/>
      <c r="C2014" s="3" t="str">
        <f t="shared" si="343"/>
        <v>CD68</v>
      </c>
      <c r="D2014" s="3" t="str">
        <f t="shared" si="344"/>
        <v>CD68_(HUMAN)_transcript</v>
      </c>
      <c r="E2014" s="2" t="s">
        <v>72</v>
      </c>
      <c r="F2014" s="3"/>
      <c r="G2014" s="4"/>
      <c r="H2014" s="3" t="str">
        <f>HYPERLINK("https://www.cortellis.com/drugdiscovery/entity/biomarkers/38521","28-gene expression breast cancer panel")</f>
        <v>28-gene expression breast cancer panel</v>
      </c>
      <c r="I2014" s="2" t="s">
        <v>27</v>
      </c>
      <c r="J2014" s="2" t="s">
        <v>19</v>
      </c>
      <c r="K2014" s="4" t="str">
        <f>HYPERLINK("https://www.cortellis.com/drugdiscovery/result/proxy/related-content/biomarkers/genestargets/38521","CD68 molecule")</f>
        <v>CD68 molecule</v>
      </c>
    </row>
    <row r="2015" spans="1:11" ht="60" customHeight="1" x14ac:dyDescent="0.2">
      <c r="A2015" s="2">
        <v>2012</v>
      </c>
      <c r="B2015" s="3"/>
      <c r="C2015" s="3" t="str">
        <f t="shared" si="343"/>
        <v>CD68</v>
      </c>
      <c r="D2015" s="3" t="str">
        <f t="shared" si="344"/>
        <v>CD68_(HUMAN)_transcript</v>
      </c>
      <c r="E2015" s="2" t="s">
        <v>72</v>
      </c>
      <c r="F2015" s="3"/>
      <c r="G2015" s="4"/>
      <c r="H2015" s="3" t="str">
        <f>HYPERLINK("https://www.cortellis.com/drugdiscovery/entity/biomarkers/45605","53-gene expression melanoma panel")</f>
        <v>53-gene expression melanoma panel</v>
      </c>
      <c r="I2015" s="2" t="s">
        <v>25</v>
      </c>
      <c r="J2015" s="2" t="s">
        <v>19</v>
      </c>
      <c r="K2015"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2016" spans="1:11" ht="60" customHeight="1" x14ac:dyDescent="0.2">
      <c r="A2016" s="2">
        <v>2013</v>
      </c>
      <c r="B2016" s="3"/>
      <c r="C2016" s="3" t="str">
        <f t="shared" si="343"/>
        <v>CD68</v>
      </c>
      <c r="D2016" s="3" t="str">
        <f t="shared" si="344"/>
        <v>CD68_(HUMAN)_transcript</v>
      </c>
      <c r="E2016" s="2" t="s">
        <v>72</v>
      </c>
      <c r="F2016" s="3"/>
      <c r="G2016" s="4"/>
      <c r="H2016" s="3" t="str">
        <f>HYPERLINK("https://www.cortellis.com/drugdiscovery/entity/biomarkers/53169","9-protein Barrett's esophagus panel")</f>
        <v>9-protein Barrett's esophagus panel</v>
      </c>
      <c r="I2016" s="2" t="s">
        <v>25</v>
      </c>
      <c r="J2016" s="2" t="s">
        <v>17</v>
      </c>
      <c r="K2016" s="4" t="str">
        <f>HYPERLINK("https://www.cortellis.com/drugdiscovery/result/proxy/related-content/biomarkers/genestargets/53169","CD68 molecule; protein tyrosine phosphatase receptor type C")</f>
        <v>CD68 molecule; protein tyrosine phosphatase receptor type C</v>
      </c>
    </row>
    <row r="2017" spans="1:11" ht="60" customHeight="1" x14ac:dyDescent="0.2">
      <c r="A2017" s="2">
        <v>2014</v>
      </c>
      <c r="B2017" s="3"/>
      <c r="C2017" s="3" t="str">
        <f t="shared" si="343"/>
        <v>CD68</v>
      </c>
      <c r="D2017" s="3" t="str">
        <f t="shared" si="344"/>
        <v>CD68_(HUMAN)_transcript</v>
      </c>
      <c r="E2017" s="2" t="s">
        <v>72</v>
      </c>
      <c r="F2017" s="3"/>
      <c r="G2017" s="4"/>
      <c r="H2017" s="3" t="str">
        <f>HYPERLINK("https://www.cortellis.com/drugdiscovery/entity/biomarkers/56478","21-gene expression breast cancer panel")</f>
        <v>21-gene expression breast cancer panel</v>
      </c>
      <c r="I2017" s="2" t="s">
        <v>25</v>
      </c>
      <c r="J2017" s="2" t="s">
        <v>19</v>
      </c>
      <c r="K2017" s="4" t="str">
        <f>HYPERLINK("https://www.cortellis.com/drugdiscovery/result/proxy/related-content/biomarkers/genestargets/56478","CD68 molecule")</f>
        <v>CD68 molecule</v>
      </c>
    </row>
    <row r="2018" spans="1:11" ht="60" customHeight="1" x14ac:dyDescent="0.2">
      <c r="A2018" s="2">
        <v>2015</v>
      </c>
      <c r="B2018" s="3"/>
      <c r="C2018" s="3" t="str">
        <f t="shared" si="343"/>
        <v>CD68</v>
      </c>
      <c r="D2018" s="3" t="str">
        <f t="shared" si="344"/>
        <v>CD68_(HUMAN)_transcript</v>
      </c>
      <c r="E2018" s="2" t="s">
        <v>72</v>
      </c>
      <c r="F2018" s="3"/>
      <c r="G2018" s="4"/>
      <c r="H2018" s="3" t="str">
        <f>HYPERLINK("https://www.cortellis.com/drugdiscovery/entity/biomarkers/64882","8-protein cancer panel")</f>
        <v>8-protein cancer panel</v>
      </c>
      <c r="I2018" s="2" t="s">
        <v>23</v>
      </c>
      <c r="J2018" s="2" t="s">
        <v>17</v>
      </c>
      <c r="K2018" s="4" t="str">
        <f>HYPERLINK("https://www.cortellis.com/drugdiscovery/result/proxy/related-content/biomarkers/genestargets/64882","CD274 molecule; CD68 molecule")</f>
        <v>CD274 molecule; CD68 molecule</v>
      </c>
    </row>
    <row r="2019" spans="1:11" ht="60" customHeight="1" x14ac:dyDescent="0.2">
      <c r="A2019" s="2">
        <v>2016</v>
      </c>
      <c r="B2019" s="3"/>
      <c r="C2019" s="3" t="str">
        <f t="shared" ref="C2019:C2024" si="345">HYPERLINK("https://portal.genego.com/cgi/entity_page.cgi?term=20&amp;id=-793503070","CD69")</f>
        <v>CD69</v>
      </c>
      <c r="D2019" s="3" t="str">
        <f t="shared" ref="D2019:D2024" si="346">HYPERLINK("https://portal.genego.com/cgi/entity_page.cgi?term=7&amp;id=-1950541923","CD69_(HUMAN)_transcript")</f>
        <v>CD69_(HUMAN)_transcript</v>
      </c>
      <c r="E2019" s="2" t="s">
        <v>72</v>
      </c>
      <c r="F2019" s="3"/>
      <c r="G2019" s="4"/>
      <c r="H2019" s="3" t="str">
        <f>HYPERLINK("https://www.cortellis.com/drugdiscovery/entity/biomarkers/243","Early activation antigen CD69")</f>
        <v>Early activation antigen CD69</v>
      </c>
      <c r="I2019" s="2" t="s">
        <v>37</v>
      </c>
      <c r="J2019" s="2" t="s">
        <v>15</v>
      </c>
      <c r="K2019" s="4" t="str">
        <f>HYPERLINK("https://www.cortellis.com/drugdiscovery/result/proxy/related-content/biomarkers/genestargets/243","CD69 molecule")</f>
        <v>CD69 molecule</v>
      </c>
    </row>
    <row r="2020" spans="1:11" ht="60" customHeight="1" x14ac:dyDescent="0.2">
      <c r="A2020" s="2">
        <v>2017</v>
      </c>
      <c r="B2020" s="3"/>
      <c r="C2020" s="3" t="str">
        <f t="shared" si="345"/>
        <v>CD69</v>
      </c>
      <c r="D2020" s="3" t="str">
        <f t="shared" si="346"/>
        <v>CD69_(HUMAN)_transcript</v>
      </c>
      <c r="E2020" s="2" t="s">
        <v>72</v>
      </c>
      <c r="F2020" s="3"/>
      <c r="G2020" s="4"/>
      <c r="H2020" s="3" t="str">
        <f>HYPERLINK("https://www.cortellis.com/drugdiscovery/entity/biomarkers/35397","69-gene expression preterm birth panel")</f>
        <v>69-gene expression preterm birth panel</v>
      </c>
      <c r="I2020" s="2" t="s">
        <v>29</v>
      </c>
      <c r="J2020" s="2" t="s">
        <v>19</v>
      </c>
      <c r="K2020" s="4" t="str">
        <f>HYPERLINK("https://www.cortellis.com/drugdiscovery/result/proxy/related-content/biomarkers/genestargets/35397","CD69 molecule")</f>
        <v>CD69 molecule</v>
      </c>
    </row>
    <row r="2021" spans="1:11" ht="60" customHeight="1" x14ac:dyDescent="0.2">
      <c r="A2021" s="2">
        <v>2018</v>
      </c>
      <c r="B2021" s="3"/>
      <c r="C2021" s="3" t="str">
        <f t="shared" si="345"/>
        <v>CD69</v>
      </c>
      <c r="D2021" s="3" t="str">
        <f t="shared" si="346"/>
        <v>CD69_(HUMAN)_transcript</v>
      </c>
      <c r="E2021" s="2" t="s">
        <v>72</v>
      </c>
      <c r="F2021" s="3"/>
      <c r="G2021" s="4"/>
      <c r="H2021" s="3" t="str">
        <f>HYPERLINK("https://www.cortellis.com/drugdiscovery/entity/biomarkers/37530","Macrophage-associated marker prognostic score")</f>
        <v>Macrophage-associated marker prognostic score</v>
      </c>
      <c r="I2021" s="2" t="s">
        <v>25</v>
      </c>
      <c r="J2021" s="2" t="s">
        <v>19</v>
      </c>
      <c r="K2021" s="4" t="str">
        <f>HYPERLINK("https://www.cortellis.com/drugdiscovery/result/proxy/related-content/biomarkers/genestargets/37530","CD69 molecule")</f>
        <v>CD69 molecule</v>
      </c>
    </row>
    <row r="2022" spans="1:11" ht="60" customHeight="1" x14ac:dyDescent="0.2">
      <c r="A2022" s="2">
        <v>2019</v>
      </c>
      <c r="B2022" s="3"/>
      <c r="C2022" s="3" t="str">
        <f t="shared" si="345"/>
        <v>CD69</v>
      </c>
      <c r="D2022" s="3" t="str">
        <f t="shared" si="346"/>
        <v>CD69_(HUMAN)_transcript</v>
      </c>
      <c r="E2022" s="2" t="s">
        <v>72</v>
      </c>
      <c r="F2022" s="3"/>
      <c r="G2022" s="4"/>
      <c r="H2022" s="3" t="str">
        <f>HYPERLINK("https://www.cortellis.com/drugdiscovery/entity/biomarkers/38566","158-gene expression breast cancer panel")</f>
        <v>158-gene expression breast cancer panel</v>
      </c>
      <c r="I2022" s="2" t="s">
        <v>18</v>
      </c>
      <c r="J2022" s="2" t="s">
        <v>19</v>
      </c>
      <c r="K2022" s="4" t="str">
        <f>HYPERLINK("https://www.cortellis.com/drugdiscovery/result/proxy/related-content/biomarkers/genestargets/38566","CD69 molecule")</f>
        <v>CD69 molecule</v>
      </c>
    </row>
    <row r="2023" spans="1:11" ht="60" customHeight="1" x14ac:dyDescent="0.2">
      <c r="A2023" s="2">
        <v>2020</v>
      </c>
      <c r="B2023" s="3"/>
      <c r="C2023" s="3" t="str">
        <f t="shared" si="345"/>
        <v>CD69</v>
      </c>
      <c r="D2023" s="3" t="str">
        <f t="shared" si="346"/>
        <v>CD69_(HUMAN)_transcript</v>
      </c>
      <c r="E2023" s="2" t="s">
        <v>72</v>
      </c>
      <c r="F2023" s="3"/>
      <c r="G2023" s="4"/>
      <c r="H2023" s="3" t="str">
        <f>HYPERLINK("https://www.cortellis.com/drugdiscovery/entity/biomarkers/53411","8-gene expression cancer panel")</f>
        <v>8-gene expression cancer panel</v>
      </c>
      <c r="I2023" s="2" t="s">
        <v>23</v>
      </c>
      <c r="J2023" s="2" t="s">
        <v>15</v>
      </c>
      <c r="K2023" s="4" t="str">
        <f>HYPERLINK("https://www.cortellis.com/drugdiscovery/result/proxy/related-content/biomarkers/genestargets/53411","CD69 molecule; interferon gamma")</f>
        <v>CD69 molecule; interferon gamma</v>
      </c>
    </row>
    <row r="2024" spans="1:11" ht="60" customHeight="1" x14ac:dyDescent="0.2">
      <c r="A2024" s="2">
        <v>2021</v>
      </c>
      <c r="B2024" s="3"/>
      <c r="C2024" s="3" t="str">
        <f t="shared" si="345"/>
        <v>CD69</v>
      </c>
      <c r="D2024" s="3" t="str">
        <f t="shared" si="346"/>
        <v>CD69_(HUMAN)_transcript</v>
      </c>
      <c r="E2024" s="2" t="s">
        <v>72</v>
      </c>
      <c r="F2024" s="3"/>
      <c r="G2024" s="4"/>
      <c r="H2024" s="3" t="str">
        <f>HYPERLINK("https://www.cortellis.com/drugdiscovery/entity/biomarkers/64861","35-gene expresssion cancer panel")</f>
        <v>35-gene expresssion cancer panel</v>
      </c>
      <c r="I2024" s="2" t="s">
        <v>38</v>
      </c>
      <c r="J2024" s="2" t="s">
        <v>15</v>
      </c>
      <c r="K2024" s="4" t="str">
        <f>HYPERLINK("https://www.cortellis.com/drugdiscovery/result/proxy/related-content/biomarkers/genestargets/64861","CD274 molecule; CD69 molecule; interferon gamma")</f>
        <v>CD274 molecule; CD69 molecule; interferon gamma</v>
      </c>
    </row>
    <row r="2025" spans="1:11" ht="60" customHeight="1" x14ac:dyDescent="0.2">
      <c r="A2025" s="2">
        <v>2022</v>
      </c>
      <c r="B2025" s="3"/>
      <c r="C2025" s="3" t="str">
        <f>HYPERLINK("https://portal.genego.com/cgi/entity_page.cgi?term=20&amp;id=521703105","CTLA4")</f>
        <v>CTLA4</v>
      </c>
      <c r="D2025" s="3" t="str">
        <f>HYPERLINK("https://portal.genego.com/cgi/entity_page.cgi?term=7&amp;id=-1698092649","CTLA4_(HUMAN)_transcript")</f>
        <v>CTLA4_(HUMAN)_transcript</v>
      </c>
      <c r="E2025" s="2" t="s">
        <v>72</v>
      </c>
      <c r="F2025" s="3"/>
      <c r="G2025" s="4"/>
      <c r="H2025" s="3" t="str">
        <f>HYPERLINK("https://www.cortellis.com/drugdiscovery/entity/biomarkers/741","Cytotoxic T-lymphocyte protein 4")</f>
        <v>Cytotoxic T-lymphocyte protein 4</v>
      </c>
      <c r="I2025" s="2" t="s">
        <v>39</v>
      </c>
      <c r="J2025" s="2" t="s">
        <v>15</v>
      </c>
      <c r="K2025" s="4" t="str">
        <f>HYPERLINK("https://www.cortellis.com/drugdiscovery/result/proxy/related-content/biomarkers/genestargets/741","cytotoxic T-lymphocyte associated protein 4")</f>
        <v>cytotoxic T-lymphocyte associated protein 4</v>
      </c>
    </row>
    <row r="2026" spans="1:11" ht="60" customHeight="1" x14ac:dyDescent="0.2">
      <c r="A2026" s="2">
        <v>2023</v>
      </c>
      <c r="B2026" s="3"/>
      <c r="C2026" s="3" t="str">
        <f>HYPERLINK("https://portal.genego.com/cgi/entity_page.cgi?term=20&amp;id=521703105","CTLA4")</f>
        <v>CTLA4</v>
      </c>
      <c r="D2026" s="3" t="str">
        <f>HYPERLINK("https://portal.genego.com/cgi/entity_page.cgi?term=7&amp;id=-1698092649","CTLA4_(HUMAN)_transcript")</f>
        <v>CTLA4_(HUMAN)_transcript</v>
      </c>
      <c r="E2026" s="2" t="s">
        <v>72</v>
      </c>
      <c r="F2026" s="3"/>
      <c r="G2026" s="4"/>
      <c r="H2026" s="3" t="str">
        <f>HYPERLINK("https://www.cortellis.com/drugdiscovery/entity/biomarkers/27550","27-gene polymorphism rheumatoid arthritis panel")</f>
        <v>27-gene polymorphism rheumatoid arthritis panel</v>
      </c>
      <c r="I2026" s="2" t="s">
        <v>29</v>
      </c>
      <c r="J2026" s="2" t="s">
        <v>19</v>
      </c>
      <c r="K2026" s="4" t="str">
        <f>HYPERLINK("https://www.cortellis.com/drugdiscovery/result/proxy/related-content/biomarkers/genestargets/27550","cytotoxic T-lymphocyte associated protein 4; protein tyrosine phosphatase non-receptor type 22; protein tyrosine phosphatase receptor type C")</f>
        <v>cytotoxic T-lymphocyte associated protein 4; protein tyrosine phosphatase non-receptor type 22; protein tyrosine phosphatase receptor type C</v>
      </c>
    </row>
    <row r="2027" spans="1:11" ht="60" customHeight="1" x14ac:dyDescent="0.2">
      <c r="A2027" s="2">
        <v>2024</v>
      </c>
      <c r="B2027" s="3"/>
      <c r="C2027" s="3" t="str">
        <f>HYPERLINK("https://portal.genego.com/cgi/entity_page.cgi?term=20&amp;id=521703105","CTLA4")</f>
        <v>CTLA4</v>
      </c>
      <c r="D2027" s="3" t="str">
        <f>HYPERLINK("https://portal.genego.com/cgi/entity_page.cgi?term=7&amp;id=-1698092649","CTLA4_(HUMAN)_transcript")</f>
        <v>CTLA4_(HUMAN)_transcript</v>
      </c>
      <c r="E2027" s="2" t="s">
        <v>72</v>
      </c>
      <c r="F2027" s="3"/>
      <c r="G2027" s="4"/>
      <c r="H2027" s="3" t="str">
        <f>HYPERLINK("https://www.cortellis.com/drugdiscovery/entity/biomarkers/40007","8-gene polymorphism diabetes panel")</f>
        <v>8-gene polymorphism diabetes panel</v>
      </c>
      <c r="I2027" s="2" t="s">
        <v>29</v>
      </c>
      <c r="J2027" s="2" t="s">
        <v>19</v>
      </c>
      <c r="K2027" s="4" t="str">
        <f>HYPERLINK("https://www.cortellis.com/drugdiscovery/result/proxy/related-content/biomarkers/genestargets/40007","cytotoxic T-lymphocyte associated protein 4")</f>
        <v>cytotoxic T-lymphocyte associated protein 4</v>
      </c>
    </row>
    <row r="2028" spans="1:11" ht="60" customHeight="1" x14ac:dyDescent="0.2">
      <c r="A2028" s="2">
        <v>2025</v>
      </c>
      <c r="B2028" s="3"/>
      <c r="C2028" s="3" t="str">
        <f>HYPERLINK("https://portal.genego.com/cgi/entity_page.cgi?term=20&amp;id=521703105","CTLA4")</f>
        <v>CTLA4</v>
      </c>
      <c r="D2028" s="3" t="str">
        <f>HYPERLINK("https://portal.genego.com/cgi/entity_page.cgi?term=7&amp;id=-1698092649","CTLA4_(HUMAN)_transcript")</f>
        <v>CTLA4_(HUMAN)_transcript</v>
      </c>
      <c r="E2028" s="2" t="s">
        <v>72</v>
      </c>
      <c r="F2028" s="3"/>
      <c r="G2028" s="4"/>
      <c r="H2028" s="3" t="str">
        <f>HYPERLINK("https://www.cortellis.com/drugdiscovery/entity/biomarkers/63865","CD276-CTLA4 fusion protein")</f>
        <v>CD276-CTLA4 fusion protein</v>
      </c>
      <c r="I2028" s="2" t="s">
        <v>25</v>
      </c>
      <c r="J2028" s="2" t="s">
        <v>15</v>
      </c>
      <c r="K2028" s="4" t="str">
        <f>HYPERLINK("https://www.cortellis.com/drugdiscovery/result/proxy/related-content/biomarkers/genestargets/63865","cytotoxic T-lymphocyte associated protein 4")</f>
        <v>cytotoxic T-lymphocyte associated protein 4</v>
      </c>
    </row>
    <row r="2029" spans="1:11" ht="60" customHeight="1" x14ac:dyDescent="0.2">
      <c r="A2029" s="2">
        <v>2026</v>
      </c>
      <c r="B2029" s="3"/>
      <c r="C2029" s="3" t="str">
        <f>HYPERLINK("https://portal.genego.com/cgi/entity_page.cgi?term=20&amp;id=521703105","CTLA4")</f>
        <v>CTLA4</v>
      </c>
      <c r="D2029" s="3" t="str">
        <f>HYPERLINK("https://portal.genego.com/cgi/entity_page.cgi?term=7&amp;id=-1698092649","CTLA4_(HUMAN)_transcript")</f>
        <v>CTLA4_(HUMAN)_transcript</v>
      </c>
      <c r="E2029" s="2" t="s">
        <v>72</v>
      </c>
      <c r="F2029" s="3"/>
      <c r="G2029" s="4"/>
      <c r="H2029" s="3" t="str">
        <f>HYPERLINK("https://www.cortellis.com/drugdiscovery/entity/biomarkers/65815","12-gene expression breast cancer panel")</f>
        <v>12-gene expression breast cancer panel</v>
      </c>
      <c r="I2029" s="2" t="s">
        <v>18</v>
      </c>
      <c r="J2029" s="2" t="s">
        <v>19</v>
      </c>
      <c r="K2029" s="4" t="str">
        <f>HYPERLINK("https://www.cortellis.com/drugdiscovery/result/proxy/related-content/biomarkers/genestargets/65815","CD274 molecule; cytotoxic T-lymphocyte associated protein 4")</f>
        <v>CD274 molecule; cytotoxic T-lymphocyte associated protein 4</v>
      </c>
    </row>
    <row r="2030" spans="1:11" ht="60" customHeight="1" x14ac:dyDescent="0.2">
      <c r="A2030" s="2">
        <v>2027</v>
      </c>
      <c r="B2030" s="3"/>
      <c r="C2030" s="3" t="str">
        <f t="shared" ref="C2030:C2036" si="347">HYPERLINK("https://portal.genego.com/cgi/entity_page.cgi?term=20&amp;id=1031602642","DAG1")</f>
        <v>DAG1</v>
      </c>
      <c r="D2030" s="3" t="str">
        <f t="shared" ref="D2030:D2036" si="348">HYPERLINK("https://portal.genego.com/cgi/entity_page.cgi?term=7&amp;id=-1088764415","DAG1_(HUMAN)_transcript")</f>
        <v>DAG1_(HUMAN)_transcript</v>
      </c>
      <c r="E2030" s="2" t="s">
        <v>72</v>
      </c>
      <c r="F2030" s="3"/>
      <c r="G2030" s="4"/>
      <c r="H2030" s="3" t="str">
        <f>HYPERLINK("https://www.cortellis.com/drugdiscovery/entity/biomarkers/5300","Dystroglycan")</f>
        <v>Dystroglycan</v>
      </c>
      <c r="I2030" s="2" t="s">
        <v>14</v>
      </c>
      <c r="J2030" s="2" t="s">
        <v>15</v>
      </c>
      <c r="K2030" s="4" t="str">
        <f>HYPERLINK("https://www.cortellis.com/drugdiscovery/result/proxy/related-content/biomarkers/genestargets/5300","dystroglycan 1")</f>
        <v>dystroglycan 1</v>
      </c>
    </row>
    <row r="2031" spans="1:11" ht="60" customHeight="1" x14ac:dyDescent="0.2">
      <c r="A2031" s="2">
        <v>2028</v>
      </c>
      <c r="B2031" s="3"/>
      <c r="C2031" s="3" t="str">
        <f t="shared" si="347"/>
        <v>DAG1</v>
      </c>
      <c r="D2031" s="3" t="str">
        <f t="shared" si="348"/>
        <v>DAG1_(HUMAN)_transcript</v>
      </c>
      <c r="E2031" s="2" t="s">
        <v>72</v>
      </c>
      <c r="F2031" s="3"/>
      <c r="G2031" s="4"/>
      <c r="H2031" s="3" t="str">
        <f>HYPERLINK("https://www.cortellis.com/drugdiscovery/entity/biomarkers/33598","Cyclin-dependent kinase 5 activator 1, p35")</f>
        <v>Cyclin-dependent kinase 5 activator 1, p35</v>
      </c>
      <c r="I2031" s="2" t="s">
        <v>16</v>
      </c>
      <c r="J2031" s="2" t="s">
        <v>15</v>
      </c>
      <c r="K2031" s="4" t="str">
        <f>HYPERLINK("https://www.cortellis.com/drugdiscovery/result/proxy/related-content/biomarkers/genestargets/33598","dystroglycan 1")</f>
        <v>dystroglycan 1</v>
      </c>
    </row>
    <row r="2032" spans="1:11" ht="60" customHeight="1" x14ac:dyDescent="0.2">
      <c r="A2032" s="2">
        <v>2029</v>
      </c>
      <c r="B2032" s="3"/>
      <c r="C2032" s="3" t="str">
        <f t="shared" si="347"/>
        <v>DAG1</v>
      </c>
      <c r="D2032" s="3" t="str">
        <f t="shared" si="348"/>
        <v>DAG1_(HUMAN)_transcript</v>
      </c>
      <c r="E2032" s="2" t="s">
        <v>72</v>
      </c>
      <c r="F2032" s="3"/>
      <c r="G2032" s="4"/>
      <c r="H2032" s="3" t="str">
        <f>HYPERLINK("https://www.cortellis.com/drugdiscovery/entity/biomarkers/33599","Cyclin-dependent kinase 5 activator 1, p25")</f>
        <v>Cyclin-dependent kinase 5 activator 1, p25</v>
      </c>
      <c r="I2032" s="2" t="s">
        <v>16</v>
      </c>
      <c r="J2032" s="2" t="s">
        <v>17</v>
      </c>
      <c r="K2032" s="4" t="str">
        <f>HYPERLINK("https://www.cortellis.com/drugdiscovery/result/proxy/related-content/biomarkers/genestargets/33599","dystroglycan 1")</f>
        <v>dystroglycan 1</v>
      </c>
    </row>
    <row r="2033" spans="1:11" ht="60" customHeight="1" x14ac:dyDescent="0.2">
      <c r="A2033" s="2">
        <v>2030</v>
      </c>
      <c r="B2033" s="3"/>
      <c r="C2033" s="3" t="str">
        <f t="shared" si="347"/>
        <v>DAG1</v>
      </c>
      <c r="D2033" s="3" t="str">
        <f t="shared" si="348"/>
        <v>DAG1_(HUMAN)_transcript</v>
      </c>
      <c r="E2033" s="2" t="s">
        <v>72</v>
      </c>
      <c r="F2033" s="3"/>
      <c r="G2033" s="4"/>
      <c r="H2033" s="3" t="str">
        <f>HYPERLINK("https://www.cortellis.com/drugdiscovery/entity/biomarkers/48282","31-gene expression glioblastoma panel")</f>
        <v>31-gene expression glioblastoma panel</v>
      </c>
      <c r="I2033" s="2" t="s">
        <v>18</v>
      </c>
      <c r="J2033" s="2" t="s">
        <v>19</v>
      </c>
      <c r="K2033" s="4" t="str">
        <f>HYPERLINK("https://www.cortellis.com/drugdiscovery/result/proxy/related-content/biomarkers/genestargets/48282","cyclin D1; dystroglycan 1; protein tyrosine phosphatase receptor type C")</f>
        <v>cyclin D1; dystroglycan 1; protein tyrosine phosphatase receptor type C</v>
      </c>
    </row>
    <row r="2034" spans="1:11" ht="60" customHeight="1" x14ac:dyDescent="0.2">
      <c r="A2034" s="2">
        <v>2031</v>
      </c>
      <c r="B2034" s="3"/>
      <c r="C2034" s="3" t="str">
        <f t="shared" si="347"/>
        <v>DAG1</v>
      </c>
      <c r="D2034" s="3" t="str">
        <f t="shared" si="348"/>
        <v>DAG1_(HUMAN)_transcript</v>
      </c>
      <c r="E2034" s="2" t="s">
        <v>72</v>
      </c>
      <c r="F2034" s="3"/>
      <c r="G2034" s="4"/>
      <c r="H2034" s="3" t="str">
        <f>HYPERLINK("https://www.cortellis.com/drugdiscovery/entity/biomarkers/57337","16-gene expression Alzheimer's disease panel")</f>
        <v>16-gene expression Alzheimer's disease panel</v>
      </c>
      <c r="I2034" s="2" t="s">
        <v>20</v>
      </c>
      <c r="J2034" s="2" t="s">
        <v>17</v>
      </c>
      <c r="K2034" s="4" t="str">
        <f>HYPERLINK("https://www.cortellis.com/drugdiscovery/result/proxy/related-content/biomarkers/genestargets/57337","dystroglycan 1")</f>
        <v>dystroglycan 1</v>
      </c>
    </row>
    <row r="2035" spans="1:11" ht="60" customHeight="1" x14ac:dyDescent="0.2">
      <c r="A2035" s="2">
        <v>2032</v>
      </c>
      <c r="B2035" s="3"/>
      <c r="C2035" s="3" t="str">
        <f t="shared" si="347"/>
        <v>DAG1</v>
      </c>
      <c r="D2035" s="3" t="str">
        <f t="shared" si="348"/>
        <v>DAG1_(HUMAN)_transcript</v>
      </c>
      <c r="E2035" s="2" t="s">
        <v>72</v>
      </c>
      <c r="F2035" s="3"/>
      <c r="G2035" s="4"/>
      <c r="H2035" s="3" t="str">
        <f>HYPERLINK("https://www.cortellis.com/drugdiscovery/entity/biomarkers/58961","18-gene expression rectal cancer panel")</f>
        <v>18-gene expression rectal cancer panel</v>
      </c>
      <c r="I2035" s="2" t="s">
        <v>18</v>
      </c>
      <c r="J2035" s="2" t="s">
        <v>19</v>
      </c>
      <c r="K2035" s="4" t="str">
        <f>HYPERLINK("https://www.cortellis.com/drugdiscovery/result/proxy/related-content/biomarkers/genestargets/58961","dystroglycan 1")</f>
        <v>dystroglycan 1</v>
      </c>
    </row>
    <row r="2036" spans="1:11" ht="60" customHeight="1" x14ac:dyDescent="0.2">
      <c r="A2036" s="2">
        <v>2033</v>
      </c>
      <c r="B2036" s="3"/>
      <c r="C2036" s="3" t="str">
        <f t="shared" si="347"/>
        <v>DAG1</v>
      </c>
      <c r="D2036" s="3" t="str">
        <f t="shared" si="348"/>
        <v>DAG1_(HUMAN)_transcript</v>
      </c>
      <c r="E2036" s="2" t="s">
        <v>72</v>
      </c>
      <c r="F2036" s="3"/>
      <c r="G2036" s="4"/>
      <c r="H2036" s="3" t="str">
        <f>HYPERLINK("https://www.cortellis.com/drugdiscovery/entity/biomarkers/65232","7-gene expression lung cancer panel")</f>
        <v>7-gene expression lung cancer panel</v>
      </c>
      <c r="I2036" s="2" t="s">
        <v>18</v>
      </c>
      <c r="J2036" s="2" t="s">
        <v>19</v>
      </c>
      <c r="K2036" s="4" t="str">
        <f>HYPERLINK("https://www.cortellis.com/drugdiscovery/result/proxy/related-content/biomarkers/genestargets/65232","dystroglycan 1")</f>
        <v>dystroglycan 1</v>
      </c>
    </row>
    <row r="2037" spans="1:11" ht="60" customHeight="1" x14ac:dyDescent="0.2">
      <c r="A2037" s="2">
        <v>2034</v>
      </c>
      <c r="B2037" s="3"/>
      <c r="C2037" s="3" t="str">
        <f t="shared" ref="C2037:C2053" si="349">HYPERLINK("https://portal.genego.com/cgi/entity_page.cgi?term=20&amp;id=958858101","F3")</f>
        <v>F3</v>
      </c>
      <c r="D2037" s="3" t="str">
        <f t="shared" ref="D2037:D2053" si="350">HYPERLINK("https://portal.genego.com/cgi/entity_page.cgi?term=7&amp;id=-785895374","F3_(HUMAN)_transcript")</f>
        <v>F3_(HUMAN)_transcript</v>
      </c>
      <c r="E2037" s="2" t="s">
        <v>72</v>
      </c>
      <c r="F2037" s="3"/>
      <c r="G2037" s="4"/>
      <c r="H2037" s="3" t="str">
        <f>HYPERLINK("https://www.cortellis.com/drugdiscovery/entity/biomarkers/481","Tissue factor")</f>
        <v>Tissue factor</v>
      </c>
      <c r="I2037" s="2" t="s">
        <v>56</v>
      </c>
      <c r="J2037" s="2" t="s">
        <v>15</v>
      </c>
      <c r="K2037" s="4" t="str">
        <f>HYPERLINK("https://www.cortellis.com/drugdiscovery/result/proxy/related-content/biomarkers/genestargets/481","coagulation factor III, tissue factor")</f>
        <v>coagulation factor III, tissue factor</v>
      </c>
    </row>
    <row r="2038" spans="1:11" ht="60" customHeight="1" x14ac:dyDescent="0.2">
      <c r="A2038" s="2">
        <v>2035</v>
      </c>
      <c r="B2038" s="3"/>
      <c r="C2038" s="3" t="str">
        <f t="shared" si="349"/>
        <v>F3</v>
      </c>
      <c r="D2038" s="3" t="str">
        <f t="shared" si="350"/>
        <v>F3_(HUMAN)_transcript</v>
      </c>
      <c r="E2038" s="2" t="s">
        <v>72</v>
      </c>
      <c r="F2038" s="3"/>
      <c r="G2038" s="4"/>
      <c r="H2038" s="3" t="str">
        <f>HYPERLINK("https://www.cortellis.com/drugdiscovery/entity/biomarkers/25837","374-gene expression breast cancer panel")</f>
        <v>374-gene expression breast cancer panel</v>
      </c>
      <c r="I2038" s="2" t="s">
        <v>25</v>
      </c>
      <c r="J2038" s="2" t="s">
        <v>19</v>
      </c>
      <c r="K2038" s="4" t="str">
        <f>HYPERLINK("https://www.cortellis.com/drugdiscovery/result/proxy/related-content/biomarkers/genestargets/25837","CD44 molecule (Indian blood group); coagulation factor III, tissue factor; cyclin D1")</f>
        <v>CD44 molecule (Indian blood group); coagulation factor III, tissue factor; cyclin D1</v>
      </c>
    </row>
    <row r="2039" spans="1:11" ht="60" customHeight="1" x14ac:dyDescent="0.2">
      <c r="A2039" s="2">
        <v>2036</v>
      </c>
      <c r="B2039" s="3"/>
      <c r="C2039" s="3" t="str">
        <f t="shared" si="349"/>
        <v>F3</v>
      </c>
      <c r="D2039" s="3" t="str">
        <f t="shared" si="350"/>
        <v>F3_(HUMAN)_transcript</v>
      </c>
      <c r="E2039" s="2" t="s">
        <v>72</v>
      </c>
      <c r="F2039" s="3"/>
      <c r="G2039" s="4"/>
      <c r="H2039" s="3" t="str">
        <f>HYPERLINK("https://www.cortellis.com/drugdiscovery/entity/biomarkers/26071","442-gene expression breast cancer panel")</f>
        <v>442-gene expression breast cancer panel</v>
      </c>
      <c r="I2039" s="2" t="s">
        <v>25</v>
      </c>
      <c r="J2039" s="2" t="s">
        <v>19</v>
      </c>
      <c r="K2039" s="4" t="str">
        <f>HYPERLINK("https://www.cortellis.com/drugdiscovery/result/proxy/related-content/biomarkers/genestargets/26071","coagulation factor III, tissue factor")</f>
        <v>coagulation factor III, tissue factor</v>
      </c>
    </row>
    <row r="2040" spans="1:11" ht="60" customHeight="1" x14ac:dyDescent="0.2">
      <c r="A2040" s="2">
        <v>2037</v>
      </c>
      <c r="B2040" s="3"/>
      <c r="C2040" s="3" t="str">
        <f t="shared" si="349"/>
        <v>F3</v>
      </c>
      <c r="D2040" s="3" t="str">
        <f t="shared" si="350"/>
        <v>F3_(HUMAN)_transcript</v>
      </c>
      <c r="E2040" s="2" t="s">
        <v>72</v>
      </c>
      <c r="F2040" s="3"/>
      <c r="G2040" s="4"/>
      <c r="H2040" s="3" t="str">
        <f>HYPERLINK("https://www.cortellis.com/drugdiscovery/entity/biomarkers/27598","89-protein neurological alzheimer's panel")</f>
        <v>89-protein neurological alzheimer's panel</v>
      </c>
      <c r="I2040" s="2" t="s">
        <v>23</v>
      </c>
      <c r="J2040" s="2" t="s">
        <v>17</v>
      </c>
      <c r="K2040"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041" spans="1:11" ht="60" customHeight="1" x14ac:dyDescent="0.2">
      <c r="A2041" s="2">
        <v>2038</v>
      </c>
      <c r="B2041" s="3"/>
      <c r="C2041" s="3" t="str">
        <f t="shared" si="349"/>
        <v>F3</v>
      </c>
      <c r="D2041" s="3" t="str">
        <f t="shared" si="350"/>
        <v>F3_(HUMAN)_transcript</v>
      </c>
      <c r="E2041" s="2" t="s">
        <v>72</v>
      </c>
      <c r="F2041" s="3"/>
      <c r="G2041" s="4"/>
      <c r="H2041" s="3" t="str">
        <f>HYPERLINK("https://www.cortellis.com/drugdiscovery/entity/biomarkers/28219","54-gene expression colorectal cancer panel")</f>
        <v>54-gene expression colorectal cancer panel</v>
      </c>
      <c r="I2041" s="2" t="s">
        <v>25</v>
      </c>
      <c r="J2041" s="2" t="s">
        <v>19</v>
      </c>
      <c r="K2041" s="4" t="str">
        <f>HYPERLINK("https://www.cortellis.com/drugdiscovery/result/proxy/related-content/biomarkers/genestargets/28219","coagulation factor III, tissue factor")</f>
        <v>coagulation factor III, tissue factor</v>
      </c>
    </row>
    <row r="2042" spans="1:11" ht="60" customHeight="1" x14ac:dyDescent="0.2">
      <c r="A2042" s="2">
        <v>2039</v>
      </c>
      <c r="B2042" s="3"/>
      <c r="C2042" s="3" t="str">
        <f t="shared" si="349"/>
        <v>F3</v>
      </c>
      <c r="D2042" s="3" t="str">
        <f t="shared" si="350"/>
        <v>F3_(HUMAN)_transcript</v>
      </c>
      <c r="E2042" s="2" t="s">
        <v>72</v>
      </c>
      <c r="F2042" s="3"/>
      <c r="G2042" s="4"/>
      <c r="H2042" s="3" t="str">
        <f>HYPERLINK("https://www.cortellis.com/drugdiscovery/entity/biomarkers/31652","786-gene expression cancer panel")</f>
        <v>786-gene expression cancer panel</v>
      </c>
      <c r="I2042" s="2" t="s">
        <v>23</v>
      </c>
      <c r="J2042" s="2" t="s">
        <v>19</v>
      </c>
      <c r="K2042" s="4" t="str">
        <f>HYPERLINK("https://www.cortellis.com/drugdiscovery/result/proxy/related-content/biomarkers/genestargets/31652","C-C motif chemokine ligand 2; coagulation factor III, tissue factor; tenascin C")</f>
        <v>C-C motif chemokine ligand 2; coagulation factor III, tissue factor; tenascin C</v>
      </c>
    </row>
    <row r="2043" spans="1:11" ht="60" customHeight="1" x14ac:dyDescent="0.2">
      <c r="A2043" s="2">
        <v>2040</v>
      </c>
      <c r="B2043" s="3"/>
      <c r="C2043" s="3" t="str">
        <f t="shared" si="349"/>
        <v>F3</v>
      </c>
      <c r="D2043" s="3" t="str">
        <f t="shared" si="350"/>
        <v>F3_(HUMAN)_transcript</v>
      </c>
      <c r="E2043" s="2" t="s">
        <v>72</v>
      </c>
      <c r="F2043" s="3"/>
      <c r="G2043" s="4"/>
      <c r="H2043" s="3" t="str">
        <f>HYPERLINK("https://www.cortellis.com/drugdiscovery/entity/biomarkers/38576","788-gene expression esophageal cancer panel")</f>
        <v>788-gene expression esophageal cancer panel</v>
      </c>
      <c r="I2043" s="2" t="s">
        <v>23</v>
      </c>
      <c r="J2043" s="2" t="s">
        <v>19</v>
      </c>
      <c r="K2043" s="4" t="str">
        <f>HYPERLINK("https://www.cortellis.com/drugdiscovery/result/proxy/related-content/biomarkers/genestargets/38576","coagulation factor III, tissue factor; tenascin C")</f>
        <v>coagulation factor III, tissue factor; tenascin C</v>
      </c>
    </row>
    <row r="2044" spans="1:11" ht="60" customHeight="1" x14ac:dyDescent="0.2">
      <c r="A2044" s="2">
        <v>2041</v>
      </c>
      <c r="B2044" s="3"/>
      <c r="C2044" s="3" t="str">
        <f t="shared" si="349"/>
        <v>F3</v>
      </c>
      <c r="D2044" s="3" t="str">
        <f t="shared" si="350"/>
        <v>F3_(HUMAN)_transcript</v>
      </c>
      <c r="E2044" s="2" t="s">
        <v>72</v>
      </c>
      <c r="F2044" s="3"/>
      <c r="G2044" s="4"/>
      <c r="H2044" s="3" t="str">
        <f>HYPERLINK("https://www.cortellis.com/drugdiscovery/entity/biomarkers/39096","94-gene expression lung cancer panel")</f>
        <v>94-gene expression lung cancer panel</v>
      </c>
      <c r="I2044" s="2" t="s">
        <v>18</v>
      </c>
      <c r="J2044" s="2" t="s">
        <v>19</v>
      </c>
      <c r="K2044" s="4" t="str">
        <f>HYPERLINK("https://www.cortellis.com/drugdiscovery/result/proxy/related-content/biomarkers/genestargets/39096","coagulation factor III, tissue factor")</f>
        <v>coagulation factor III, tissue factor</v>
      </c>
    </row>
    <row r="2045" spans="1:11" ht="60" customHeight="1" x14ac:dyDescent="0.2">
      <c r="A2045" s="2">
        <v>2042</v>
      </c>
      <c r="B2045" s="3"/>
      <c r="C2045" s="3" t="str">
        <f t="shared" si="349"/>
        <v>F3</v>
      </c>
      <c r="D2045" s="3" t="str">
        <f t="shared" si="350"/>
        <v>F3_(HUMAN)_transcript</v>
      </c>
      <c r="E2045" s="2" t="s">
        <v>72</v>
      </c>
      <c r="F2045" s="3"/>
      <c r="G2045" s="4"/>
      <c r="H2045" s="3" t="str">
        <f>HYPERLINK("https://www.cortellis.com/drugdiscovery/entity/biomarkers/39384","31-gene polymorphism venous thrombosis panel")</f>
        <v>31-gene polymorphism venous thrombosis panel</v>
      </c>
      <c r="I2045" s="2" t="s">
        <v>29</v>
      </c>
      <c r="J2045" s="2" t="s">
        <v>19</v>
      </c>
      <c r="K2045" s="4" t="str">
        <f>HYPERLINK("https://www.cortellis.com/drugdiscovery/result/proxy/related-content/biomarkers/genestargets/39384","coagulation factor III, tissue factor; tissue factor pathway inhibitor")</f>
        <v>coagulation factor III, tissue factor; tissue factor pathway inhibitor</v>
      </c>
    </row>
    <row r="2046" spans="1:11" ht="60" customHeight="1" x14ac:dyDescent="0.2">
      <c r="A2046" s="2">
        <v>2043</v>
      </c>
      <c r="B2046" s="3"/>
      <c r="C2046" s="3" t="str">
        <f t="shared" si="349"/>
        <v>F3</v>
      </c>
      <c r="D2046" s="3" t="str">
        <f t="shared" si="350"/>
        <v>F3_(HUMAN)_transcript</v>
      </c>
      <c r="E2046" s="2" t="s">
        <v>72</v>
      </c>
      <c r="F2046" s="3"/>
      <c r="G2046" s="4"/>
      <c r="H2046" s="3" t="str">
        <f>HYPERLINK("https://www.cortellis.com/drugdiscovery/entity/biomarkers/39915","3-gene expression prostate cancer panel")</f>
        <v>3-gene expression prostate cancer panel</v>
      </c>
      <c r="I2046" s="2" t="s">
        <v>18</v>
      </c>
      <c r="J2046" s="2" t="s">
        <v>19</v>
      </c>
      <c r="K2046" s="4" t="str">
        <f>HYPERLINK("https://www.cortellis.com/drugdiscovery/result/proxy/related-content/biomarkers/genestargets/39915","coagulation factor III, tissue factor")</f>
        <v>coagulation factor III, tissue factor</v>
      </c>
    </row>
    <row r="2047" spans="1:11" ht="60" customHeight="1" x14ac:dyDescent="0.2">
      <c r="A2047" s="2">
        <v>2044</v>
      </c>
      <c r="B2047" s="3"/>
      <c r="C2047" s="3" t="str">
        <f t="shared" si="349"/>
        <v>F3</v>
      </c>
      <c r="D2047" s="3" t="str">
        <f t="shared" si="350"/>
        <v>F3_(HUMAN)_transcript</v>
      </c>
      <c r="E2047" s="2" t="s">
        <v>72</v>
      </c>
      <c r="F2047" s="3"/>
      <c r="G2047" s="4"/>
      <c r="H2047" s="3" t="str">
        <f>HYPERLINK("https://www.cortellis.com/drugdiscovery/entity/biomarkers/40025","EoE diagnostic panel")</f>
        <v>EoE diagnostic panel</v>
      </c>
      <c r="I2047" s="2" t="s">
        <v>23</v>
      </c>
      <c r="J2047" s="2" t="s">
        <v>19</v>
      </c>
      <c r="K2047" s="4" t="str">
        <f>HYPERLINK("https://www.cortellis.com/drugdiscovery/result/proxy/related-content/biomarkers/genestargets/40025","coagulation factor III, tissue factor; interleukin 15")</f>
        <v>coagulation factor III, tissue factor; interleukin 15</v>
      </c>
    </row>
    <row r="2048" spans="1:11" ht="60" customHeight="1" x14ac:dyDescent="0.2">
      <c r="A2048" s="2">
        <v>2045</v>
      </c>
      <c r="B2048" s="3"/>
      <c r="C2048" s="3" t="str">
        <f t="shared" si="349"/>
        <v>F3</v>
      </c>
      <c r="D2048" s="3" t="str">
        <f t="shared" si="350"/>
        <v>F3_(HUMAN)_transcript</v>
      </c>
      <c r="E2048" s="2" t="s">
        <v>72</v>
      </c>
      <c r="F2048" s="3"/>
      <c r="G2048" s="4"/>
      <c r="H2048" s="3" t="str">
        <f>HYPERLINK("https://www.cortellis.com/drugdiscovery/entity/biomarkers/40303","65-gene expression hepatocellular cancer panel")</f>
        <v>65-gene expression hepatocellular cancer panel</v>
      </c>
      <c r="I2048" s="2" t="s">
        <v>25</v>
      </c>
      <c r="J2048" s="2" t="s">
        <v>19</v>
      </c>
      <c r="K2048" s="4" t="str">
        <f>HYPERLINK("https://www.cortellis.com/drugdiscovery/result/proxy/related-content/biomarkers/genestargets/40303","coagulation factor III, tissue factor")</f>
        <v>coagulation factor III, tissue factor</v>
      </c>
    </row>
    <row r="2049" spans="1:11" ht="60" customHeight="1" x14ac:dyDescent="0.2">
      <c r="A2049" s="2">
        <v>2046</v>
      </c>
      <c r="B2049" s="3"/>
      <c r="C2049" s="3" t="str">
        <f t="shared" si="349"/>
        <v>F3</v>
      </c>
      <c r="D2049" s="3" t="str">
        <f t="shared" si="350"/>
        <v>F3_(HUMAN)_transcript</v>
      </c>
      <c r="E2049" s="2" t="s">
        <v>72</v>
      </c>
      <c r="F2049" s="3"/>
      <c r="G2049" s="4"/>
      <c r="H2049" s="3" t="str">
        <f>HYPERLINK("https://www.cortellis.com/drugdiscovery/entity/biomarkers/40551","3-gene expression prostate cancer panel")</f>
        <v>3-gene expression prostate cancer panel</v>
      </c>
      <c r="I2049" s="2" t="s">
        <v>66</v>
      </c>
      <c r="J2049" s="2" t="s">
        <v>19</v>
      </c>
      <c r="K2049" s="4" t="str">
        <f>HYPERLINK("https://www.cortellis.com/drugdiscovery/result/proxy/related-content/biomarkers/genestargets/40551","coagulation factor III, tissue factor")</f>
        <v>coagulation factor III, tissue factor</v>
      </c>
    </row>
    <row r="2050" spans="1:11" ht="60" customHeight="1" x14ac:dyDescent="0.2">
      <c r="A2050" s="2">
        <v>2047</v>
      </c>
      <c r="B2050" s="3"/>
      <c r="C2050" s="3" t="str">
        <f t="shared" si="349"/>
        <v>F3</v>
      </c>
      <c r="D2050" s="3" t="str">
        <f t="shared" si="350"/>
        <v>F3_(HUMAN)_transcript</v>
      </c>
      <c r="E2050" s="2" t="s">
        <v>72</v>
      </c>
      <c r="F2050" s="3"/>
      <c r="G2050" s="4"/>
      <c r="H2050" s="3" t="str">
        <f>HYPERLINK("https://www.cortellis.com/drugdiscovery/entity/biomarkers/43136","3-gene expression prostate cancer panel")</f>
        <v>3-gene expression prostate cancer panel</v>
      </c>
      <c r="I2050" s="2" t="s">
        <v>18</v>
      </c>
      <c r="J2050" s="2" t="s">
        <v>19</v>
      </c>
      <c r="K2050" s="4" t="str">
        <f>HYPERLINK("https://www.cortellis.com/drugdiscovery/result/proxy/related-content/biomarkers/genestargets/43136","coagulation factor III, tissue factor")</f>
        <v>coagulation factor III, tissue factor</v>
      </c>
    </row>
    <row r="2051" spans="1:11" ht="60" customHeight="1" x14ac:dyDescent="0.2">
      <c r="A2051" s="2">
        <v>2048</v>
      </c>
      <c r="B2051" s="3"/>
      <c r="C2051" s="3" t="str">
        <f t="shared" si="349"/>
        <v>F3</v>
      </c>
      <c r="D2051" s="3" t="str">
        <f t="shared" si="350"/>
        <v>F3_(HUMAN)_transcript</v>
      </c>
      <c r="E2051" s="2" t="s">
        <v>72</v>
      </c>
      <c r="F2051" s="3"/>
      <c r="G2051" s="4"/>
      <c r="H2051" s="3" t="str">
        <f>HYPERLINK("https://www.cortellis.com/drugdiscovery/entity/biomarkers/44132","3-gene expression prostate cancer panel")</f>
        <v>3-gene expression prostate cancer panel</v>
      </c>
      <c r="I2051" s="2" t="s">
        <v>25</v>
      </c>
      <c r="J2051" s="2" t="s">
        <v>19</v>
      </c>
      <c r="K2051" s="4" t="str">
        <f>HYPERLINK("https://www.cortellis.com/drugdiscovery/result/proxy/related-content/biomarkers/genestargets/44132","coagulation factor III, tissue factor")</f>
        <v>coagulation factor III, tissue factor</v>
      </c>
    </row>
    <row r="2052" spans="1:11" ht="60" customHeight="1" x14ac:dyDescent="0.2">
      <c r="A2052" s="2">
        <v>2049</v>
      </c>
      <c r="B2052" s="3"/>
      <c r="C2052" s="3" t="str">
        <f t="shared" si="349"/>
        <v>F3</v>
      </c>
      <c r="D2052" s="3" t="str">
        <f t="shared" si="350"/>
        <v>F3_(HUMAN)_transcript</v>
      </c>
      <c r="E2052" s="2" t="s">
        <v>72</v>
      </c>
      <c r="F2052" s="3"/>
      <c r="G2052" s="4"/>
      <c r="H2052" s="3" t="str">
        <f>HYPERLINK("https://www.cortellis.com/drugdiscovery/entity/biomarkers/59163","3-gene expression prostate cancer panel")</f>
        <v>3-gene expression prostate cancer panel</v>
      </c>
      <c r="I2052" s="2" t="s">
        <v>25</v>
      </c>
      <c r="J2052" s="2" t="s">
        <v>19</v>
      </c>
      <c r="K2052" s="4" t="str">
        <f>HYPERLINK("https://www.cortellis.com/drugdiscovery/result/proxy/related-content/biomarkers/genestargets/59163","coagulation factor III, tissue factor")</f>
        <v>coagulation factor III, tissue factor</v>
      </c>
    </row>
    <row r="2053" spans="1:11" ht="60" customHeight="1" x14ac:dyDescent="0.2">
      <c r="A2053" s="2">
        <v>2050</v>
      </c>
      <c r="B2053" s="3"/>
      <c r="C2053" s="3" t="str">
        <f t="shared" si="349"/>
        <v>F3</v>
      </c>
      <c r="D2053" s="3" t="str">
        <f t="shared" si="350"/>
        <v>F3_(HUMAN)_transcript</v>
      </c>
      <c r="E2053" s="2" t="s">
        <v>72</v>
      </c>
      <c r="F2053" s="3"/>
      <c r="G2053" s="4"/>
      <c r="H2053" s="3" t="str">
        <f>HYPERLINK("https://www.cortellis.com/drugdiscovery/entity/biomarkers/63755","7-protein chronic liver disease panel")</f>
        <v>7-protein chronic liver disease panel</v>
      </c>
      <c r="I2053" s="2" t="s">
        <v>71</v>
      </c>
      <c r="J2053" s="2" t="s">
        <v>17</v>
      </c>
      <c r="K2053" s="4" t="str">
        <f>HYPERLINK("https://www.cortellis.com/drugdiscovery/result/proxy/related-content/biomarkers/genestargets/63755","coagulation factor III, tissue factor")</f>
        <v>coagulation factor III, tissue factor</v>
      </c>
    </row>
    <row r="2054" spans="1:11" ht="60" customHeight="1" x14ac:dyDescent="0.2">
      <c r="A2054" s="2">
        <v>2051</v>
      </c>
      <c r="B2054" s="3"/>
      <c r="C2054" s="3" t="str">
        <f t="shared" ref="C2054:C2060" si="351">HYPERLINK("https://portal.genego.com/cgi/entity_page.cgi?term=20&amp;id=971308478","HLA-DQB1")</f>
        <v>HLA-DQB1</v>
      </c>
      <c r="D2054" s="3" t="str">
        <f t="shared" ref="D2054:D2060" si="352">HYPERLINK("https://portal.genego.com/cgi/entity_page.cgi?term=7&amp;id=-1246376618","HLA-DQB1_(HUMAN)_transcript")</f>
        <v>HLA-DQB1_(HUMAN)_transcript</v>
      </c>
      <c r="E2054" s="2" t="s">
        <v>72</v>
      </c>
      <c r="F2054" s="3"/>
      <c r="G2054" s="4"/>
      <c r="H2054" s="3" t="str">
        <f>HYPERLINK("https://www.cortellis.com/drugdiscovery/entity/biomarkers/456","Major histocompatibility complex, class II, DQ beta 1")</f>
        <v>Major histocompatibility complex, class II, DQ beta 1</v>
      </c>
      <c r="I2054" s="2" t="s">
        <v>44</v>
      </c>
      <c r="J2054" s="2" t="s">
        <v>15</v>
      </c>
      <c r="K2054" s="4" t="str">
        <f>HYPERLINK("https://www.cortellis.com/drugdiscovery/result/proxy/related-content/biomarkers/genestargets/456","major histocompatibility complex, class II, DQ beta 1")</f>
        <v>major histocompatibility complex, class II, DQ beta 1</v>
      </c>
    </row>
    <row r="2055" spans="1:11" ht="60" customHeight="1" x14ac:dyDescent="0.2">
      <c r="A2055" s="2">
        <v>2052</v>
      </c>
      <c r="B2055" s="3"/>
      <c r="C2055" s="3" t="str">
        <f t="shared" si="351"/>
        <v>HLA-DQB1</v>
      </c>
      <c r="D2055" s="3" t="str">
        <f t="shared" si="352"/>
        <v>HLA-DQB1_(HUMAN)_transcript</v>
      </c>
      <c r="E2055" s="2" t="s">
        <v>72</v>
      </c>
      <c r="F2055" s="3"/>
      <c r="G2055" s="4"/>
      <c r="H2055" s="3" t="str">
        <f>HYPERLINK("https://www.cortellis.com/drugdiscovery/entity/biomarkers/42247","37-gene expression multiple myeloma panel")</f>
        <v>37-gene expression multiple myeloma panel</v>
      </c>
      <c r="I2055" s="2" t="s">
        <v>27</v>
      </c>
      <c r="J2055" s="2" t="s">
        <v>19</v>
      </c>
      <c r="K2055" s="4" t="str">
        <f>HYPERLINK("https://www.cortellis.com/drugdiscovery/result/proxy/related-content/biomarkers/genestargets/42247","major histocompatibility complex, class II, DQ beta 1")</f>
        <v>major histocompatibility complex, class II, DQ beta 1</v>
      </c>
    </row>
    <row r="2056" spans="1:11" ht="60" customHeight="1" x14ac:dyDescent="0.2">
      <c r="A2056" s="2">
        <v>2053</v>
      </c>
      <c r="B2056" s="3"/>
      <c r="C2056" s="3" t="str">
        <f t="shared" si="351"/>
        <v>HLA-DQB1</v>
      </c>
      <c r="D2056" s="3" t="str">
        <f t="shared" si="352"/>
        <v>HLA-DQB1_(HUMAN)_transcript</v>
      </c>
      <c r="E2056" s="2" t="s">
        <v>72</v>
      </c>
      <c r="F2056" s="3"/>
      <c r="G2056" s="4"/>
      <c r="H2056" s="3" t="str">
        <f>HYPERLINK("https://www.cortellis.com/drugdiscovery/entity/biomarkers/44614","34-gene expression multiple myeloma panel")</f>
        <v>34-gene expression multiple myeloma panel</v>
      </c>
      <c r="I2056" s="2" t="s">
        <v>18</v>
      </c>
      <c r="J2056" s="2" t="s">
        <v>19</v>
      </c>
      <c r="K2056" s="4" t="str">
        <f>HYPERLINK("https://www.cortellis.com/drugdiscovery/result/proxy/related-content/biomarkers/genestargets/44614","major histocompatibility complex, class II, DQ beta 1")</f>
        <v>major histocompatibility complex, class II, DQ beta 1</v>
      </c>
    </row>
    <row r="2057" spans="1:11" ht="60" customHeight="1" x14ac:dyDescent="0.2">
      <c r="A2057" s="2">
        <v>2054</v>
      </c>
      <c r="B2057" s="3"/>
      <c r="C2057" s="3" t="str">
        <f t="shared" si="351"/>
        <v>HLA-DQB1</v>
      </c>
      <c r="D2057" s="3" t="str">
        <f t="shared" si="352"/>
        <v>HLA-DQB1_(HUMAN)_transcript</v>
      </c>
      <c r="E2057" s="2" t="s">
        <v>72</v>
      </c>
      <c r="F2057" s="3"/>
      <c r="G2057" s="4"/>
      <c r="H2057" s="3" t="str">
        <f>HYPERLINK("https://www.cortellis.com/drugdiscovery/entity/biomarkers/45605","53-gene expression melanoma panel")</f>
        <v>53-gene expression melanoma panel</v>
      </c>
      <c r="I2057" s="2" t="s">
        <v>25</v>
      </c>
      <c r="J2057" s="2" t="s">
        <v>19</v>
      </c>
      <c r="K2057"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2058" spans="1:11" ht="60" customHeight="1" x14ac:dyDescent="0.2">
      <c r="A2058" s="2">
        <v>2055</v>
      </c>
      <c r="B2058" s="3"/>
      <c r="C2058" s="3" t="str">
        <f t="shared" si="351"/>
        <v>HLA-DQB1</v>
      </c>
      <c r="D2058" s="3" t="str">
        <f t="shared" si="352"/>
        <v>HLA-DQB1_(HUMAN)_transcript</v>
      </c>
      <c r="E2058" s="2" t="s">
        <v>72</v>
      </c>
      <c r="F2058" s="3"/>
      <c r="G2058" s="4"/>
      <c r="H2058" s="3" t="str">
        <f>HYPERLINK("https://www.cortellis.com/drugdiscovery/entity/biomarkers/50251","96-gene methylation food allergy panel")</f>
        <v>96-gene methylation food allergy panel</v>
      </c>
      <c r="I2058" s="2" t="s">
        <v>23</v>
      </c>
      <c r="J2058" s="2" t="s">
        <v>19</v>
      </c>
      <c r="K2058" s="4" t="str">
        <f>HYPERLINK("https://www.cortellis.com/drugdiscovery/result/proxy/related-content/biomarkers/genestargets/50251","major histocompatibility complex, class II, DQ beta 1")</f>
        <v>major histocompatibility complex, class II, DQ beta 1</v>
      </c>
    </row>
    <row r="2059" spans="1:11" ht="60" customHeight="1" x14ac:dyDescent="0.2">
      <c r="A2059" s="2">
        <v>2056</v>
      </c>
      <c r="B2059" s="3"/>
      <c r="C2059" s="3" t="str">
        <f t="shared" si="351"/>
        <v>HLA-DQB1</v>
      </c>
      <c r="D2059" s="3" t="str">
        <f t="shared" si="352"/>
        <v>HLA-DQB1_(HUMAN)_transcript</v>
      </c>
      <c r="E2059" s="2" t="s">
        <v>72</v>
      </c>
      <c r="F2059" s="3"/>
      <c r="G2059" s="4"/>
      <c r="H2059" s="3" t="str">
        <f>HYPERLINK("https://www.cortellis.com/drugdiscovery/entity/biomarkers/51354","223-gene expression diffuse B-cell lymphoma panel")</f>
        <v>223-gene expression diffuse B-cell lymphoma panel</v>
      </c>
      <c r="I2059" s="2" t="s">
        <v>25</v>
      </c>
      <c r="J2059" s="2" t="s">
        <v>15</v>
      </c>
      <c r="K2059" s="4" t="str">
        <f>HYPERLINK("https://www.cortellis.com/drugdiscovery/result/proxy/related-content/biomarkers/genestargets/51354","major histocompatibility complex, class II, DQ beta 1")</f>
        <v>major histocompatibility complex, class II, DQ beta 1</v>
      </c>
    </row>
    <row r="2060" spans="1:11" ht="60" customHeight="1" x14ac:dyDescent="0.2">
      <c r="A2060" s="2">
        <v>2057</v>
      </c>
      <c r="B2060" s="3"/>
      <c r="C2060" s="3" t="str">
        <f t="shared" si="351"/>
        <v>HLA-DQB1</v>
      </c>
      <c r="D2060" s="3" t="str">
        <f t="shared" si="352"/>
        <v>HLA-DQB1_(HUMAN)_transcript</v>
      </c>
      <c r="E2060" s="2" t="s">
        <v>72</v>
      </c>
      <c r="F2060" s="3"/>
      <c r="G2060" s="4"/>
      <c r="H2060" s="3" t="str">
        <f>HYPERLINK("https://www.cortellis.com/drugdiscovery/entity/biomarkers/62595","19-gene expression lung adenocarcinoma panel")</f>
        <v>19-gene expression lung adenocarcinoma panel</v>
      </c>
      <c r="I2060" s="2" t="s">
        <v>25</v>
      </c>
      <c r="J2060" s="2" t="s">
        <v>19</v>
      </c>
      <c r="K2060" s="4" t="str">
        <f>HYPERLINK("https://www.cortellis.com/drugdiscovery/result/proxy/related-content/biomarkers/genestargets/62595","major histocompatibility complex, class II, DQ beta 1")</f>
        <v>major histocompatibility complex, class II, DQ beta 1</v>
      </c>
    </row>
    <row r="2061" spans="1:11" ht="60" customHeight="1" x14ac:dyDescent="0.2">
      <c r="A2061" s="2">
        <v>2058</v>
      </c>
      <c r="B2061" s="3"/>
      <c r="C2061" s="3" t="str">
        <f t="shared" ref="C2061:C2090" si="353">HYPERLINK("https://portal.genego.com/cgi/entity_page.cgi?term=20&amp;id=-1212492138","IFNG")</f>
        <v>IFNG</v>
      </c>
      <c r="D2061" s="3" t="str">
        <f t="shared" ref="D2061:D2090" si="354">HYPERLINK("https://portal.genego.com/cgi/entity_page.cgi?term=7&amp;id=-444949648","IFNG_(HUMAN)_transcript")</f>
        <v>IFNG_(HUMAN)_transcript</v>
      </c>
      <c r="E2061" s="2" t="s">
        <v>72</v>
      </c>
      <c r="F2061" s="3"/>
      <c r="G2061" s="4"/>
      <c r="H2061" s="3" t="str">
        <f>HYPERLINK("https://www.cortellis.com/drugdiscovery/entity/biomarkers/252","Interferon gamma")</f>
        <v>Interferon gamma</v>
      </c>
      <c r="I2061" s="2" t="s">
        <v>45</v>
      </c>
      <c r="J2061" s="2" t="s">
        <v>15</v>
      </c>
      <c r="K2061" s="4" t="str">
        <f>HYPERLINK("https://www.cortellis.com/drugdiscovery/result/proxy/related-content/biomarkers/genestargets/252","interferon gamma")</f>
        <v>interferon gamma</v>
      </c>
    </row>
    <row r="2062" spans="1:11" ht="60" customHeight="1" x14ac:dyDescent="0.2">
      <c r="A2062" s="2">
        <v>2059</v>
      </c>
      <c r="B2062" s="3"/>
      <c r="C2062" s="3" t="str">
        <f t="shared" si="353"/>
        <v>IFNG</v>
      </c>
      <c r="D2062" s="3" t="str">
        <f t="shared" si="354"/>
        <v>IFNG_(HUMAN)_transcript</v>
      </c>
      <c r="E2062" s="2" t="s">
        <v>72</v>
      </c>
      <c r="F2062" s="3"/>
      <c r="G2062" s="4"/>
      <c r="H2062" s="3" t="str">
        <f>HYPERLINK("https://www.cortellis.com/drugdiscovery/entity/biomarkers/27598","89-protein neurological alzheimer's panel")</f>
        <v>89-protein neurological alzheimer's panel</v>
      </c>
      <c r="I2062" s="2" t="s">
        <v>23</v>
      </c>
      <c r="J2062" s="2" t="s">
        <v>17</v>
      </c>
      <c r="K2062"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063" spans="1:11" ht="60" customHeight="1" x14ac:dyDescent="0.2">
      <c r="A2063" s="2">
        <v>2060</v>
      </c>
      <c r="B2063" s="3"/>
      <c r="C2063" s="3" t="str">
        <f t="shared" si="353"/>
        <v>IFNG</v>
      </c>
      <c r="D2063" s="3" t="str">
        <f t="shared" si="354"/>
        <v>IFNG_(HUMAN)_transcript</v>
      </c>
      <c r="E2063" s="2" t="s">
        <v>72</v>
      </c>
      <c r="F2063" s="3"/>
      <c r="G2063" s="4"/>
      <c r="H2063" s="3" t="str">
        <f>HYPERLINK("https://www.cortellis.com/drugdiscovery/entity/biomarkers/27734","6-protein lung cancer panel")</f>
        <v>6-protein lung cancer panel</v>
      </c>
      <c r="I2063" s="2" t="s">
        <v>23</v>
      </c>
      <c r="J2063" s="2" t="s">
        <v>17</v>
      </c>
      <c r="K2063" s="4" t="str">
        <f>HYPERLINK("https://www.cortellis.com/drugdiscovery/result/proxy/related-content/biomarkers/genestargets/27734","interferon gamma; tumor necrosis factor")</f>
        <v>interferon gamma; tumor necrosis factor</v>
      </c>
    </row>
    <row r="2064" spans="1:11" ht="60" customHeight="1" x14ac:dyDescent="0.2">
      <c r="A2064" s="2">
        <v>2061</v>
      </c>
      <c r="B2064" s="3"/>
      <c r="C2064" s="3" t="str">
        <f t="shared" si="353"/>
        <v>IFNG</v>
      </c>
      <c r="D2064" s="3" t="str">
        <f t="shared" si="354"/>
        <v>IFNG_(HUMAN)_transcript</v>
      </c>
      <c r="E2064" s="2" t="s">
        <v>72</v>
      </c>
      <c r="F2064" s="3"/>
      <c r="G2064" s="4"/>
      <c r="H2064" s="3" t="str">
        <f>HYPERLINK("https://www.cortellis.com/drugdiscovery/entity/biomarkers/28132","6-gene expression esophageal cancer panel")</f>
        <v>6-gene expression esophageal cancer panel</v>
      </c>
      <c r="I2064" s="2" t="s">
        <v>25</v>
      </c>
      <c r="J2064" s="2" t="s">
        <v>19</v>
      </c>
      <c r="K2064" s="4" t="str">
        <f>HYPERLINK("https://www.cortellis.com/drugdiscovery/result/proxy/related-content/biomarkers/genestargets/28132","interferon gamma")</f>
        <v>interferon gamma</v>
      </c>
    </row>
    <row r="2065" spans="1:11" ht="60" customHeight="1" x14ac:dyDescent="0.2">
      <c r="A2065" s="2">
        <v>2062</v>
      </c>
      <c r="B2065" s="3"/>
      <c r="C2065" s="3" t="str">
        <f t="shared" si="353"/>
        <v>IFNG</v>
      </c>
      <c r="D2065" s="3" t="str">
        <f t="shared" si="354"/>
        <v>IFNG_(HUMAN)_transcript</v>
      </c>
      <c r="E2065" s="2" t="s">
        <v>72</v>
      </c>
      <c r="F2065" s="3"/>
      <c r="G2065" s="4"/>
      <c r="H2065" s="3" t="str">
        <f>HYPERLINK("https://www.cortellis.com/drugdiscovery/entity/biomarkers/28148","11-gene expression lung cancer panel")</f>
        <v>11-gene expression lung cancer panel</v>
      </c>
      <c r="I2065" s="2" t="s">
        <v>25</v>
      </c>
      <c r="J2065" s="2" t="s">
        <v>19</v>
      </c>
      <c r="K2065" s="4" t="str">
        <f>HYPERLINK("https://www.cortellis.com/drugdiscovery/result/proxy/related-content/biomarkers/genestargets/28148","interferon gamma; interleukin 15; tumor necrosis factor")</f>
        <v>interferon gamma; interleukin 15; tumor necrosis factor</v>
      </c>
    </row>
    <row r="2066" spans="1:11" ht="60" customHeight="1" x14ac:dyDescent="0.2">
      <c r="A2066" s="2">
        <v>2063</v>
      </c>
      <c r="B2066" s="3"/>
      <c r="C2066" s="3" t="str">
        <f t="shared" si="353"/>
        <v>IFNG</v>
      </c>
      <c r="D2066" s="3" t="str">
        <f t="shared" si="354"/>
        <v>IFNG_(HUMAN)_transcript</v>
      </c>
      <c r="E2066" s="2" t="s">
        <v>72</v>
      </c>
      <c r="F2066" s="3"/>
      <c r="G2066" s="4"/>
      <c r="H2066" s="3" t="str">
        <f>HYPERLINK("https://www.cortellis.com/drugdiscovery/entity/biomarkers/28647","15-gene expression lung cancer panel")</f>
        <v>15-gene expression lung cancer panel</v>
      </c>
      <c r="I2066" s="2" t="s">
        <v>20</v>
      </c>
      <c r="J2066" s="2" t="s">
        <v>19</v>
      </c>
      <c r="K2066" s="4" t="str">
        <f>HYPERLINK("https://www.cortellis.com/drugdiscovery/result/proxy/related-content/biomarkers/genestargets/28647","interferon gamma; interleukin 15; tumor necrosis factor")</f>
        <v>interferon gamma; interleukin 15; tumor necrosis factor</v>
      </c>
    </row>
    <row r="2067" spans="1:11" ht="60" customHeight="1" x14ac:dyDescent="0.2">
      <c r="A2067" s="2">
        <v>2064</v>
      </c>
      <c r="B2067" s="3"/>
      <c r="C2067" s="3" t="str">
        <f t="shared" si="353"/>
        <v>IFNG</v>
      </c>
      <c r="D2067" s="3" t="str">
        <f t="shared" si="354"/>
        <v>IFNG_(HUMAN)_transcript</v>
      </c>
      <c r="E2067" s="2" t="s">
        <v>72</v>
      </c>
      <c r="F2067" s="3"/>
      <c r="G2067" s="4"/>
      <c r="H2067" s="3" t="str">
        <f>HYPERLINK("https://www.cortellis.com/drugdiscovery/entity/biomarkers/30768","11-protein cardiovascular panel")</f>
        <v>11-protein cardiovascular panel</v>
      </c>
      <c r="I2067" s="2" t="s">
        <v>23</v>
      </c>
      <c r="J2067" s="2" t="s">
        <v>17</v>
      </c>
      <c r="K2067" s="4" t="str">
        <f>HYPERLINK("https://www.cortellis.com/drugdiscovery/result/proxy/related-content/biomarkers/genestargets/30768","interferon gamma; interleukin 12B; tumor necrosis factor")</f>
        <v>interferon gamma; interleukin 12B; tumor necrosis factor</v>
      </c>
    </row>
    <row r="2068" spans="1:11" ht="60" customHeight="1" x14ac:dyDescent="0.2">
      <c r="A2068" s="2">
        <v>2065</v>
      </c>
      <c r="B2068" s="3"/>
      <c r="C2068" s="3" t="str">
        <f t="shared" si="353"/>
        <v>IFNG</v>
      </c>
      <c r="D2068" s="3" t="str">
        <f t="shared" si="354"/>
        <v>IFNG_(HUMAN)_transcript</v>
      </c>
      <c r="E2068" s="2" t="s">
        <v>72</v>
      </c>
      <c r="F2068" s="3"/>
      <c r="G2068" s="4"/>
      <c r="H2068" s="3" t="str">
        <f>HYPERLINK("https://www.cortellis.com/drugdiscovery/entity/biomarkers/36125","10-protein respiratory panel")</f>
        <v>10-protein respiratory panel</v>
      </c>
      <c r="I2068" s="2" t="s">
        <v>25</v>
      </c>
      <c r="J2068" s="2" t="s">
        <v>17</v>
      </c>
      <c r="K2068" s="4" t="str">
        <f>HYPERLINK("https://www.cortellis.com/drugdiscovery/result/proxy/related-content/biomarkers/genestargets/36125","interferon gamma; tumor necrosis factor")</f>
        <v>interferon gamma; tumor necrosis factor</v>
      </c>
    </row>
    <row r="2069" spans="1:11" ht="60" customHeight="1" x14ac:dyDescent="0.2">
      <c r="A2069" s="2">
        <v>2066</v>
      </c>
      <c r="B2069" s="3"/>
      <c r="C2069" s="3" t="str">
        <f t="shared" si="353"/>
        <v>IFNG</v>
      </c>
      <c r="D2069" s="3" t="str">
        <f t="shared" si="354"/>
        <v>IFNG_(HUMAN)_transcript</v>
      </c>
      <c r="E2069" s="2" t="s">
        <v>72</v>
      </c>
      <c r="F2069" s="3"/>
      <c r="G2069" s="4"/>
      <c r="H2069" s="3" t="str">
        <f>HYPERLINK("https://www.cortellis.com/drugdiscovery/entity/biomarkers/36127","3-protein respiratory panel")</f>
        <v>3-protein respiratory panel</v>
      </c>
      <c r="I2069" s="2" t="s">
        <v>25</v>
      </c>
      <c r="J2069" s="2" t="s">
        <v>17</v>
      </c>
      <c r="K2069" s="4" t="str">
        <f>HYPERLINK("https://www.cortellis.com/drugdiscovery/result/proxy/related-content/biomarkers/genestargets/36127","interferon gamma; tumor necrosis factor")</f>
        <v>interferon gamma; tumor necrosis factor</v>
      </c>
    </row>
    <row r="2070" spans="1:11" ht="60" customHeight="1" x14ac:dyDescent="0.2">
      <c r="A2070" s="2">
        <v>2067</v>
      </c>
      <c r="B2070" s="3"/>
      <c r="C2070" s="3" t="str">
        <f t="shared" si="353"/>
        <v>IFNG</v>
      </c>
      <c r="D2070" s="3" t="str">
        <f t="shared" si="354"/>
        <v>IFNG_(HUMAN)_transcript</v>
      </c>
      <c r="E2070" s="2" t="s">
        <v>72</v>
      </c>
      <c r="F2070" s="3"/>
      <c r="G2070" s="4"/>
      <c r="H2070" s="3" t="str">
        <f>HYPERLINK("https://www.cortellis.com/drugdiscovery/entity/biomarkers/41847","12-protein cardiovascular disorder panel")</f>
        <v>12-protein cardiovascular disorder panel</v>
      </c>
      <c r="I2070" s="2" t="s">
        <v>18</v>
      </c>
      <c r="J2070" s="2" t="s">
        <v>17</v>
      </c>
      <c r="K2070" s="4" t="str">
        <f>HYPERLINK("https://www.cortellis.com/drugdiscovery/result/proxy/related-content/biomarkers/genestargets/41847","interferon gamma")</f>
        <v>interferon gamma</v>
      </c>
    </row>
    <row r="2071" spans="1:11" ht="60" customHeight="1" x14ac:dyDescent="0.2">
      <c r="A2071" s="2">
        <v>2068</v>
      </c>
      <c r="B2071" s="3"/>
      <c r="C2071" s="3" t="str">
        <f t="shared" si="353"/>
        <v>IFNG</v>
      </c>
      <c r="D2071" s="3" t="str">
        <f t="shared" si="354"/>
        <v>IFNG_(HUMAN)_transcript</v>
      </c>
      <c r="E2071" s="2" t="s">
        <v>72</v>
      </c>
      <c r="F2071" s="3"/>
      <c r="G2071" s="4"/>
      <c r="H2071" s="3" t="str">
        <f>HYPERLINK("https://www.cortellis.com/drugdiscovery/entity/biomarkers/41989","6-protein rheumatoid arthritis panel")</f>
        <v>6-protein rheumatoid arthritis panel</v>
      </c>
      <c r="I2071" s="2" t="s">
        <v>23</v>
      </c>
      <c r="J2071" s="2" t="s">
        <v>17</v>
      </c>
      <c r="K2071" s="4" t="str">
        <f>HYPERLINK("https://www.cortellis.com/drugdiscovery/result/proxy/related-content/biomarkers/genestargets/41989","interferon gamma")</f>
        <v>interferon gamma</v>
      </c>
    </row>
    <row r="2072" spans="1:11" ht="60" customHeight="1" x14ac:dyDescent="0.2">
      <c r="A2072" s="2">
        <v>2069</v>
      </c>
      <c r="B2072" s="3"/>
      <c r="C2072" s="3" t="str">
        <f t="shared" si="353"/>
        <v>IFNG</v>
      </c>
      <c r="D2072" s="3" t="str">
        <f t="shared" si="354"/>
        <v>IFNG_(HUMAN)_transcript</v>
      </c>
      <c r="E2072" s="2" t="s">
        <v>72</v>
      </c>
      <c r="F2072" s="3"/>
      <c r="G2072" s="4"/>
      <c r="H2072" s="3" t="str">
        <f>HYPERLINK("https://www.cortellis.com/drugdiscovery/entity/biomarkers/49177","10-gene expression melanoma panel")</f>
        <v>10-gene expression melanoma panel</v>
      </c>
      <c r="I2072" s="2" t="s">
        <v>18</v>
      </c>
      <c r="J2072" s="2" t="s">
        <v>19</v>
      </c>
      <c r="K2072" s="4" t="str">
        <f>HYPERLINK("https://www.cortellis.com/drugdiscovery/result/proxy/related-content/biomarkers/genestargets/49177","interferon gamma")</f>
        <v>interferon gamma</v>
      </c>
    </row>
    <row r="2073" spans="1:11" ht="60" customHeight="1" x14ac:dyDescent="0.2">
      <c r="A2073" s="2">
        <v>2070</v>
      </c>
      <c r="B2073" s="3"/>
      <c r="C2073" s="3" t="str">
        <f t="shared" si="353"/>
        <v>IFNG</v>
      </c>
      <c r="D2073" s="3" t="str">
        <f t="shared" si="354"/>
        <v>IFNG_(HUMAN)_transcript</v>
      </c>
      <c r="E2073" s="2" t="s">
        <v>72</v>
      </c>
      <c r="F2073" s="3"/>
      <c r="G2073" s="4"/>
      <c r="H2073" s="3" t="str">
        <f>HYPERLINK("https://www.cortellis.com/drugdiscovery/entity/biomarkers/50658","6-protein expression pulmonary tuberculosis panel")</f>
        <v>6-protein expression pulmonary tuberculosis panel</v>
      </c>
      <c r="I2073" s="2" t="s">
        <v>23</v>
      </c>
      <c r="J2073" s="2" t="s">
        <v>17</v>
      </c>
      <c r="K2073" s="4" t="str">
        <f>HYPERLINK("https://www.cortellis.com/drugdiscovery/result/proxy/related-content/biomarkers/genestargets/50658","interferon gamma")</f>
        <v>interferon gamma</v>
      </c>
    </row>
    <row r="2074" spans="1:11" ht="60" customHeight="1" x14ac:dyDescent="0.2">
      <c r="A2074" s="2">
        <v>2071</v>
      </c>
      <c r="B2074" s="3"/>
      <c r="C2074" s="3" t="str">
        <f t="shared" si="353"/>
        <v>IFNG</v>
      </c>
      <c r="D2074" s="3" t="str">
        <f t="shared" si="354"/>
        <v>IFNG_(HUMAN)_transcript</v>
      </c>
      <c r="E2074" s="2" t="s">
        <v>72</v>
      </c>
      <c r="F2074" s="3"/>
      <c r="G2074" s="4"/>
      <c r="H2074" s="3" t="str">
        <f>HYPERLINK("https://www.cortellis.com/drugdiscovery/entity/biomarkers/50816","10-gene lyme disease panel")</f>
        <v>10-gene lyme disease panel</v>
      </c>
      <c r="I2074" s="2" t="s">
        <v>23</v>
      </c>
      <c r="J2074" s="2" t="s">
        <v>15</v>
      </c>
      <c r="K2074" s="4" t="str">
        <f>HYPERLINK("https://www.cortellis.com/drugdiscovery/result/proxy/related-content/biomarkers/genestargets/50816","C-C motif chemokine ligand 2; interferon gamma; tumor necrosis factor")</f>
        <v>C-C motif chemokine ligand 2; interferon gamma; tumor necrosis factor</v>
      </c>
    </row>
    <row r="2075" spans="1:11" ht="60" customHeight="1" x14ac:dyDescent="0.2">
      <c r="A2075" s="2">
        <v>2072</v>
      </c>
      <c r="B2075" s="3"/>
      <c r="C2075" s="3" t="str">
        <f t="shared" si="353"/>
        <v>IFNG</v>
      </c>
      <c r="D2075" s="3" t="str">
        <f t="shared" si="354"/>
        <v>IFNG_(HUMAN)_transcript</v>
      </c>
      <c r="E2075" s="2" t="s">
        <v>72</v>
      </c>
      <c r="F2075" s="3"/>
      <c r="G2075" s="4"/>
      <c r="H2075" s="3" t="str">
        <f>HYPERLINK("https://www.cortellis.com/drugdiscovery/entity/biomarkers/50817","11-gene lyme disease panel")</f>
        <v>11-gene lyme disease panel</v>
      </c>
      <c r="I2075" s="2" t="s">
        <v>23</v>
      </c>
      <c r="J2075" s="2" t="s">
        <v>15</v>
      </c>
      <c r="K2075" s="4" t="str">
        <f>HYPERLINK("https://www.cortellis.com/drugdiscovery/result/proxy/related-content/biomarkers/genestargets/50817","C-C motif chemokine ligand 2; interferon gamma; tumor necrosis factor")</f>
        <v>C-C motif chemokine ligand 2; interferon gamma; tumor necrosis factor</v>
      </c>
    </row>
    <row r="2076" spans="1:11" ht="60" customHeight="1" x14ac:dyDescent="0.2">
      <c r="A2076" s="2">
        <v>2073</v>
      </c>
      <c r="B2076" s="3"/>
      <c r="C2076" s="3" t="str">
        <f t="shared" si="353"/>
        <v>IFNG</v>
      </c>
      <c r="D2076" s="3" t="str">
        <f t="shared" si="354"/>
        <v>IFNG_(HUMAN)_transcript</v>
      </c>
      <c r="E2076" s="2" t="s">
        <v>72</v>
      </c>
      <c r="F2076" s="3"/>
      <c r="G2076" s="4"/>
      <c r="H2076" s="3" t="str">
        <f>HYPERLINK("https://www.cortellis.com/drugdiscovery/entity/biomarkers/50818","12 protein Lyme disease panel")</f>
        <v>12 protein Lyme disease panel</v>
      </c>
      <c r="I2076" s="2" t="s">
        <v>23</v>
      </c>
      <c r="J2076" s="2" t="s">
        <v>17</v>
      </c>
      <c r="K2076" s="4" t="str">
        <f>HYPERLINK("https://www.cortellis.com/drugdiscovery/result/proxy/related-content/biomarkers/genestargets/50818","C-C motif chemokine ligand 2; interferon gamma; tumor necrosis factor")</f>
        <v>C-C motif chemokine ligand 2; interferon gamma; tumor necrosis factor</v>
      </c>
    </row>
    <row r="2077" spans="1:11" ht="60" customHeight="1" x14ac:dyDescent="0.2">
      <c r="A2077" s="2">
        <v>2074</v>
      </c>
      <c r="B2077" s="3"/>
      <c r="C2077" s="3" t="str">
        <f t="shared" si="353"/>
        <v>IFNG</v>
      </c>
      <c r="D2077" s="3" t="str">
        <f t="shared" si="354"/>
        <v>IFNG_(HUMAN)_transcript</v>
      </c>
      <c r="E2077" s="2" t="s">
        <v>72</v>
      </c>
      <c r="F2077" s="3"/>
      <c r="G2077" s="4"/>
      <c r="H2077" s="3" t="str">
        <f>HYPERLINK("https://www.cortellis.com/drugdiscovery/entity/biomarkers/50819","6-protein Lyme disease panel")</f>
        <v>6-protein Lyme disease panel</v>
      </c>
      <c r="I2077" s="2" t="s">
        <v>23</v>
      </c>
      <c r="J2077" s="2" t="s">
        <v>17</v>
      </c>
      <c r="K2077" s="4" t="str">
        <f>HYPERLINK("https://www.cortellis.com/drugdiscovery/result/proxy/related-content/biomarkers/genestargets/50819","interferon gamma")</f>
        <v>interferon gamma</v>
      </c>
    </row>
    <row r="2078" spans="1:11" ht="60" customHeight="1" x14ac:dyDescent="0.2">
      <c r="A2078" s="2">
        <v>2075</v>
      </c>
      <c r="B2078" s="3"/>
      <c r="C2078" s="3" t="str">
        <f t="shared" si="353"/>
        <v>IFNG</v>
      </c>
      <c r="D2078" s="3" t="str">
        <f t="shared" si="354"/>
        <v>IFNG_(HUMAN)_transcript</v>
      </c>
      <c r="E2078" s="2" t="s">
        <v>72</v>
      </c>
      <c r="F2078" s="3"/>
      <c r="G2078" s="4"/>
      <c r="H2078" s="3" t="str">
        <f>HYPERLINK("https://www.cortellis.com/drugdiscovery/entity/biomarkers/52877","6-gene expression head and neck squamous cell carcinoma")</f>
        <v>6-gene expression head and neck squamous cell carcinoma</v>
      </c>
      <c r="I2078" s="2" t="s">
        <v>18</v>
      </c>
      <c r="J2078" s="2" t="s">
        <v>15</v>
      </c>
      <c r="K2078" s="4" t="str">
        <f>HYPERLINK("https://www.cortellis.com/drugdiscovery/result/proxy/related-content/biomarkers/genestargets/52877","interferon gamma")</f>
        <v>interferon gamma</v>
      </c>
    </row>
    <row r="2079" spans="1:11" ht="60" customHeight="1" x14ac:dyDescent="0.2">
      <c r="A2079" s="2">
        <v>2076</v>
      </c>
      <c r="B2079" s="3"/>
      <c r="C2079" s="3" t="str">
        <f t="shared" si="353"/>
        <v>IFNG</v>
      </c>
      <c r="D2079" s="3" t="str">
        <f t="shared" si="354"/>
        <v>IFNG_(HUMAN)_transcript</v>
      </c>
      <c r="E2079" s="2" t="s">
        <v>72</v>
      </c>
      <c r="F2079" s="3"/>
      <c r="G2079" s="4"/>
      <c r="H2079" s="3" t="str">
        <f>HYPERLINK("https://www.cortellis.com/drugdiscovery/entity/biomarkers/53411","8-gene expression cancer panel")</f>
        <v>8-gene expression cancer panel</v>
      </c>
      <c r="I2079" s="2" t="s">
        <v>23</v>
      </c>
      <c r="J2079" s="2" t="s">
        <v>15</v>
      </c>
      <c r="K2079" s="4" t="str">
        <f>HYPERLINK("https://www.cortellis.com/drugdiscovery/result/proxy/related-content/biomarkers/genestargets/53411","CD69 molecule; interferon gamma")</f>
        <v>CD69 molecule; interferon gamma</v>
      </c>
    </row>
    <row r="2080" spans="1:11" ht="60" customHeight="1" x14ac:dyDescent="0.2">
      <c r="A2080" s="2">
        <v>2077</v>
      </c>
      <c r="B2080" s="3"/>
      <c r="C2080" s="3" t="str">
        <f t="shared" si="353"/>
        <v>IFNG</v>
      </c>
      <c r="D2080" s="3" t="str">
        <f t="shared" si="354"/>
        <v>IFNG_(HUMAN)_transcript</v>
      </c>
      <c r="E2080" s="2" t="s">
        <v>72</v>
      </c>
      <c r="F2080" s="3"/>
      <c r="G2080" s="4"/>
      <c r="H2080" s="3" t="str">
        <f>HYPERLINK("https://www.cortellis.com/drugdiscovery/entity/biomarkers/53694","6-gene expression melanoma panel")</f>
        <v>6-gene expression melanoma panel</v>
      </c>
      <c r="I2080" s="2" t="s">
        <v>18</v>
      </c>
      <c r="J2080" s="2" t="s">
        <v>19</v>
      </c>
      <c r="K2080" s="4" t="str">
        <f>HYPERLINK("https://www.cortellis.com/drugdiscovery/result/proxy/related-content/biomarkers/genestargets/53694","interferon gamma")</f>
        <v>interferon gamma</v>
      </c>
    </row>
    <row r="2081" spans="1:11" ht="60" customHeight="1" x14ac:dyDescent="0.2">
      <c r="A2081" s="2">
        <v>2078</v>
      </c>
      <c r="B2081" s="3"/>
      <c r="C2081" s="3" t="str">
        <f t="shared" si="353"/>
        <v>IFNG</v>
      </c>
      <c r="D2081" s="3" t="str">
        <f t="shared" si="354"/>
        <v>IFNG_(HUMAN)_transcript</v>
      </c>
      <c r="E2081" s="2" t="s">
        <v>72</v>
      </c>
      <c r="F2081" s="3"/>
      <c r="G2081" s="4"/>
      <c r="H2081" s="3" t="str">
        <f>HYPERLINK("https://www.cortellis.com/drugdiscovery/entity/biomarkers/54921","7-protein expression pulmonary tuberculosis panel ")</f>
        <v xml:space="preserve">7-protein expression pulmonary tuberculosis panel </v>
      </c>
      <c r="I2081" s="2" t="s">
        <v>23</v>
      </c>
      <c r="J2081" s="2" t="s">
        <v>17</v>
      </c>
      <c r="K2081" s="4" t="str">
        <f>HYPERLINK("https://www.cortellis.com/drugdiscovery/result/proxy/related-content/biomarkers/genestargets/54921","interferon gamma")</f>
        <v>interferon gamma</v>
      </c>
    </row>
    <row r="2082" spans="1:11" ht="60" customHeight="1" x14ac:dyDescent="0.2">
      <c r="A2082" s="2">
        <v>2079</v>
      </c>
      <c r="B2082" s="3"/>
      <c r="C2082" s="3" t="str">
        <f t="shared" si="353"/>
        <v>IFNG</v>
      </c>
      <c r="D2082" s="3" t="str">
        <f t="shared" si="354"/>
        <v>IFNG_(HUMAN)_transcript</v>
      </c>
      <c r="E2082" s="2" t="s">
        <v>72</v>
      </c>
      <c r="F2082" s="3"/>
      <c r="G2082" s="4"/>
      <c r="H2082" s="3" t="str">
        <f>HYPERLINK("https://www.cortellis.com/drugdiscovery/entity/biomarkers/55724","4-gene expression non small cell lung cancer panel")</f>
        <v>4-gene expression non small cell lung cancer panel</v>
      </c>
      <c r="I2082" s="2" t="s">
        <v>18</v>
      </c>
      <c r="J2082" s="2" t="s">
        <v>19</v>
      </c>
      <c r="K2082" s="4" t="str">
        <f>HYPERLINK("https://www.cortellis.com/drugdiscovery/result/proxy/related-content/biomarkers/genestargets/55724","CD274 molecule; interferon gamma")</f>
        <v>CD274 molecule; interferon gamma</v>
      </c>
    </row>
    <row r="2083" spans="1:11" ht="60" customHeight="1" x14ac:dyDescent="0.2">
      <c r="A2083" s="2">
        <v>2080</v>
      </c>
      <c r="B2083" s="3"/>
      <c r="C2083" s="3" t="str">
        <f t="shared" si="353"/>
        <v>IFNG</v>
      </c>
      <c r="D2083" s="3" t="str">
        <f t="shared" si="354"/>
        <v>IFNG_(HUMAN)_transcript</v>
      </c>
      <c r="E2083" s="2" t="s">
        <v>72</v>
      </c>
      <c r="F2083" s="3"/>
      <c r="G2083" s="4"/>
      <c r="H2083" s="3" t="str">
        <f>HYPERLINK("https://www.cortellis.com/drugdiscovery/entity/biomarkers/57250","9-protein non-muscle invasive bladder cancer panel")</f>
        <v>9-protein non-muscle invasive bladder cancer panel</v>
      </c>
      <c r="I2083" s="2" t="s">
        <v>18</v>
      </c>
      <c r="J2083" s="2" t="s">
        <v>17</v>
      </c>
      <c r="K2083" s="4" t="str">
        <f>HYPERLINK("https://www.cortellis.com/drugdiscovery/result/proxy/related-content/biomarkers/genestargets/57250","interferon gamma; interleukin 12B; tumor necrosis factor")</f>
        <v>interferon gamma; interleukin 12B; tumor necrosis factor</v>
      </c>
    </row>
    <row r="2084" spans="1:11" ht="60" customHeight="1" x14ac:dyDescent="0.2">
      <c r="A2084" s="2">
        <v>2081</v>
      </c>
      <c r="B2084" s="3"/>
      <c r="C2084" s="3" t="str">
        <f t="shared" si="353"/>
        <v>IFNG</v>
      </c>
      <c r="D2084" s="3" t="str">
        <f t="shared" si="354"/>
        <v>IFNG_(HUMAN)_transcript</v>
      </c>
      <c r="E2084" s="2" t="s">
        <v>72</v>
      </c>
      <c r="F2084" s="3"/>
      <c r="G2084" s="4"/>
      <c r="H2084" s="3" t="str">
        <f>HYPERLINK("https://www.cortellis.com/drugdiscovery/entity/biomarkers/58056","28-gene expression melanoma panel")</f>
        <v>28-gene expression melanoma panel</v>
      </c>
      <c r="I2084" s="2" t="s">
        <v>18</v>
      </c>
      <c r="J2084" s="2" t="s">
        <v>19</v>
      </c>
      <c r="K2084" s="4" t="str">
        <f>HYPERLINK("https://www.cortellis.com/drugdiscovery/result/proxy/related-content/biomarkers/genestargets/58056","interferon gamma; protein tyrosine phosphatase receptor type C")</f>
        <v>interferon gamma; protein tyrosine phosphatase receptor type C</v>
      </c>
    </row>
    <row r="2085" spans="1:11" ht="60" customHeight="1" x14ac:dyDescent="0.2">
      <c r="A2085" s="2">
        <v>2082</v>
      </c>
      <c r="B2085" s="3"/>
      <c r="C2085" s="3" t="str">
        <f t="shared" si="353"/>
        <v>IFNG</v>
      </c>
      <c r="D2085" s="3" t="str">
        <f t="shared" si="354"/>
        <v>IFNG_(HUMAN)_transcript</v>
      </c>
      <c r="E2085" s="2" t="s">
        <v>72</v>
      </c>
      <c r="F2085" s="3"/>
      <c r="G2085" s="4"/>
      <c r="H2085" s="3" t="str">
        <f>HYPERLINK("https://www.cortellis.com/drugdiscovery/entity/biomarkers/60578","4-gene expression lung cancer panel")</f>
        <v>4-gene expression lung cancer panel</v>
      </c>
      <c r="I2085" s="2" t="s">
        <v>46</v>
      </c>
      <c r="J2085" s="2" t="s">
        <v>15</v>
      </c>
      <c r="K2085" s="4" t="str">
        <f>HYPERLINK("https://www.cortellis.com/drugdiscovery/result/proxy/related-content/biomarkers/genestargets/60578","CD274 molecule; interferon gamma")</f>
        <v>CD274 molecule; interferon gamma</v>
      </c>
    </row>
    <row r="2086" spans="1:11" ht="60" customHeight="1" x14ac:dyDescent="0.2">
      <c r="A2086" s="2">
        <v>2083</v>
      </c>
      <c r="B2086" s="3"/>
      <c r="C2086" s="3" t="str">
        <f t="shared" si="353"/>
        <v>IFNG</v>
      </c>
      <c r="D2086" s="3" t="str">
        <f t="shared" si="354"/>
        <v>IFNG_(HUMAN)_transcript</v>
      </c>
      <c r="E2086" s="2" t="s">
        <v>72</v>
      </c>
      <c r="F2086" s="3"/>
      <c r="G2086" s="4"/>
      <c r="H2086" s="3" t="str">
        <f>HYPERLINK("https://www.cortellis.com/drugdiscovery/entity/biomarkers/61602","DYRK2-IFNG fusion protein")</f>
        <v>DYRK2-IFNG fusion protein</v>
      </c>
      <c r="I2086" s="2" t="s">
        <v>34</v>
      </c>
      <c r="J2086" s="2" t="s">
        <v>15</v>
      </c>
      <c r="K2086" s="4" t="str">
        <f>HYPERLINK("https://www.cortellis.com/drugdiscovery/result/proxy/related-content/biomarkers/genestargets/61602","interferon gamma")</f>
        <v>interferon gamma</v>
      </c>
    </row>
    <row r="2087" spans="1:11" ht="60" customHeight="1" x14ac:dyDescent="0.2">
      <c r="A2087" s="2">
        <v>2084</v>
      </c>
      <c r="B2087" s="3"/>
      <c r="C2087" s="3" t="str">
        <f t="shared" si="353"/>
        <v>IFNG</v>
      </c>
      <c r="D2087" s="3" t="str">
        <f t="shared" si="354"/>
        <v>IFNG_(HUMAN)_transcript</v>
      </c>
      <c r="E2087" s="2" t="s">
        <v>72</v>
      </c>
      <c r="F2087" s="3"/>
      <c r="G2087" s="4"/>
      <c r="H2087" s="3" t="str">
        <f>HYPERLINK("https://www.cortellis.com/drugdiscovery/entity/biomarkers/62663","9-protein immunological disorders panel")</f>
        <v>9-protein immunological disorders panel</v>
      </c>
      <c r="I2087" s="2" t="s">
        <v>24</v>
      </c>
      <c r="J2087" s="2" t="s">
        <v>17</v>
      </c>
      <c r="K2087" s="4" t="str">
        <f>HYPERLINK("https://www.cortellis.com/drugdiscovery/result/proxy/related-content/biomarkers/genestargets/62663","C-C motif chemokine ligand 2; interferon gamma; tumor necrosis factor")</f>
        <v>C-C motif chemokine ligand 2; interferon gamma; tumor necrosis factor</v>
      </c>
    </row>
    <row r="2088" spans="1:11" ht="60" customHeight="1" x14ac:dyDescent="0.2">
      <c r="A2088" s="2">
        <v>2085</v>
      </c>
      <c r="B2088" s="3"/>
      <c r="C2088" s="3" t="str">
        <f t="shared" si="353"/>
        <v>IFNG</v>
      </c>
      <c r="D2088" s="3" t="str">
        <f t="shared" si="354"/>
        <v>IFNG_(HUMAN)_transcript</v>
      </c>
      <c r="E2088" s="2" t="s">
        <v>72</v>
      </c>
      <c r="F2088" s="3"/>
      <c r="G2088" s="4"/>
      <c r="H2088" s="3" t="str">
        <f>HYPERLINK("https://www.cortellis.com/drugdiscovery/entity/biomarkers/62680","4-gene expression stomach cancer panel")</f>
        <v>4-gene expression stomach cancer panel</v>
      </c>
      <c r="I2088" s="2" t="s">
        <v>24</v>
      </c>
      <c r="J2088" s="2" t="s">
        <v>19</v>
      </c>
      <c r="K2088" s="4" t="str">
        <f>HYPERLINK("https://www.cortellis.com/drugdiscovery/result/proxy/related-content/biomarkers/genestargets/62680","CD274 molecule; interferon gamma")</f>
        <v>CD274 molecule; interferon gamma</v>
      </c>
    </row>
    <row r="2089" spans="1:11" ht="60" customHeight="1" x14ac:dyDescent="0.2">
      <c r="A2089" s="2">
        <v>2086</v>
      </c>
      <c r="B2089" s="3"/>
      <c r="C2089" s="3" t="str">
        <f t="shared" si="353"/>
        <v>IFNG</v>
      </c>
      <c r="D2089" s="3" t="str">
        <f t="shared" si="354"/>
        <v>IFNG_(HUMAN)_transcript</v>
      </c>
      <c r="E2089" s="2" t="s">
        <v>72</v>
      </c>
      <c r="F2089" s="3"/>
      <c r="G2089" s="4"/>
      <c r="H2089" s="3" t="str">
        <f>HYPERLINK("https://www.cortellis.com/drugdiscovery/entity/biomarkers/63914","5-gene expression melanoma panel")</f>
        <v>5-gene expression melanoma panel</v>
      </c>
      <c r="I2089" s="2" t="s">
        <v>18</v>
      </c>
      <c r="J2089" s="2" t="s">
        <v>19</v>
      </c>
      <c r="K2089" s="4" t="str">
        <f>HYPERLINK("https://www.cortellis.com/drugdiscovery/result/proxy/related-content/biomarkers/genestargets/63914","interferon gamma")</f>
        <v>interferon gamma</v>
      </c>
    </row>
    <row r="2090" spans="1:11" ht="60" customHeight="1" x14ac:dyDescent="0.2">
      <c r="A2090" s="2">
        <v>2087</v>
      </c>
      <c r="B2090" s="3"/>
      <c r="C2090" s="3" t="str">
        <f t="shared" si="353"/>
        <v>IFNG</v>
      </c>
      <c r="D2090" s="3" t="str">
        <f t="shared" si="354"/>
        <v>IFNG_(HUMAN)_transcript</v>
      </c>
      <c r="E2090" s="2" t="s">
        <v>72</v>
      </c>
      <c r="F2090" s="3"/>
      <c r="G2090" s="4"/>
      <c r="H2090" s="3" t="str">
        <f>HYPERLINK("https://www.cortellis.com/drugdiscovery/entity/biomarkers/64861","35-gene expresssion cancer panel")</f>
        <v>35-gene expresssion cancer panel</v>
      </c>
      <c r="I2090" s="2" t="s">
        <v>38</v>
      </c>
      <c r="J2090" s="2" t="s">
        <v>15</v>
      </c>
      <c r="K2090" s="4" t="str">
        <f>HYPERLINK("https://www.cortellis.com/drugdiscovery/result/proxy/related-content/biomarkers/genestargets/64861","CD274 molecule; CD69 molecule; interferon gamma")</f>
        <v>CD274 molecule; CD69 molecule; interferon gamma</v>
      </c>
    </row>
    <row r="2091" spans="1:11" ht="60" customHeight="1" x14ac:dyDescent="0.2">
      <c r="A2091" s="2">
        <v>2088</v>
      </c>
      <c r="B2091" s="3"/>
      <c r="C2091" s="3" t="str">
        <f t="shared" ref="C2091:C2099" si="355">HYPERLINK("https://portal.genego.com/cgi/entity_page.cgi?term=20&amp;id=-363217819","IFNGR1")</f>
        <v>IFNGR1</v>
      </c>
      <c r="D2091" s="3" t="str">
        <f t="shared" ref="D2091:D2099" si="356">HYPERLINK("https://portal.genego.com/cgi/entity_page.cgi?term=7&amp;id=-969165435","IFNGR1_(HUMAN)_transcript")</f>
        <v>IFNGR1_(HUMAN)_transcript</v>
      </c>
      <c r="E2091" s="2" t="s">
        <v>72</v>
      </c>
      <c r="F2091" s="3"/>
      <c r="G2091" s="4"/>
      <c r="H2091" s="3" t="str">
        <f>HYPERLINK("https://www.cortellis.com/drugdiscovery/entity/biomarkers/2268","Interferon-gamma receptor alpha chain")</f>
        <v>Interferon-gamma receptor alpha chain</v>
      </c>
      <c r="I2091" s="2" t="s">
        <v>47</v>
      </c>
      <c r="J2091" s="2" t="s">
        <v>15</v>
      </c>
      <c r="K2091" s="4" t="str">
        <f>HYPERLINK("https://www.cortellis.com/drugdiscovery/result/proxy/related-content/biomarkers/genestargets/2268","interferon gamma receptor 1")</f>
        <v>interferon gamma receptor 1</v>
      </c>
    </row>
    <row r="2092" spans="1:11" ht="60" customHeight="1" x14ac:dyDescent="0.2">
      <c r="A2092" s="2">
        <v>2089</v>
      </c>
      <c r="B2092" s="3"/>
      <c r="C2092" s="3" t="str">
        <f t="shared" si="355"/>
        <v>IFNGR1</v>
      </c>
      <c r="D2092" s="3" t="str">
        <f t="shared" si="356"/>
        <v>IFNGR1_(HUMAN)_transcript</v>
      </c>
      <c r="E2092" s="2" t="s">
        <v>72</v>
      </c>
      <c r="F2092" s="3"/>
      <c r="G2092" s="4"/>
      <c r="H2092" s="3" t="str">
        <f>HYPERLINK("https://www.cortellis.com/drugdiscovery/entity/biomarkers/35078","23-gene expression cancer panel")</f>
        <v>23-gene expression cancer panel</v>
      </c>
      <c r="I2092" s="2" t="s">
        <v>25</v>
      </c>
      <c r="J2092" s="2" t="s">
        <v>19</v>
      </c>
      <c r="K2092" s="4" t="str">
        <f>HYPERLINK("https://www.cortellis.com/drugdiscovery/result/proxy/related-content/biomarkers/genestargets/35078","interferon gamma receptor 1")</f>
        <v>interferon gamma receptor 1</v>
      </c>
    </row>
    <row r="2093" spans="1:11" ht="60" customHeight="1" x14ac:dyDescent="0.2">
      <c r="A2093" s="2">
        <v>2090</v>
      </c>
      <c r="B2093" s="3"/>
      <c r="C2093" s="3" t="str">
        <f t="shared" si="355"/>
        <v>IFNGR1</v>
      </c>
      <c r="D2093" s="3" t="str">
        <f t="shared" si="356"/>
        <v>IFNGR1_(HUMAN)_transcript</v>
      </c>
      <c r="E2093" s="2" t="s">
        <v>72</v>
      </c>
      <c r="F2093" s="3"/>
      <c r="G2093" s="4"/>
      <c r="H2093" s="3" t="str">
        <f>HYPERLINK("https://www.cortellis.com/drugdiscovery/entity/biomarkers/39117","71-gene expression cancer panel")</f>
        <v>71-gene expression cancer panel</v>
      </c>
      <c r="I2093" s="2" t="s">
        <v>18</v>
      </c>
      <c r="J2093" s="2" t="s">
        <v>19</v>
      </c>
      <c r="K2093" s="4" t="str">
        <f>HYPERLINK("https://www.cortellis.com/drugdiscovery/result/proxy/related-content/biomarkers/genestargets/39117","interferon gamma receptor 1")</f>
        <v>interferon gamma receptor 1</v>
      </c>
    </row>
    <row r="2094" spans="1:11" ht="60" customHeight="1" x14ac:dyDescent="0.2">
      <c r="A2094" s="2">
        <v>2091</v>
      </c>
      <c r="B2094" s="3"/>
      <c r="C2094" s="3" t="str">
        <f t="shared" si="355"/>
        <v>IFNGR1</v>
      </c>
      <c r="D2094" s="3" t="str">
        <f t="shared" si="356"/>
        <v>IFNGR1_(HUMAN)_transcript</v>
      </c>
      <c r="E2094" s="2" t="s">
        <v>72</v>
      </c>
      <c r="F2094" s="3"/>
      <c r="G2094" s="4"/>
      <c r="H2094" s="3" t="str">
        <f>HYPERLINK("https://www.cortellis.com/drugdiscovery/entity/biomarkers/43633","5-gene expression renal and cardiac allograft rejection panel")</f>
        <v>5-gene expression renal and cardiac allograft rejection panel</v>
      </c>
      <c r="I2094" s="2" t="s">
        <v>48</v>
      </c>
      <c r="J2094" s="2" t="s">
        <v>19</v>
      </c>
      <c r="K2094" s="4" t="str">
        <f>HYPERLINK("https://www.cortellis.com/drugdiscovery/result/proxy/related-content/biomarkers/genestargets/43633","interferon gamma receptor 1")</f>
        <v>interferon gamma receptor 1</v>
      </c>
    </row>
    <row r="2095" spans="1:11" ht="60" customHeight="1" x14ac:dyDescent="0.2">
      <c r="A2095" s="2">
        <v>2092</v>
      </c>
      <c r="B2095" s="3"/>
      <c r="C2095" s="3" t="str">
        <f t="shared" si="355"/>
        <v>IFNGR1</v>
      </c>
      <c r="D2095" s="3" t="str">
        <f t="shared" si="356"/>
        <v>IFNGR1_(HUMAN)_transcript</v>
      </c>
      <c r="E2095" s="2" t="s">
        <v>72</v>
      </c>
      <c r="F2095" s="3"/>
      <c r="G2095" s="4"/>
      <c r="H2095" s="3" t="str">
        <f>HYPERLINK("https://www.cortellis.com/drugdiscovery/entity/biomarkers/45605","53-gene expression melanoma panel")</f>
        <v>53-gene expression melanoma panel</v>
      </c>
      <c r="I2095" s="2" t="s">
        <v>25</v>
      </c>
      <c r="J2095" s="2" t="s">
        <v>19</v>
      </c>
      <c r="K2095"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2096" spans="1:11" ht="60" customHeight="1" x14ac:dyDescent="0.2">
      <c r="A2096" s="2">
        <v>2093</v>
      </c>
      <c r="B2096" s="3"/>
      <c r="C2096" s="3" t="str">
        <f t="shared" si="355"/>
        <v>IFNGR1</v>
      </c>
      <c r="D2096" s="3" t="str">
        <f t="shared" si="356"/>
        <v>IFNGR1_(HUMAN)_transcript</v>
      </c>
      <c r="E2096" s="2" t="s">
        <v>72</v>
      </c>
      <c r="F2096" s="3"/>
      <c r="G2096" s="4"/>
      <c r="H2096" s="3" t="str">
        <f>HYPERLINK("https://www.cortellis.com/drugdiscovery/entity/biomarkers/45788","17-gene expression acute rejection panel")</f>
        <v>17-gene expression acute rejection panel</v>
      </c>
      <c r="I2096" s="2" t="s">
        <v>49</v>
      </c>
      <c r="J2096" s="2" t="s">
        <v>19</v>
      </c>
      <c r="K2096" s="4" t="str">
        <f>HYPERLINK("https://www.cortellis.com/drugdiscovery/result/proxy/related-content/biomarkers/genestargets/45788","interferon gamma receptor 1")</f>
        <v>interferon gamma receptor 1</v>
      </c>
    </row>
    <row r="2097" spans="1:11" ht="60" customHeight="1" x14ac:dyDescent="0.2">
      <c r="A2097" s="2">
        <v>2094</v>
      </c>
      <c r="B2097" s="3"/>
      <c r="C2097" s="3" t="str">
        <f t="shared" si="355"/>
        <v>IFNGR1</v>
      </c>
      <c r="D2097" s="3" t="str">
        <f t="shared" si="356"/>
        <v>IFNGR1_(HUMAN)_transcript</v>
      </c>
      <c r="E2097" s="2" t="s">
        <v>72</v>
      </c>
      <c r="F2097" s="3"/>
      <c r="G2097" s="4"/>
      <c r="H2097" s="3" t="str">
        <f>HYPERLINK("https://www.cortellis.com/drugdiscovery/entity/biomarkers/47288","5-gene expression acute rejection panel")</f>
        <v>5-gene expression acute rejection panel</v>
      </c>
      <c r="I2097" s="2" t="s">
        <v>23</v>
      </c>
      <c r="J2097" s="2" t="s">
        <v>19</v>
      </c>
      <c r="K2097" s="4" t="str">
        <f>HYPERLINK("https://www.cortellis.com/drugdiscovery/result/proxy/related-content/biomarkers/genestargets/47288","interferon gamma receptor 1")</f>
        <v>interferon gamma receptor 1</v>
      </c>
    </row>
    <row r="2098" spans="1:11" ht="60" customHeight="1" x14ac:dyDescent="0.2">
      <c r="A2098" s="2">
        <v>2095</v>
      </c>
      <c r="B2098" s="3"/>
      <c r="C2098" s="3" t="str">
        <f t="shared" si="355"/>
        <v>IFNGR1</v>
      </c>
      <c r="D2098" s="3" t="str">
        <f t="shared" si="356"/>
        <v>IFNGR1_(HUMAN)_transcript</v>
      </c>
      <c r="E2098" s="2" t="s">
        <v>72</v>
      </c>
      <c r="F2098" s="3"/>
      <c r="G2098" s="4"/>
      <c r="H2098" s="3" t="str">
        <f>HYPERLINK("https://www.cortellis.com/drugdiscovery/entity/biomarkers/62759","92-gene polymorphism ovary and female reproductive tract disorder panel")</f>
        <v>92-gene polymorphism ovary and female reproductive tract disorder panel</v>
      </c>
      <c r="I2098" s="2" t="s">
        <v>29</v>
      </c>
      <c r="J2098" s="2" t="s">
        <v>19</v>
      </c>
      <c r="K2098" s="4" t="str">
        <f>HYPERLINK("https://www.cortellis.com/drugdiscovery/result/proxy/related-content/biomarkers/genestargets/62759","interferon gamma receptor 1")</f>
        <v>interferon gamma receptor 1</v>
      </c>
    </row>
    <row r="2099" spans="1:11" ht="60" customHeight="1" x14ac:dyDescent="0.2">
      <c r="A2099" s="2">
        <v>2096</v>
      </c>
      <c r="B2099" s="3"/>
      <c r="C2099" s="3" t="str">
        <f t="shared" si="355"/>
        <v>IFNGR1</v>
      </c>
      <c r="D2099" s="3" t="str">
        <f t="shared" si="356"/>
        <v>IFNGR1_(HUMAN)_transcript</v>
      </c>
      <c r="E2099" s="2" t="s">
        <v>72</v>
      </c>
      <c r="F2099" s="3"/>
      <c r="G2099" s="4"/>
      <c r="H2099" s="3" t="str">
        <f>HYPERLINK("https://www.cortellis.com/drugdiscovery/entity/biomarkers/62940","IFNGR1-RSPO3 fusion protein")</f>
        <v>IFNGR1-RSPO3 fusion protein</v>
      </c>
      <c r="I2099" s="2" t="s">
        <v>29</v>
      </c>
      <c r="J2099" s="2" t="s">
        <v>15</v>
      </c>
      <c r="K2099" s="4" t="str">
        <f>HYPERLINK("https://www.cortellis.com/drugdiscovery/result/proxy/related-content/biomarkers/genestargets/62940","interferon gamma receptor 1")</f>
        <v>interferon gamma receptor 1</v>
      </c>
    </row>
    <row r="2100" spans="1:11" ht="60" customHeight="1" x14ac:dyDescent="0.2">
      <c r="A2100" s="2">
        <v>2097</v>
      </c>
      <c r="B2100" s="3"/>
      <c r="C2100" s="3" t="str">
        <f>HYPERLINK("https://portal.genego.com/cgi/entity_page.cgi?term=20&amp;id=371815402","IFNGR2")</f>
        <v>IFNGR2</v>
      </c>
      <c r="D2100" s="3" t="str">
        <f>HYPERLINK("https://portal.genego.com/cgi/entity_page.cgi?term=7&amp;id=-1014880088","IFNGR2_(HUMAN)_transcript")</f>
        <v>IFNGR2_(HUMAN)_transcript</v>
      </c>
      <c r="E2100" s="2" t="s">
        <v>72</v>
      </c>
      <c r="F2100" s="3"/>
      <c r="G2100" s="4"/>
      <c r="H2100" s="3" t="str">
        <f>HYPERLINK("https://www.cortellis.com/drugdiscovery/entity/biomarkers/2447","Interferon-gamma receptor beta chain")</f>
        <v>Interferon-gamma receptor beta chain</v>
      </c>
      <c r="I2100" s="2" t="s">
        <v>50</v>
      </c>
      <c r="J2100" s="2" t="s">
        <v>15</v>
      </c>
      <c r="K2100" s="4" t="str">
        <f>HYPERLINK("https://www.cortellis.com/drugdiscovery/result/proxy/related-content/biomarkers/genestargets/2447","interferon gamma receptor 2")</f>
        <v>interferon gamma receptor 2</v>
      </c>
    </row>
    <row r="2101" spans="1:11" ht="60" customHeight="1" x14ac:dyDescent="0.2">
      <c r="A2101" s="2">
        <v>2098</v>
      </c>
      <c r="B2101" s="3"/>
      <c r="C2101" s="3" t="str">
        <f>HYPERLINK("https://portal.genego.com/cgi/entity_page.cgi?term=20&amp;id=371815402","IFNGR2")</f>
        <v>IFNGR2</v>
      </c>
      <c r="D2101" s="3" t="str">
        <f>HYPERLINK("https://portal.genego.com/cgi/entity_page.cgi?term=7&amp;id=-1014880088","IFNGR2_(HUMAN)_transcript")</f>
        <v>IFNGR2_(HUMAN)_transcript</v>
      </c>
      <c r="E2101" s="2" t="s">
        <v>72</v>
      </c>
      <c r="F2101" s="3"/>
      <c r="G2101" s="4"/>
      <c r="H2101" s="3" t="str">
        <f>HYPERLINK("https://www.cortellis.com/drugdiscovery/entity/biomarkers/55779","6-gene methylation esophageal cancer panel")</f>
        <v>6-gene methylation esophageal cancer panel</v>
      </c>
      <c r="I2101" s="2" t="s">
        <v>18</v>
      </c>
      <c r="J2101" s="2" t="s">
        <v>19</v>
      </c>
      <c r="K2101" s="4" t="str">
        <f>HYPERLINK("https://www.cortellis.com/drugdiscovery/result/proxy/related-content/biomarkers/genestargets/55779","interferon gamma receptor 2")</f>
        <v>interferon gamma receptor 2</v>
      </c>
    </row>
    <row r="2102" spans="1:11" ht="60" customHeight="1" x14ac:dyDescent="0.2">
      <c r="A2102" s="2">
        <v>2099</v>
      </c>
      <c r="B2102" s="3"/>
      <c r="C2102" s="3" t="str">
        <f>HYPERLINK("https://portal.genego.com/cgi/entity_page.cgi?term=20&amp;id=371815402","IFNGR2")</f>
        <v>IFNGR2</v>
      </c>
      <c r="D2102" s="3" t="str">
        <f>HYPERLINK("https://portal.genego.com/cgi/entity_page.cgi?term=7&amp;id=-1014880088","IFNGR2_(HUMAN)_transcript")</f>
        <v>IFNGR2_(HUMAN)_transcript</v>
      </c>
      <c r="E2102" s="2" t="s">
        <v>72</v>
      </c>
      <c r="F2102" s="3"/>
      <c r="G2102" s="4"/>
      <c r="H2102" s="3" t="str">
        <f>HYPERLINK("https://www.cortellis.com/drugdiscovery/entity/biomarkers/57117","10-gene expression graft dysfunction panel")</f>
        <v>10-gene expression graft dysfunction panel</v>
      </c>
      <c r="I2102" s="2" t="s">
        <v>51</v>
      </c>
      <c r="J2102" s="2" t="s">
        <v>19</v>
      </c>
      <c r="K2102" s="4" t="str">
        <f>HYPERLINK("https://www.cortellis.com/drugdiscovery/result/proxy/related-content/biomarkers/genestargets/57117","interferon gamma receptor 2")</f>
        <v>interferon gamma receptor 2</v>
      </c>
    </row>
    <row r="2103" spans="1:11" ht="60" customHeight="1" x14ac:dyDescent="0.2">
      <c r="A2103" s="2">
        <v>2100</v>
      </c>
      <c r="B2103" s="3"/>
      <c r="C2103" s="3" t="str">
        <f t="shared" ref="C2103:C2112" si="357">HYPERLINK("https://portal.genego.com/cgi/entity_page.cgi?term=20&amp;id=1083960427","IL12B")</f>
        <v>IL12B</v>
      </c>
      <c r="D2103" s="3" t="str">
        <f t="shared" ref="D2103:D2112" si="358">HYPERLINK("https://portal.genego.com/cgi/entity_page.cgi?term=7&amp;id=-101860895","IL12B_(HUMAN)_transcript")</f>
        <v>IL12B_(HUMAN)_transcript</v>
      </c>
      <c r="E2103" s="2" t="s">
        <v>72</v>
      </c>
      <c r="F2103" s="3"/>
      <c r="G2103" s="4"/>
      <c r="H2103" s="3" t="str">
        <f>HYPERLINK("https://www.cortellis.com/drugdiscovery/entity/biomarkers/174","Interleukin-12")</f>
        <v>Interleukin-12</v>
      </c>
      <c r="I2103" s="2" t="s">
        <v>39</v>
      </c>
      <c r="J2103" s="2" t="s">
        <v>15</v>
      </c>
      <c r="K2103" s="4" t="str">
        <f>HYPERLINK("https://www.cortellis.com/drugdiscovery/result/proxy/related-content/biomarkers/genestargets/174","interleukin 12B")</f>
        <v>interleukin 12B</v>
      </c>
    </row>
    <row r="2104" spans="1:11" ht="60" customHeight="1" x14ac:dyDescent="0.2">
      <c r="A2104" s="2">
        <v>2101</v>
      </c>
      <c r="B2104" s="3"/>
      <c r="C2104" s="3" t="str">
        <f t="shared" si="357"/>
        <v>IL12B</v>
      </c>
      <c r="D2104" s="3" t="str">
        <f t="shared" si="358"/>
        <v>IL12B_(HUMAN)_transcript</v>
      </c>
      <c r="E2104" s="2" t="s">
        <v>72</v>
      </c>
      <c r="F2104" s="3"/>
      <c r="G2104" s="4"/>
      <c r="H2104" s="3" t="str">
        <f>HYPERLINK("https://www.cortellis.com/drugdiscovery/entity/biomarkers/2420","Interleukin-12 subunit beta")</f>
        <v>Interleukin-12 subunit beta</v>
      </c>
      <c r="I2104" s="2" t="s">
        <v>43</v>
      </c>
      <c r="J2104" s="2" t="s">
        <v>15</v>
      </c>
      <c r="K2104" s="4" t="str">
        <f>HYPERLINK("https://www.cortellis.com/drugdiscovery/result/proxy/related-content/biomarkers/genestargets/2420","interleukin 12B")</f>
        <v>interleukin 12B</v>
      </c>
    </row>
    <row r="2105" spans="1:11" ht="60" customHeight="1" x14ac:dyDescent="0.2">
      <c r="A2105" s="2">
        <v>2102</v>
      </c>
      <c r="B2105" s="3"/>
      <c r="C2105" s="3" t="str">
        <f t="shared" si="357"/>
        <v>IL12B</v>
      </c>
      <c r="D2105" s="3" t="str">
        <f t="shared" si="358"/>
        <v>IL12B_(HUMAN)_transcript</v>
      </c>
      <c r="E2105" s="2" t="s">
        <v>72</v>
      </c>
      <c r="F2105" s="3"/>
      <c r="G2105" s="4"/>
      <c r="H2105" s="3" t="str">
        <f>HYPERLINK("https://www.cortellis.com/drugdiscovery/entity/biomarkers/27598","89-protein neurological alzheimer's panel")</f>
        <v>89-protein neurological alzheimer's panel</v>
      </c>
      <c r="I2105" s="2" t="s">
        <v>23</v>
      </c>
      <c r="J2105" s="2" t="s">
        <v>17</v>
      </c>
      <c r="K2105"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106" spans="1:11" ht="60" customHeight="1" x14ac:dyDescent="0.2">
      <c r="A2106" s="2">
        <v>2103</v>
      </c>
      <c r="B2106" s="3"/>
      <c r="C2106" s="3" t="str">
        <f t="shared" si="357"/>
        <v>IL12B</v>
      </c>
      <c r="D2106" s="3" t="str">
        <f t="shared" si="358"/>
        <v>IL12B_(HUMAN)_transcript</v>
      </c>
      <c r="E2106" s="2" t="s">
        <v>72</v>
      </c>
      <c r="F2106" s="3"/>
      <c r="G2106" s="4"/>
      <c r="H2106" s="3" t="str">
        <f>HYPERLINK("https://www.cortellis.com/drugdiscovery/entity/biomarkers/30768","11-protein cardiovascular panel")</f>
        <v>11-protein cardiovascular panel</v>
      </c>
      <c r="I2106" s="2" t="s">
        <v>23</v>
      </c>
      <c r="J2106" s="2" t="s">
        <v>17</v>
      </c>
      <c r="K2106" s="4" t="str">
        <f>HYPERLINK("https://www.cortellis.com/drugdiscovery/result/proxy/related-content/biomarkers/genestargets/30768","interferon gamma; interleukin 12B; tumor necrosis factor")</f>
        <v>interferon gamma; interleukin 12B; tumor necrosis factor</v>
      </c>
    </row>
    <row r="2107" spans="1:11" ht="60" customHeight="1" x14ac:dyDescent="0.2">
      <c r="A2107" s="2">
        <v>2104</v>
      </c>
      <c r="B2107" s="3"/>
      <c r="C2107" s="3" t="str">
        <f t="shared" si="357"/>
        <v>IL12B</v>
      </c>
      <c r="D2107" s="3" t="str">
        <f t="shared" si="358"/>
        <v>IL12B_(HUMAN)_transcript</v>
      </c>
      <c r="E2107" s="2" t="s">
        <v>72</v>
      </c>
      <c r="F2107" s="3"/>
      <c r="G2107" s="4"/>
      <c r="H2107" s="3" t="str">
        <f>HYPERLINK("https://www.cortellis.com/drugdiscovery/entity/biomarkers/36097","21-protein breast cancer panel")</f>
        <v>21-protein breast cancer panel</v>
      </c>
      <c r="I2107" s="2" t="s">
        <v>18</v>
      </c>
      <c r="J2107" s="2" t="s">
        <v>17</v>
      </c>
      <c r="K2107" s="4" t="str">
        <f>HYPERLINK("https://www.cortellis.com/drugdiscovery/result/proxy/related-content/biomarkers/genestargets/36097","C-C motif chemokine ligand 2; interleukin 12B; interleukin 7")</f>
        <v>C-C motif chemokine ligand 2; interleukin 12B; interleukin 7</v>
      </c>
    </row>
    <row r="2108" spans="1:11" ht="60" customHeight="1" x14ac:dyDescent="0.2">
      <c r="A2108" s="2">
        <v>2105</v>
      </c>
      <c r="B2108" s="3"/>
      <c r="C2108" s="3" t="str">
        <f t="shared" si="357"/>
        <v>IL12B</v>
      </c>
      <c r="D2108" s="3" t="str">
        <f t="shared" si="358"/>
        <v>IL12B_(HUMAN)_transcript</v>
      </c>
      <c r="E2108" s="2" t="s">
        <v>72</v>
      </c>
      <c r="F2108" s="3"/>
      <c r="G2108" s="4"/>
      <c r="H2108" s="3" t="str">
        <f>HYPERLINK("https://www.cortellis.com/drugdiscovery/entity/biomarkers/43870","17-genomic 14-protein 3-biochemical irritable bowel syndrome panel")</f>
        <v>17-genomic 14-protein 3-biochemical irritable bowel syndrome panel</v>
      </c>
      <c r="I2108" s="2" t="s">
        <v>52</v>
      </c>
      <c r="J2108" s="2" t="s">
        <v>53</v>
      </c>
      <c r="K2108" s="4" t="str">
        <f>HYPERLINK("https://www.cortellis.com/drugdiscovery/result/proxy/related-content/biomarkers/genestargets/43870","interleukin 12B; tumor necrosis factor")</f>
        <v>interleukin 12B; tumor necrosis factor</v>
      </c>
    </row>
    <row r="2109" spans="1:11" ht="60" customHeight="1" x14ac:dyDescent="0.2">
      <c r="A2109" s="2">
        <v>2106</v>
      </c>
      <c r="B2109" s="3"/>
      <c r="C2109" s="3" t="str">
        <f t="shared" si="357"/>
        <v>IL12B</v>
      </c>
      <c r="D2109" s="3" t="str">
        <f t="shared" si="358"/>
        <v>IL12B_(HUMAN)_transcript</v>
      </c>
      <c r="E2109" s="2" t="s">
        <v>72</v>
      </c>
      <c r="F2109" s="3"/>
      <c r="G2109" s="4"/>
      <c r="H2109" s="3" t="str">
        <f>HYPERLINK("https://www.cortellis.com/drugdiscovery/entity/biomarkers/50283","14-gene polymorphism psoriasis panel")</f>
        <v>14-gene polymorphism psoriasis panel</v>
      </c>
      <c r="I2109" s="2" t="s">
        <v>29</v>
      </c>
      <c r="J2109" s="2" t="s">
        <v>19</v>
      </c>
      <c r="K2109" s="4" t="str">
        <f>HYPERLINK("https://www.cortellis.com/drugdiscovery/result/proxy/related-content/biomarkers/genestargets/50283","interleukin 12B")</f>
        <v>interleukin 12B</v>
      </c>
    </row>
    <row r="2110" spans="1:11" ht="60" customHeight="1" x14ac:dyDescent="0.2">
      <c r="A2110" s="2">
        <v>2107</v>
      </c>
      <c r="B2110" s="3"/>
      <c r="C2110" s="3" t="str">
        <f t="shared" si="357"/>
        <v>IL12B</v>
      </c>
      <c r="D2110" s="3" t="str">
        <f t="shared" si="358"/>
        <v>IL12B_(HUMAN)_transcript</v>
      </c>
      <c r="E2110" s="2" t="s">
        <v>72</v>
      </c>
      <c r="F2110" s="3"/>
      <c r="G2110" s="4"/>
      <c r="H2110" s="3" t="str">
        <f>HYPERLINK("https://www.cortellis.com/drugdiscovery/entity/biomarkers/53008","14-gene expression acute myeloid leukemia panel")</f>
        <v>14-gene expression acute myeloid leukemia panel</v>
      </c>
      <c r="I2110" s="2" t="s">
        <v>25</v>
      </c>
      <c r="J2110" s="2" t="s">
        <v>19</v>
      </c>
      <c r="K2110" s="4" t="str">
        <f>HYPERLINK("https://www.cortellis.com/drugdiscovery/result/proxy/related-content/biomarkers/genestargets/53008","interleukin 12B")</f>
        <v>interleukin 12B</v>
      </c>
    </row>
    <row r="2111" spans="1:11" ht="60" customHeight="1" x14ac:dyDescent="0.2">
      <c r="A2111" s="2">
        <v>2108</v>
      </c>
      <c r="B2111" s="3"/>
      <c r="C2111" s="3" t="str">
        <f t="shared" si="357"/>
        <v>IL12B</v>
      </c>
      <c r="D2111" s="3" t="str">
        <f t="shared" si="358"/>
        <v>IL12B_(HUMAN)_transcript</v>
      </c>
      <c r="E2111" s="2" t="s">
        <v>72</v>
      </c>
      <c r="F2111" s="3"/>
      <c r="G2111" s="4"/>
      <c r="H2111" s="3" t="str">
        <f>HYPERLINK("https://www.cortellis.com/drugdiscovery/entity/biomarkers/57250","9-protein non-muscle invasive bladder cancer panel")</f>
        <v>9-protein non-muscle invasive bladder cancer panel</v>
      </c>
      <c r="I2111" s="2" t="s">
        <v>18</v>
      </c>
      <c r="J2111" s="2" t="s">
        <v>17</v>
      </c>
      <c r="K2111" s="4" t="str">
        <f>HYPERLINK("https://www.cortellis.com/drugdiscovery/result/proxy/related-content/biomarkers/genestargets/57250","interferon gamma; interleukin 12B; tumor necrosis factor")</f>
        <v>interferon gamma; interleukin 12B; tumor necrosis factor</v>
      </c>
    </row>
    <row r="2112" spans="1:11" ht="60" customHeight="1" x14ac:dyDescent="0.2">
      <c r="A2112" s="2">
        <v>2109</v>
      </c>
      <c r="B2112" s="3"/>
      <c r="C2112" s="3" t="str">
        <f t="shared" si="357"/>
        <v>IL12B</v>
      </c>
      <c r="D2112" s="3" t="str">
        <f t="shared" si="358"/>
        <v>IL12B_(HUMAN)_transcript</v>
      </c>
      <c r="E2112" s="2" t="s">
        <v>72</v>
      </c>
      <c r="F2112" s="3"/>
      <c r="G2112" s="4"/>
      <c r="H2112" s="3" t="str">
        <f>HYPERLINK("https://www.cortellis.com/drugdiscovery/entity/biomarkers/62155","19-protein rhegmatogenous retinal detachment panel")</f>
        <v>19-protein rhegmatogenous retinal detachment panel</v>
      </c>
      <c r="I2112" s="2" t="s">
        <v>24</v>
      </c>
      <c r="J2112" s="2" t="s">
        <v>17</v>
      </c>
      <c r="K2112" s="4" t="str">
        <f>HYPERLINK("https://www.cortellis.com/drugdiscovery/result/proxy/related-content/biomarkers/genestargets/62155","C-C motif chemokine ligand 2; interleukin 12B; tumor necrosis factor")</f>
        <v>C-C motif chemokine ligand 2; interleukin 12B; tumor necrosis factor</v>
      </c>
    </row>
    <row r="2113" spans="1:11" ht="60" customHeight="1" x14ac:dyDescent="0.2">
      <c r="A2113" s="2">
        <v>2110</v>
      </c>
      <c r="B2113" s="3"/>
      <c r="C2113" s="3" t="str">
        <f t="shared" ref="C2113:C2120" si="359">HYPERLINK("https://portal.genego.com/cgi/entity_page.cgi?term=20&amp;id=2051609833","IL15")</f>
        <v>IL15</v>
      </c>
      <c r="D2113" s="3" t="str">
        <f t="shared" ref="D2113:D2120" si="360">HYPERLINK("https://portal.genego.com/cgi/entity_page.cgi?term=7&amp;id=-1838027269","IL15_(HUMAN)_transcript")</f>
        <v>IL15_(HUMAN)_transcript</v>
      </c>
      <c r="E2113" s="2" t="s">
        <v>72</v>
      </c>
      <c r="F2113" s="3"/>
      <c r="G2113" s="4"/>
      <c r="H2113" s="3" t="str">
        <f>HYPERLINK("https://www.cortellis.com/drugdiscovery/entity/biomarkers/4043","Interleukin-15")</f>
        <v>Interleukin-15</v>
      </c>
      <c r="I2113" s="2" t="s">
        <v>39</v>
      </c>
      <c r="J2113" s="2" t="s">
        <v>15</v>
      </c>
      <c r="K2113" s="4" t="str">
        <f>HYPERLINK("https://www.cortellis.com/drugdiscovery/result/proxy/related-content/biomarkers/genestargets/4043","interleukin 15")</f>
        <v>interleukin 15</v>
      </c>
    </row>
    <row r="2114" spans="1:11" ht="60" customHeight="1" x14ac:dyDescent="0.2">
      <c r="A2114" s="2">
        <v>2111</v>
      </c>
      <c r="B2114" s="3"/>
      <c r="C2114" s="3" t="str">
        <f t="shared" si="359"/>
        <v>IL15</v>
      </c>
      <c r="D2114" s="3" t="str">
        <f t="shared" si="360"/>
        <v>IL15_(HUMAN)_transcript</v>
      </c>
      <c r="E2114" s="2" t="s">
        <v>72</v>
      </c>
      <c r="F2114" s="3"/>
      <c r="G2114" s="4"/>
      <c r="H2114" s="3" t="str">
        <f>HYPERLINK("https://www.cortellis.com/drugdiscovery/entity/biomarkers/26792","367-gene expression 1-microRNA breast cancer panel")</f>
        <v>367-gene expression 1-microRNA breast cancer panel</v>
      </c>
      <c r="I2114" s="2" t="s">
        <v>25</v>
      </c>
      <c r="J2114" s="2" t="s">
        <v>19</v>
      </c>
      <c r="K2114" s="4" t="str">
        <f>HYPERLINK("https://www.cortellis.com/drugdiscovery/result/proxy/related-content/biomarkers/genestargets/26792","interleukin 15; microRNA 155")</f>
        <v>interleukin 15; microRNA 155</v>
      </c>
    </row>
    <row r="2115" spans="1:11" ht="60" customHeight="1" x14ac:dyDescent="0.2">
      <c r="A2115" s="2">
        <v>2112</v>
      </c>
      <c r="B2115" s="3"/>
      <c r="C2115" s="3" t="str">
        <f t="shared" si="359"/>
        <v>IL15</v>
      </c>
      <c r="D2115" s="3" t="str">
        <f t="shared" si="360"/>
        <v>IL15_(HUMAN)_transcript</v>
      </c>
      <c r="E2115" s="2" t="s">
        <v>72</v>
      </c>
      <c r="F2115" s="3"/>
      <c r="G2115" s="4"/>
      <c r="H2115" s="3" t="str">
        <f>HYPERLINK("https://www.cortellis.com/drugdiscovery/entity/biomarkers/27598","89-protein neurological alzheimer's panel")</f>
        <v>89-protein neurological alzheimer's panel</v>
      </c>
      <c r="I2115" s="2" t="s">
        <v>23</v>
      </c>
      <c r="J2115" s="2" t="s">
        <v>17</v>
      </c>
      <c r="K2115"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116" spans="1:11" ht="60" customHeight="1" x14ac:dyDescent="0.2">
      <c r="A2116" s="2">
        <v>2113</v>
      </c>
      <c r="B2116" s="3"/>
      <c r="C2116" s="3" t="str">
        <f t="shared" si="359"/>
        <v>IL15</v>
      </c>
      <c r="D2116" s="3" t="str">
        <f t="shared" si="360"/>
        <v>IL15_(HUMAN)_transcript</v>
      </c>
      <c r="E2116" s="2" t="s">
        <v>72</v>
      </c>
      <c r="F2116" s="3"/>
      <c r="G2116" s="4"/>
      <c r="H2116" s="3" t="str">
        <f>HYPERLINK("https://www.cortellis.com/drugdiscovery/entity/biomarkers/27928","633-gene expression gastric cancer panel")</f>
        <v>633-gene expression gastric cancer panel</v>
      </c>
      <c r="I2116" s="2" t="s">
        <v>18</v>
      </c>
      <c r="J2116" s="2" t="s">
        <v>19</v>
      </c>
      <c r="K2116" s="4" t="str">
        <f>HYPERLINK("https://www.cortellis.com/drugdiscovery/result/proxy/related-content/biomarkers/genestargets/27928","interleukin 15")</f>
        <v>interleukin 15</v>
      </c>
    </row>
    <row r="2117" spans="1:11" ht="60" customHeight="1" x14ac:dyDescent="0.2">
      <c r="A2117" s="2">
        <v>2114</v>
      </c>
      <c r="B2117" s="3"/>
      <c r="C2117" s="3" t="str">
        <f t="shared" si="359"/>
        <v>IL15</v>
      </c>
      <c r="D2117" s="3" t="str">
        <f t="shared" si="360"/>
        <v>IL15_(HUMAN)_transcript</v>
      </c>
      <c r="E2117" s="2" t="s">
        <v>72</v>
      </c>
      <c r="F2117" s="3"/>
      <c r="G2117" s="4"/>
      <c r="H2117" s="3" t="str">
        <f>HYPERLINK("https://www.cortellis.com/drugdiscovery/entity/biomarkers/28148","11-gene expression lung cancer panel")</f>
        <v>11-gene expression lung cancer panel</v>
      </c>
      <c r="I2117" s="2" t="s">
        <v>25</v>
      </c>
      <c r="J2117" s="2" t="s">
        <v>19</v>
      </c>
      <c r="K2117" s="4" t="str">
        <f>HYPERLINK("https://www.cortellis.com/drugdiscovery/result/proxy/related-content/biomarkers/genestargets/28148","interferon gamma; interleukin 15; tumor necrosis factor")</f>
        <v>interferon gamma; interleukin 15; tumor necrosis factor</v>
      </c>
    </row>
    <row r="2118" spans="1:11" ht="60" customHeight="1" x14ac:dyDescent="0.2">
      <c r="A2118" s="2">
        <v>2115</v>
      </c>
      <c r="B2118" s="3"/>
      <c r="C2118" s="3" t="str">
        <f t="shared" si="359"/>
        <v>IL15</v>
      </c>
      <c r="D2118" s="3" t="str">
        <f t="shared" si="360"/>
        <v>IL15_(HUMAN)_transcript</v>
      </c>
      <c r="E2118" s="2" t="s">
        <v>72</v>
      </c>
      <c r="F2118" s="3"/>
      <c r="G2118" s="4"/>
      <c r="H2118" s="3" t="str">
        <f>HYPERLINK("https://www.cortellis.com/drugdiscovery/entity/biomarkers/28647","15-gene expression lung cancer panel")</f>
        <v>15-gene expression lung cancer panel</v>
      </c>
      <c r="I2118" s="2" t="s">
        <v>20</v>
      </c>
      <c r="J2118" s="2" t="s">
        <v>19</v>
      </c>
      <c r="K2118" s="4" t="str">
        <f>HYPERLINK("https://www.cortellis.com/drugdiscovery/result/proxy/related-content/biomarkers/genestargets/28647","interferon gamma; interleukin 15; tumor necrosis factor")</f>
        <v>interferon gamma; interleukin 15; tumor necrosis factor</v>
      </c>
    </row>
    <row r="2119" spans="1:11" ht="60" customHeight="1" x14ac:dyDescent="0.2">
      <c r="A2119" s="2">
        <v>2116</v>
      </c>
      <c r="B2119" s="3"/>
      <c r="C2119" s="3" t="str">
        <f t="shared" si="359"/>
        <v>IL15</v>
      </c>
      <c r="D2119" s="3" t="str">
        <f t="shared" si="360"/>
        <v>IL15_(HUMAN)_transcript</v>
      </c>
      <c r="E2119" s="2" t="s">
        <v>72</v>
      </c>
      <c r="F2119" s="3"/>
      <c r="G2119" s="4"/>
      <c r="H2119" s="3" t="str">
        <f>HYPERLINK("https://www.cortellis.com/drugdiscovery/entity/biomarkers/37444","41-gene expression head and neck cancer panel")</f>
        <v>41-gene expression head and neck cancer panel</v>
      </c>
      <c r="I2119" s="2" t="s">
        <v>18</v>
      </c>
      <c r="J2119" s="2" t="s">
        <v>19</v>
      </c>
      <c r="K2119" s="4" t="str">
        <f>HYPERLINK("https://www.cortellis.com/drugdiscovery/result/proxy/related-content/biomarkers/genestargets/37444","interleukin 15")</f>
        <v>interleukin 15</v>
      </c>
    </row>
    <row r="2120" spans="1:11" ht="60" customHeight="1" x14ac:dyDescent="0.2">
      <c r="A2120" s="2">
        <v>2117</v>
      </c>
      <c r="B2120" s="3"/>
      <c r="C2120" s="3" t="str">
        <f t="shared" si="359"/>
        <v>IL15</v>
      </c>
      <c r="D2120" s="3" t="str">
        <f t="shared" si="360"/>
        <v>IL15_(HUMAN)_transcript</v>
      </c>
      <c r="E2120" s="2" t="s">
        <v>72</v>
      </c>
      <c r="F2120" s="3"/>
      <c r="G2120" s="4"/>
      <c r="H2120" s="3" t="str">
        <f>HYPERLINK("https://www.cortellis.com/drugdiscovery/entity/biomarkers/40025","EoE diagnostic panel")</f>
        <v>EoE diagnostic panel</v>
      </c>
      <c r="I2120" s="2" t="s">
        <v>23</v>
      </c>
      <c r="J2120" s="2" t="s">
        <v>19</v>
      </c>
      <c r="K2120" s="4" t="str">
        <f>HYPERLINK("https://www.cortellis.com/drugdiscovery/result/proxy/related-content/biomarkers/genestargets/40025","coagulation factor III, tissue factor; interleukin 15")</f>
        <v>coagulation factor III, tissue factor; interleukin 15</v>
      </c>
    </row>
    <row r="2121" spans="1:11" ht="60" customHeight="1" x14ac:dyDescent="0.2">
      <c r="A2121" s="2">
        <v>2118</v>
      </c>
      <c r="B2121" s="3"/>
      <c r="C2121" s="3" t="str">
        <f t="shared" ref="C2121:C2129" si="361">HYPERLINK("https://portal.genego.com/cgi/entity_page.cgi?term=20&amp;id=-1772611531","IL7")</f>
        <v>IL7</v>
      </c>
      <c r="D2121" s="3" t="str">
        <f t="shared" ref="D2121:D2129" si="362">HYPERLINK("https://portal.genego.com/cgi/entity_page.cgi?term=7&amp;id=-1908328106","IL7_(HUMAN)_transcript")</f>
        <v>IL7_(HUMAN)_transcript</v>
      </c>
      <c r="E2121" s="2" t="s">
        <v>72</v>
      </c>
      <c r="F2121" s="3"/>
      <c r="G2121" s="4"/>
      <c r="H2121" s="3" t="str">
        <f>HYPERLINK("https://www.cortellis.com/drugdiscovery/entity/biomarkers/553","Interleukin-7")</f>
        <v>Interleukin-7</v>
      </c>
      <c r="I2121" s="2" t="s">
        <v>54</v>
      </c>
      <c r="J2121" s="2" t="s">
        <v>15</v>
      </c>
      <c r="K2121" s="4" t="str">
        <f>HYPERLINK("https://www.cortellis.com/drugdiscovery/result/proxy/related-content/biomarkers/genestargets/553","interleukin 7")</f>
        <v>interleukin 7</v>
      </c>
    </row>
    <row r="2122" spans="1:11" ht="60" customHeight="1" x14ac:dyDescent="0.2">
      <c r="A2122" s="2">
        <v>2119</v>
      </c>
      <c r="B2122" s="3"/>
      <c r="C2122" s="3" t="str">
        <f t="shared" si="361"/>
        <v>IL7</v>
      </c>
      <c r="D2122" s="3" t="str">
        <f t="shared" si="362"/>
        <v>IL7_(HUMAN)_transcript</v>
      </c>
      <c r="E2122" s="2" t="s">
        <v>72</v>
      </c>
      <c r="F2122" s="3"/>
      <c r="G2122" s="4"/>
      <c r="H2122" s="3" t="str">
        <f>HYPERLINK("https://www.cortellis.com/drugdiscovery/entity/biomarkers/27598","89-protein neurological alzheimer's panel")</f>
        <v>89-protein neurological alzheimer's panel</v>
      </c>
      <c r="I2122" s="2" t="s">
        <v>23</v>
      </c>
      <c r="J2122" s="2" t="s">
        <v>17</v>
      </c>
      <c r="K2122"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123" spans="1:11" ht="60" customHeight="1" x14ac:dyDescent="0.2">
      <c r="A2123" s="2">
        <v>2120</v>
      </c>
      <c r="B2123" s="3"/>
      <c r="C2123" s="3" t="str">
        <f t="shared" si="361"/>
        <v>IL7</v>
      </c>
      <c r="D2123" s="3" t="str">
        <f t="shared" si="362"/>
        <v>IL7_(HUMAN)_transcript</v>
      </c>
      <c r="E2123" s="2" t="s">
        <v>72</v>
      </c>
      <c r="F2123" s="3"/>
      <c r="G2123" s="4"/>
      <c r="H2123" s="3" t="str">
        <f>HYPERLINK("https://www.cortellis.com/drugdiscovery/entity/biomarkers/29614","VeriPsych")</f>
        <v>VeriPsych</v>
      </c>
      <c r="I2123" s="2" t="s">
        <v>23</v>
      </c>
      <c r="J2123" s="2" t="s">
        <v>17</v>
      </c>
      <c r="K2123" s="4" t="str">
        <f>HYPERLINK("https://www.cortellis.com/drugdiscovery/result/proxy/related-content/biomarkers/genestargets/29614","interleukin 7; matrix metallopeptidase 2")</f>
        <v>interleukin 7; matrix metallopeptidase 2</v>
      </c>
    </row>
    <row r="2124" spans="1:11" ht="60" customHeight="1" x14ac:dyDescent="0.2">
      <c r="A2124" s="2">
        <v>2121</v>
      </c>
      <c r="B2124" s="3"/>
      <c r="C2124" s="3" t="str">
        <f t="shared" si="361"/>
        <v>IL7</v>
      </c>
      <c r="D2124" s="3" t="str">
        <f t="shared" si="362"/>
        <v>IL7_(HUMAN)_transcript</v>
      </c>
      <c r="E2124" s="2" t="s">
        <v>72</v>
      </c>
      <c r="F2124" s="3"/>
      <c r="G2124" s="4"/>
      <c r="H2124" s="3" t="str">
        <f>HYPERLINK("https://www.cortellis.com/drugdiscovery/entity/biomarkers/34385","30-protein alzheimer's panel")</f>
        <v>30-protein alzheimer's panel</v>
      </c>
      <c r="I2124" s="2" t="s">
        <v>23</v>
      </c>
      <c r="J2124" s="2" t="s">
        <v>17</v>
      </c>
      <c r="K2124" s="4" t="str">
        <f>HYPERLINK("https://www.cortellis.com/drugdiscovery/result/proxy/related-content/biomarkers/genestargets/34385","C-C motif chemokine ligand 2; interleukin 7; tenascin C; tumor necrosis factor")</f>
        <v>C-C motif chemokine ligand 2; interleukin 7; tenascin C; tumor necrosis factor</v>
      </c>
    </row>
    <row r="2125" spans="1:11" ht="60" customHeight="1" x14ac:dyDescent="0.2">
      <c r="A2125" s="2">
        <v>2122</v>
      </c>
      <c r="B2125" s="3"/>
      <c r="C2125" s="3" t="str">
        <f t="shared" si="361"/>
        <v>IL7</v>
      </c>
      <c r="D2125" s="3" t="str">
        <f t="shared" si="362"/>
        <v>IL7_(HUMAN)_transcript</v>
      </c>
      <c r="E2125" s="2" t="s">
        <v>72</v>
      </c>
      <c r="F2125" s="3"/>
      <c r="G2125" s="4"/>
      <c r="H2125" s="3" t="str">
        <f>HYPERLINK("https://www.cortellis.com/drugdiscovery/entity/biomarkers/36097","21-protein breast cancer panel")</f>
        <v>21-protein breast cancer panel</v>
      </c>
      <c r="I2125" s="2" t="s">
        <v>18</v>
      </c>
      <c r="J2125" s="2" t="s">
        <v>17</v>
      </c>
      <c r="K2125" s="4" t="str">
        <f>HYPERLINK("https://www.cortellis.com/drugdiscovery/result/proxy/related-content/biomarkers/genestargets/36097","C-C motif chemokine ligand 2; interleukin 12B; interleukin 7")</f>
        <v>C-C motif chemokine ligand 2; interleukin 12B; interleukin 7</v>
      </c>
    </row>
    <row r="2126" spans="1:11" ht="60" customHeight="1" x14ac:dyDescent="0.2">
      <c r="A2126" s="2">
        <v>2123</v>
      </c>
      <c r="B2126" s="3"/>
      <c r="C2126" s="3" t="str">
        <f t="shared" si="361"/>
        <v>IL7</v>
      </c>
      <c r="D2126" s="3" t="str">
        <f t="shared" si="362"/>
        <v>IL7_(HUMAN)_transcript</v>
      </c>
      <c r="E2126" s="2" t="s">
        <v>72</v>
      </c>
      <c r="F2126" s="3"/>
      <c r="G2126" s="4"/>
      <c r="H2126" s="3" t="str">
        <f>HYPERLINK("https://www.cortellis.com/drugdiscovery/entity/biomarkers/40564","5-protein autism spectrum disorder panel")</f>
        <v>5-protein autism spectrum disorder panel</v>
      </c>
      <c r="I2126" s="2" t="s">
        <v>29</v>
      </c>
      <c r="J2126" s="2" t="s">
        <v>17</v>
      </c>
      <c r="K2126" s="4" t="str">
        <f>HYPERLINK("https://www.cortellis.com/drugdiscovery/result/proxy/related-content/biomarkers/genestargets/40564","interleukin 7")</f>
        <v>interleukin 7</v>
      </c>
    </row>
    <row r="2127" spans="1:11" ht="60" customHeight="1" x14ac:dyDescent="0.2">
      <c r="A2127" s="2">
        <v>2124</v>
      </c>
      <c r="B2127" s="3"/>
      <c r="C2127" s="3" t="str">
        <f t="shared" si="361"/>
        <v>IL7</v>
      </c>
      <c r="D2127" s="3" t="str">
        <f t="shared" si="362"/>
        <v>IL7_(HUMAN)_transcript</v>
      </c>
      <c r="E2127" s="2" t="s">
        <v>72</v>
      </c>
      <c r="F2127" s="3"/>
      <c r="G2127" s="4"/>
      <c r="H2127" s="3" t="str">
        <f>HYPERLINK("https://www.cortellis.com/drugdiscovery/entity/biomarkers/43073","4-protein glioblastoma panel")</f>
        <v>4-protein glioblastoma panel</v>
      </c>
      <c r="I2127" s="2" t="s">
        <v>25</v>
      </c>
      <c r="J2127" s="2" t="s">
        <v>17</v>
      </c>
      <c r="K2127" s="4" t="str">
        <f>HYPERLINK("https://www.cortellis.com/drugdiscovery/result/proxy/related-content/biomarkers/genestargets/43073","C-C motif chemokine ligand 2; interleukin 7")</f>
        <v>C-C motif chemokine ligand 2; interleukin 7</v>
      </c>
    </row>
    <row r="2128" spans="1:11" ht="60" customHeight="1" x14ac:dyDescent="0.2">
      <c r="A2128" s="2">
        <v>2125</v>
      </c>
      <c r="B2128" s="3"/>
      <c r="C2128" s="3" t="str">
        <f t="shared" si="361"/>
        <v>IL7</v>
      </c>
      <c r="D2128" s="3" t="str">
        <f t="shared" si="362"/>
        <v>IL7_(HUMAN)_transcript</v>
      </c>
      <c r="E2128" s="2" t="s">
        <v>72</v>
      </c>
      <c r="F2128" s="3"/>
      <c r="G2128" s="4"/>
      <c r="H2128" s="3" t="str">
        <f>HYPERLINK("https://www.cortellis.com/drugdiscovery/entity/biomarkers/57224","21-protein mild cognitive impairment panel")</f>
        <v>21-protein mild cognitive impairment panel</v>
      </c>
      <c r="I2128" s="2" t="s">
        <v>23</v>
      </c>
      <c r="J2128" s="2" t="s">
        <v>19</v>
      </c>
      <c r="K2128" s="4" t="str">
        <f>HYPERLINK("https://www.cortellis.com/drugdiscovery/result/proxy/related-content/biomarkers/genestargets/57224","interleukin 7; tenascin C; tumor necrosis factor")</f>
        <v>interleukin 7; tenascin C; tumor necrosis factor</v>
      </c>
    </row>
    <row r="2129" spans="1:11" ht="60" customHeight="1" x14ac:dyDescent="0.2">
      <c r="A2129" s="2">
        <v>2126</v>
      </c>
      <c r="B2129" s="3"/>
      <c r="C2129" s="3" t="str">
        <f t="shared" si="361"/>
        <v>IL7</v>
      </c>
      <c r="D2129" s="3" t="str">
        <f t="shared" si="362"/>
        <v>IL7_(HUMAN)_transcript</v>
      </c>
      <c r="E2129" s="2" t="s">
        <v>72</v>
      </c>
      <c r="F2129" s="3"/>
      <c r="G2129" s="4"/>
      <c r="H2129" s="3" t="str">
        <f>HYPERLINK("https://www.cortellis.com/drugdiscovery/entity/biomarkers/59959","13-protein Crohn's disease panel")</f>
        <v>13-protein Crohn's disease panel</v>
      </c>
      <c r="I2129" s="2" t="s">
        <v>24</v>
      </c>
      <c r="J2129" s="2" t="s">
        <v>17</v>
      </c>
      <c r="K2129" s="4" t="str">
        <f>HYPERLINK("https://www.cortellis.com/drugdiscovery/result/proxy/related-content/biomarkers/genestargets/59959","interleukin 7; matrix metallopeptidase 2; matrix metallopeptidase 9")</f>
        <v>interleukin 7; matrix metallopeptidase 2; matrix metallopeptidase 9</v>
      </c>
    </row>
    <row r="2130" spans="1:11" ht="60" customHeight="1" x14ac:dyDescent="0.2">
      <c r="A2130" s="2">
        <v>2127</v>
      </c>
      <c r="B2130" s="3"/>
      <c r="C2130" s="3" t="str">
        <f>HYPERLINK("https://portal.genego.com/cgi/entity_page.cgi?term=20&amp;id=1495439859","MBL2")</f>
        <v>MBL2</v>
      </c>
      <c r="D2130" s="3" t="str">
        <f>HYPERLINK("https://portal.genego.com/cgi/entity_page.cgi?term=7&amp;id=-861292796","MBL2_(HUMAN)_transcript")</f>
        <v>MBL2_(HUMAN)_transcript</v>
      </c>
      <c r="E2130" s="2" t="s">
        <v>72</v>
      </c>
      <c r="F2130" s="3"/>
      <c r="G2130" s="4"/>
      <c r="H2130" s="3" t="str">
        <f>HYPERLINK("https://www.cortellis.com/drugdiscovery/entity/biomarkers/1357","Mannose-binding protein C")</f>
        <v>Mannose-binding protein C</v>
      </c>
      <c r="I2130" s="2" t="s">
        <v>47</v>
      </c>
      <c r="J2130" s="2" t="s">
        <v>15</v>
      </c>
      <c r="K2130" s="4" t="str">
        <f>HYPERLINK("https://www.cortellis.com/drugdiscovery/result/proxy/related-content/biomarkers/genestargets/1357","mannose binding lectin 2")</f>
        <v>mannose binding lectin 2</v>
      </c>
    </row>
    <row r="2131" spans="1:11" ht="60" customHeight="1" x14ac:dyDescent="0.2">
      <c r="A2131" s="2">
        <v>2128</v>
      </c>
      <c r="B2131" s="3"/>
      <c r="C2131" s="3" t="str">
        <f t="shared" ref="C2131:C2147" si="363">HYPERLINK("https://portal.genego.com/cgi/entity_page.cgi?term=20&amp;id=-2123498703","MMP2")</f>
        <v>MMP2</v>
      </c>
      <c r="D2131" s="3" t="str">
        <f t="shared" ref="D2131:D2147" si="364">HYPERLINK("https://portal.genego.com/cgi/entity_page.cgi?term=7&amp;id=-1885841082","MMP2_(HUMAN)_transcript")</f>
        <v>MMP2_(HUMAN)_transcript</v>
      </c>
      <c r="E2131" s="2" t="s">
        <v>72</v>
      </c>
      <c r="F2131" s="3"/>
      <c r="G2131" s="4"/>
      <c r="H2131" s="3" t="str">
        <f>HYPERLINK("https://www.cortellis.com/drugdiscovery/entity/biomarkers/286","72 kDa type IV collagenase")</f>
        <v>72 kDa type IV collagenase</v>
      </c>
      <c r="I2131" s="2" t="s">
        <v>56</v>
      </c>
      <c r="J2131" s="2" t="s">
        <v>15</v>
      </c>
      <c r="K2131" s="4" t="str">
        <f>HYPERLINK("https://www.cortellis.com/drugdiscovery/result/proxy/related-content/biomarkers/genestargets/286","matrix metallopeptidase 2")</f>
        <v>matrix metallopeptidase 2</v>
      </c>
    </row>
    <row r="2132" spans="1:11" ht="60" customHeight="1" x14ac:dyDescent="0.2">
      <c r="A2132" s="2">
        <v>2129</v>
      </c>
      <c r="B2132" s="3"/>
      <c r="C2132" s="3" t="str">
        <f t="shared" si="363"/>
        <v>MMP2</v>
      </c>
      <c r="D2132" s="3" t="str">
        <f t="shared" si="364"/>
        <v>MMP2_(HUMAN)_transcript</v>
      </c>
      <c r="E2132" s="2" t="s">
        <v>72</v>
      </c>
      <c r="F2132" s="3"/>
      <c r="G2132" s="4"/>
      <c r="H2132" s="3" t="str">
        <f>HYPERLINK("https://www.cortellis.com/drugdiscovery/entity/biomarkers/653","MMP-2-TIMP-2 complex")</f>
        <v>MMP-2-TIMP-2 complex</v>
      </c>
      <c r="I2132" s="2" t="s">
        <v>57</v>
      </c>
      <c r="J2132" s="2" t="s">
        <v>15</v>
      </c>
      <c r="K2132" s="4" t="str">
        <f>HYPERLINK("https://www.cortellis.com/drugdiscovery/result/proxy/related-content/biomarkers/genestargets/653","matrix metallopeptidase 2")</f>
        <v>matrix metallopeptidase 2</v>
      </c>
    </row>
    <row r="2133" spans="1:11" ht="60" customHeight="1" x14ac:dyDescent="0.2">
      <c r="A2133" s="2">
        <v>2130</v>
      </c>
      <c r="B2133" s="3"/>
      <c r="C2133" s="3" t="str">
        <f t="shared" si="363"/>
        <v>MMP2</v>
      </c>
      <c r="D2133" s="3" t="str">
        <f t="shared" si="364"/>
        <v>MMP2_(HUMAN)_transcript</v>
      </c>
      <c r="E2133" s="2" t="s">
        <v>72</v>
      </c>
      <c r="F2133" s="3"/>
      <c r="G2133" s="4"/>
      <c r="H2133" s="3" t="str">
        <f>HYPERLINK("https://www.cortellis.com/drugdiscovery/entity/biomarkers/26503","3-gene polymorphism cardia cancer panel")</f>
        <v>3-gene polymorphism cardia cancer panel</v>
      </c>
      <c r="I2133" s="2" t="s">
        <v>29</v>
      </c>
      <c r="J2133" s="2" t="s">
        <v>19</v>
      </c>
      <c r="K2133" s="4" t="str">
        <f>HYPERLINK("https://www.cortellis.com/drugdiscovery/result/proxy/related-content/biomarkers/genestargets/26503","matrix metallopeptidase 2")</f>
        <v>matrix metallopeptidase 2</v>
      </c>
    </row>
    <row r="2134" spans="1:11" ht="60" customHeight="1" x14ac:dyDescent="0.2">
      <c r="A2134" s="2">
        <v>2131</v>
      </c>
      <c r="B2134" s="3"/>
      <c r="C2134" s="3" t="str">
        <f t="shared" si="363"/>
        <v>MMP2</v>
      </c>
      <c r="D2134" s="3" t="str">
        <f t="shared" si="364"/>
        <v>MMP2_(HUMAN)_transcript</v>
      </c>
      <c r="E2134" s="2" t="s">
        <v>72</v>
      </c>
      <c r="F2134" s="3"/>
      <c r="G2134" s="4"/>
      <c r="H2134" s="3" t="str">
        <f>HYPERLINK("https://www.cortellis.com/drugdiscovery/entity/biomarkers/26754","5-protein breast cancer panel")</f>
        <v>5-protein breast cancer panel</v>
      </c>
      <c r="I2134" s="2" t="s">
        <v>18</v>
      </c>
      <c r="J2134" s="2" t="s">
        <v>17</v>
      </c>
      <c r="K2134" s="4" t="str">
        <f>HYPERLINK("https://www.cortellis.com/drugdiscovery/result/proxy/related-content/biomarkers/genestargets/26754","matrix metallopeptidase 2")</f>
        <v>matrix metallopeptidase 2</v>
      </c>
    </row>
    <row r="2135" spans="1:11" ht="60" customHeight="1" x14ac:dyDescent="0.2">
      <c r="A2135" s="2">
        <v>2132</v>
      </c>
      <c r="B2135" s="3"/>
      <c r="C2135" s="3" t="str">
        <f t="shared" si="363"/>
        <v>MMP2</v>
      </c>
      <c r="D2135" s="3" t="str">
        <f t="shared" si="364"/>
        <v>MMP2_(HUMAN)_transcript</v>
      </c>
      <c r="E2135" s="2" t="s">
        <v>72</v>
      </c>
      <c r="F2135" s="3"/>
      <c r="G2135" s="4"/>
      <c r="H2135" s="3" t="str">
        <f>HYPERLINK("https://www.cortellis.com/drugdiscovery/entity/biomarkers/27598","89-protein neurological alzheimer's panel")</f>
        <v>89-protein neurological alzheimer's panel</v>
      </c>
      <c r="I2135" s="2" t="s">
        <v>23</v>
      </c>
      <c r="J2135" s="2" t="s">
        <v>17</v>
      </c>
      <c r="K2135"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136" spans="1:11" ht="60" customHeight="1" x14ac:dyDescent="0.2">
      <c r="A2136" s="2">
        <v>2133</v>
      </c>
      <c r="B2136" s="3"/>
      <c r="C2136" s="3" t="str">
        <f t="shared" si="363"/>
        <v>MMP2</v>
      </c>
      <c r="D2136" s="3" t="str">
        <f t="shared" si="364"/>
        <v>MMP2_(HUMAN)_transcript</v>
      </c>
      <c r="E2136" s="2" t="s">
        <v>72</v>
      </c>
      <c r="F2136" s="3"/>
      <c r="G2136" s="4"/>
      <c r="H2136" s="3" t="str">
        <f>HYPERLINK("https://www.cortellis.com/drugdiscovery/entity/biomarkers/28165","8-gene expression colorectal cancer panel")</f>
        <v>8-gene expression colorectal cancer panel</v>
      </c>
      <c r="I2136" s="2" t="s">
        <v>18</v>
      </c>
      <c r="J2136" s="2" t="s">
        <v>19</v>
      </c>
      <c r="K2136" s="4" t="str">
        <f>HYPERLINK("https://www.cortellis.com/drugdiscovery/result/proxy/related-content/biomarkers/genestargets/28165","matrix metallopeptidase 2")</f>
        <v>matrix metallopeptidase 2</v>
      </c>
    </row>
    <row r="2137" spans="1:11" ht="60" customHeight="1" x14ac:dyDescent="0.2">
      <c r="A2137" s="2">
        <v>2134</v>
      </c>
      <c r="B2137" s="3"/>
      <c r="C2137" s="3" t="str">
        <f t="shared" si="363"/>
        <v>MMP2</v>
      </c>
      <c r="D2137" s="3" t="str">
        <f t="shared" si="364"/>
        <v>MMP2_(HUMAN)_transcript</v>
      </c>
      <c r="E2137" s="2" t="s">
        <v>72</v>
      </c>
      <c r="F2137" s="3"/>
      <c r="G2137" s="4"/>
      <c r="H2137" s="3" t="str">
        <f>HYPERLINK("https://www.cortellis.com/drugdiscovery/entity/biomarkers/28451","3-protein nasopharyngeal cancer panel")</f>
        <v>3-protein nasopharyngeal cancer panel</v>
      </c>
      <c r="I2137" s="2" t="s">
        <v>23</v>
      </c>
      <c r="J2137" s="2" t="s">
        <v>17</v>
      </c>
      <c r="K2137" s="4" t="str">
        <f>HYPERLINK("https://www.cortellis.com/drugdiscovery/result/proxy/related-content/biomarkers/genestargets/28451","matrix metallopeptidase 2")</f>
        <v>matrix metallopeptidase 2</v>
      </c>
    </row>
    <row r="2138" spans="1:11" ht="60" customHeight="1" x14ac:dyDescent="0.2">
      <c r="A2138" s="2">
        <v>2135</v>
      </c>
      <c r="B2138" s="3"/>
      <c r="C2138" s="3" t="str">
        <f t="shared" si="363"/>
        <v>MMP2</v>
      </c>
      <c r="D2138" s="3" t="str">
        <f t="shared" si="364"/>
        <v>MMP2_(HUMAN)_transcript</v>
      </c>
      <c r="E2138" s="2" t="s">
        <v>72</v>
      </c>
      <c r="F2138" s="3"/>
      <c r="G2138" s="4"/>
      <c r="H2138" s="3" t="str">
        <f>HYPERLINK("https://www.cortellis.com/drugdiscovery/entity/biomarkers/29614","VeriPsych")</f>
        <v>VeriPsych</v>
      </c>
      <c r="I2138" s="2" t="s">
        <v>23</v>
      </c>
      <c r="J2138" s="2" t="s">
        <v>17</v>
      </c>
      <c r="K2138" s="4" t="str">
        <f>HYPERLINK("https://www.cortellis.com/drugdiscovery/result/proxy/related-content/biomarkers/genestargets/29614","interleukin 7; matrix metallopeptidase 2")</f>
        <v>interleukin 7; matrix metallopeptidase 2</v>
      </c>
    </row>
    <row r="2139" spans="1:11" ht="60" customHeight="1" x14ac:dyDescent="0.2">
      <c r="A2139" s="2">
        <v>2136</v>
      </c>
      <c r="B2139" s="3"/>
      <c r="C2139" s="3" t="str">
        <f t="shared" si="363"/>
        <v>MMP2</v>
      </c>
      <c r="D2139" s="3" t="str">
        <f t="shared" si="364"/>
        <v>MMP2_(HUMAN)_transcript</v>
      </c>
      <c r="E2139" s="2" t="s">
        <v>72</v>
      </c>
      <c r="F2139" s="3"/>
      <c r="G2139" s="4"/>
      <c r="H2139" s="3" t="str">
        <f>HYPERLINK("https://www.cortellis.com/drugdiscovery/entity/biomarkers/39112","50-gene expression breast cancer panel")</f>
        <v>50-gene expression breast cancer panel</v>
      </c>
      <c r="I2139" s="2" t="s">
        <v>18</v>
      </c>
      <c r="J2139" s="2" t="s">
        <v>19</v>
      </c>
      <c r="K2139" s="4" t="str">
        <f>HYPERLINK("https://www.cortellis.com/drugdiscovery/result/proxy/related-content/biomarkers/genestargets/39112","matrix metallopeptidase 2")</f>
        <v>matrix metallopeptidase 2</v>
      </c>
    </row>
    <row r="2140" spans="1:11" ht="60" customHeight="1" x14ac:dyDescent="0.2">
      <c r="A2140" s="2">
        <v>2137</v>
      </c>
      <c r="B2140" s="3"/>
      <c r="C2140" s="3" t="str">
        <f t="shared" si="363"/>
        <v>MMP2</v>
      </c>
      <c r="D2140" s="3" t="str">
        <f t="shared" si="364"/>
        <v>MMP2_(HUMAN)_transcript</v>
      </c>
      <c r="E2140" s="2" t="s">
        <v>72</v>
      </c>
      <c r="F2140" s="3"/>
      <c r="G2140" s="4"/>
      <c r="H2140" s="3" t="str">
        <f>HYPERLINK("https://www.cortellis.com/drugdiscovery/entity/biomarkers/43882","530-gene methylation leukemia panel")</f>
        <v>530-gene methylation leukemia panel</v>
      </c>
      <c r="I2140" s="2" t="s">
        <v>25</v>
      </c>
      <c r="J2140" s="2" t="s">
        <v>19</v>
      </c>
      <c r="K2140" s="4" t="str">
        <f>HYPERLINK("https://www.cortellis.com/drugdiscovery/result/proxy/related-content/biomarkers/genestargets/43882","matrix metallopeptidase 2; ribonuclease A family member 3")</f>
        <v>matrix metallopeptidase 2; ribonuclease A family member 3</v>
      </c>
    </row>
    <row r="2141" spans="1:11" ht="60" customHeight="1" x14ac:dyDescent="0.2">
      <c r="A2141" s="2">
        <v>2138</v>
      </c>
      <c r="B2141" s="3"/>
      <c r="C2141" s="3" t="str">
        <f t="shared" si="363"/>
        <v>MMP2</v>
      </c>
      <c r="D2141" s="3" t="str">
        <f t="shared" si="364"/>
        <v>MMP2_(HUMAN)_transcript</v>
      </c>
      <c r="E2141" s="2" t="s">
        <v>72</v>
      </c>
      <c r="F2141" s="3"/>
      <c r="G2141" s="4"/>
      <c r="H2141" s="3" t="str">
        <f>HYPERLINK("https://www.cortellis.com/drugdiscovery/entity/biomarkers/45762","37-protein metastatic colon cancer panel")</f>
        <v>37-protein metastatic colon cancer panel</v>
      </c>
      <c r="I2141" s="2" t="s">
        <v>20</v>
      </c>
      <c r="J2141" s="2" t="s">
        <v>17</v>
      </c>
      <c r="K2141" s="4" t="str">
        <f>HYPERLINK("https://www.cortellis.com/drugdiscovery/result/proxy/related-content/biomarkers/genestargets/45762","matrix metallopeptidase 2; matrix metallopeptidase 9")</f>
        <v>matrix metallopeptidase 2; matrix metallopeptidase 9</v>
      </c>
    </row>
    <row r="2142" spans="1:11" ht="60" customHeight="1" x14ac:dyDescent="0.2">
      <c r="A2142" s="2">
        <v>2139</v>
      </c>
      <c r="B2142" s="3"/>
      <c r="C2142" s="3" t="str">
        <f t="shared" si="363"/>
        <v>MMP2</v>
      </c>
      <c r="D2142" s="3" t="str">
        <f t="shared" si="364"/>
        <v>MMP2_(HUMAN)_transcript</v>
      </c>
      <c r="E2142" s="2" t="s">
        <v>72</v>
      </c>
      <c r="F2142" s="3"/>
      <c r="G2142" s="4"/>
      <c r="H2142" s="3" t="str">
        <f>HYPERLINK("https://www.cortellis.com/drugdiscovery/entity/biomarkers/51682","Multiplex biomarker panel")</f>
        <v>Multiplex biomarker panel</v>
      </c>
      <c r="I2142" s="2" t="s">
        <v>23</v>
      </c>
      <c r="J2142" s="2" t="s">
        <v>15</v>
      </c>
      <c r="K2142" s="4" t="str">
        <f>HYPERLINK("https://www.cortellis.com/drugdiscovery/result/proxy/related-content/biomarkers/genestargets/51682","matrix metallopeptidase 2; matrix metallopeptidase 9")</f>
        <v>matrix metallopeptidase 2; matrix metallopeptidase 9</v>
      </c>
    </row>
    <row r="2143" spans="1:11" ht="60" customHeight="1" x14ac:dyDescent="0.2">
      <c r="A2143" s="2">
        <v>2140</v>
      </c>
      <c r="B2143" s="3"/>
      <c r="C2143" s="3" t="str">
        <f t="shared" si="363"/>
        <v>MMP2</v>
      </c>
      <c r="D2143" s="3" t="str">
        <f t="shared" si="364"/>
        <v>MMP2_(HUMAN)_transcript</v>
      </c>
      <c r="E2143" s="2" t="s">
        <v>72</v>
      </c>
      <c r="F2143" s="3"/>
      <c r="G2143" s="4"/>
      <c r="H2143" s="3" t="str">
        <f>HYPERLINK("https://www.cortellis.com/drugdiscovery/entity/biomarkers/53787","111-gene expression ovarian cancer panel")</f>
        <v>111-gene expression ovarian cancer panel</v>
      </c>
      <c r="I2143" s="2" t="s">
        <v>25</v>
      </c>
      <c r="J2143" s="2" t="s">
        <v>19</v>
      </c>
      <c r="K2143" s="4" t="str">
        <f>HYPERLINK("https://www.cortellis.com/drugdiscovery/result/proxy/related-content/biomarkers/genestargets/53787","matrix metallopeptidase 2")</f>
        <v>matrix metallopeptidase 2</v>
      </c>
    </row>
    <row r="2144" spans="1:11" ht="60" customHeight="1" x14ac:dyDescent="0.2">
      <c r="A2144" s="2">
        <v>2141</v>
      </c>
      <c r="B2144" s="3"/>
      <c r="C2144" s="3" t="str">
        <f t="shared" si="363"/>
        <v>MMP2</v>
      </c>
      <c r="D2144" s="3" t="str">
        <f t="shared" si="364"/>
        <v>MMP2_(HUMAN)_transcript</v>
      </c>
      <c r="E2144" s="2" t="s">
        <v>72</v>
      </c>
      <c r="F2144" s="3"/>
      <c r="G2144" s="4"/>
      <c r="H2144" s="3" t="str">
        <f>HYPERLINK("https://www.cortellis.com/drugdiscovery/entity/biomarkers/56620","45-gene expression cancer panel")</f>
        <v>45-gene expression cancer panel</v>
      </c>
      <c r="I2144" s="2" t="s">
        <v>18</v>
      </c>
      <c r="J2144" s="2" t="s">
        <v>19</v>
      </c>
      <c r="K2144" s="4" t="str">
        <f>HYPERLINK("https://www.cortellis.com/drugdiscovery/result/proxy/related-content/biomarkers/genestargets/56620","matrix metallopeptidase 2")</f>
        <v>matrix metallopeptidase 2</v>
      </c>
    </row>
    <row r="2145" spans="1:11" ht="60" customHeight="1" x14ac:dyDescent="0.2">
      <c r="A2145" s="2">
        <v>2142</v>
      </c>
      <c r="B2145" s="3"/>
      <c r="C2145" s="3" t="str">
        <f t="shared" si="363"/>
        <v>MMP2</v>
      </c>
      <c r="D2145" s="3" t="str">
        <f t="shared" si="364"/>
        <v>MMP2_(HUMAN)_transcript</v>
      </c>
      <c r="E2145" s="2" t="s">
        <v>72</v>
      </c>
      <c r="F2145" s="3"/>
      <c r="G2145" s="4"/>
      <c r="H2145" s="3" t="str">
        <f>HYPERLINK("https://www.cortellis.com/drugdiscovery/entity/biomarkers/57361","36-gene expression soft tissue sarcoma panel")</f>
        <v>36-gene expression soft tissue sarcoma panel</v>
      </c>
      <c r="I2145" s="2" t="s">
        <v>25</v>
      </c>
      <c r="J2145" s="2" t="s">
        <v>19</v>
      </c>
      <c r="K2145" s="4" t="str">
        <f>HYPERLINK("https://www.cortellis.com/drugdiscovery/result/proxy/related-content/biomarkers/genestargets/57361","matrix metallopeptidase 2")</f>
        <v>matrix metallopeptidase 2</v>
      </c>
    </row>
    <row r="2146" spans="1:11" ht="60" customHeight="1" x14ac:dyDescent="0.2">
      <c r="A2146" s="2">
        <v>2143</v>
      </c>
      <c r="B2146" s="3"/>
      <c r="C2146" s="3" t="str">
        <f t="shared" si="363"/>
        <v>MMP2</v>
      </c>
      <c r="D2146" s="3" t="str">
        <f t="shared" si="364"/>
        <v>MMP2_(HUMAN)_transcript</v>
      </c>
      <c r="E2146" s="2" t="s">
        <v>72</v>
      </c>
      <c r="F2146" s="3"/>
      <c r="G2146" s="4"/>
      <c r="H2146" s="3" t="str">
        <f>HYPERLINK("https://www.cortellis.com/drugdiscovery/entity/biomarkers/59959","13-protein Crohn's disease panel")</f>
        <v>13-protein Crohn's disease panel</v>
      </c>
      <c r="I2146" s="2" t="s">
        <v>24</v>
      </c>
      <c r="J2146" s="2" t="s">
        <v>17</v>
      </c>
      <c r="K2146" s="4" t="str">
        <f>HYPERLINK("https://www.cortellis.com/drugdiscovery/result/proxy/related-content/biomarkers/genestargets/59959","interleukin 7; matrix metallopeptidase 2; matrix metallopeptidase 9")</f>
        <v>interleukin 7; matrix metallopeptidase 2; matrix metallopeptidase 9</v>
      </c>
    </row>
    <row r="2147" spans="1:11" ht="60" customHeight="1" x14ac:dyDescent="0.2">
      <c r="A2147" s="2">
        <v>2144</v>
      </c>
      <c r="B2147" s="3"/>
      <c r="C2147" s="3" t="str">
        <f t="shared" si="363"/>
        <v>MMP2</v>
      </c>
      <c r="D2147" s="3" t="str">
        <f t="shared" si="364"/>
        <v>MMP2_(HUMAN)_transcript</v>
      </c>
      <c r="E2147" s="2" t="s">
        <v>72</v>
      </c>
      <c r="F2147" s="3"/>
      <c r="G2147" s="4"/>
      <c r="H2147" s="3" t="str">
        <f>HYPERLINK("https://www.cortellis.com/drugdiscovery/entity/biomarkers/64358","6-triple negative breast cancer panel")</f>
        <v>6-triple negative breast cancer panel</v>
      </c>
      <c r="I2147" s="2" t="s">
        <v>18</v>
      </c>
      <c r="J2147" s="2" t="s">
        <v>19</v>
      </c>
      <c r="K2147" s="4" t="str">
        <f>HYPERLINK("https://www.cortellis.com/drugdiscovery/result/proxy/related-content/biomarkers/genestargets/64358","matrix metallopeptidase 2")</f>
        <v>matrix metallopeptidase 2</v>
      </c>
    </row>
    <row r="2148" spans="1:11" ht="60" customHeight="1" x14ac:dyDescent="0.2">
      <c r="A2148" s="2">
        <v>2145</v>
      </c>
      <c r="B2148" s="3"/>
      <c r="C2148" s="3" t="str">
        <f t="shared" ref="C2148:C2177" si="365">HYPERLINK("https://portal.genego.com/cgi/entity_page.cgi?term=20&amp;id=1390764486","MMP9")</f>
        <v>MMP9</v>
      </c>
      <c r="D2148" s="3" t="str">
        <f t="shared" ref="D2148:D2177" si="366">HYPERLINK("https://portal.genego.com/cgi/entity_page.cgi?term=7&amp;id=-750507891","MMP9_(HUMAN)_transcript")</f>
        <v>MMP9_(HUMAN)_transcript</v>
      </c>
      <c r="E2148" s="2" t="s">
        <v>72</v>
      </c>
      <c r="F2148" s="3"/>
      <c r="G2148" s="4"/>
      <c r="H2148" s="3" t="str">
        <f>HYPERLINK("https://www.cortellis.com/drugdiscovery/entity/biomarkers/65","MammaPrint")</f>
        <v>MammaPrint</v>
      </c>
      <c r="I2148" s="2" t="s">
        <v>58</v>
      </c>
      <c r="J2148" s="2" t="s">
        <v>19</v>
      </c>
      <c r="K2148" s="4" t="str">
        <f>HYPERLINK("https://www.cortellis.com/drugdiscovery/result/proxy/related-content/biomarkers/genestargets/65","matrix metallopeptidase 9")</f>
        <v>matrix metallopeptidase 9</v>
      </c>
    </row>
    <row r="2149" spans="1:11" ht="60" customHeight="1" x14ac:dyDescent="0.2">
      <c r="A2149" s="2">
        <v>2146</v>
      </c>
      <c r="B2149" s="3"/>
      <c r="C2149" s="3" t="str">
        <f t="shared" si="365"/>
        <v>MMP9</v>
      </c>
      <c r="D2149" s="3" t="str">
        <f t="shared" si="366"/>
        <v>MMP9_(HUMAN)_transcript</v>
      </c>
      <c r="E2149" s="2" t="s">
        <v>72</v>
      </c>
      <c r="F2149" s="3"/>
      <c r="G2149" s="4"/>
      <c r="H2149" s="3" t="str">
        <f>HYPERLINK("https://www.cortellis.com/drugdiscovery/entity/biomarkers/173","Matrix metalloproteinase-9")</f>
        <v>Matrix metalloproteinase-9</v>
      </c>
      <c r="I2149" s="2" t="s">
        <v>31</v>
      </c>
      <c r="J2149" s="2" t="s">
        <v>15</v>
      </c>
      <c r="K2149" s="4" t="str">
        <f>HYPERLINK("https://www.cortellis.com/drugdiscovery/result/proxy/related-content/biomarkers/genestargets/173","matrix metallopeptidase 9")</f>
        <v>matrix metallopeptidase 9</v>
      </c>
    </row>
    <row r="2150" spans="1:11" ht="60" customHeight="1" x14ac:dyDescent="0.2">
      <c r="A2150" s="2">
        <v>2147</v>
      </c>
      <c r="B2150" s="3"/>
      <c r="C2150" s="3" t="str">
        <f t="shared" si="365"/>
        <v>MMP9</v>
      </c>
      <c r="D2150" s="3" t="str">
        <f t="shared" si="366"/>
        <v>MMP9_(HUMAN)_transcript</v>
      </c>
      <c r="E2150" s="2" t="s">
        <v>72</v>
      </c>
      <c r="F2150" s="3"/>
      <c r="G2150" s="4"/>
      <c r="H2150" s="3" t="str">
        <f>HYPERLINK("https://www.cortellis.com/drugdiscovery/entity/biomarkers/26294","160-gene expression liver cancer panel")</f>
        <v>160-gene expression liver cancer panel</v>
      </c>
      <c r="I2150" s="2" t="s">
        <v>25</v>
      </c>
      <c r="J2150" s="2" t="s">
        <v>19</v>
      </c>
      <c r="K2150" s="4" t="str">
        <f>HYPERLINK("https://www.cortellis.com/drugdiscovery/result/proxy/related-content/biomarkers/genestargets/26294","matrix metallopeptidase 9")</f>
        <v>matrix metallopeptidase 9</v>
      </c>
    </row>
    <row r="2151" spans="1:11" ht="60" customHeight="1" x14ac:dyDescent="0.2">
      <c r="A2151" s="2">
        <v>2148</v>
      </c>
      <c r="B2151" s="3"/>
      <c r="C2151" s="3" t="str">
        <f t="shared" si="365"/>
        <v>MMP9</v>
      </c>
      <c r="D2151" s="3" t="str">
        <f t="shared" si="366"/>
        <v>MMP9_(HUMAN)_transcript</v>
      </c>
      <c r="E2151" s="2" t="s">
        <v>72</v>
      </c>
      <c r="F2151" s="3"/>
      <c r="G2151" s="4"/>
      <c r="H2151" s="3" t="str">
        <f>HYPERLINK("https://www.cortellis.com/drugdiscovery/entity/biomarkers/27598","89-protein neurological alzheimer's panel")</f>
        <v>89-protein neurological alzheimer's panel</v>
      </c>
      <c r="I2151" s="2" t="s">
        <v>23</v>
      </c>
      <c r="J2151" s="2" t="s">
        <v>17</v>
      </c>
      <c r="K2151"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152" spans="1:11" ht="60" customHeight="1" x14ac:dyDescent="0.2">
      <c r="A2152" s="2">
        <v>2149</v>
      </c>
      <c r="B2152" s="3"/>
      <c r="C2152" s="3" t="str">
        <f t="shared" si="365"/>
        <v>MMP9</v>
      </c>
      <c r="D2152" s="3" t="str">
        <f t="shared" si="366"/>
        <v>MMP9_(HUMAN)_transcript</v>
      </c>
      <c r="E2152" s="2" t="s">
        <v>72</v>
      </c>
      <c r="F2152" s="3"/>
      <c r="G2152" s="4"/>
      <c r="H2152" s="3" t="str">
        <f>HYPERLINK("https://www.cortellis.com/drugdiscovery/entity/biomarkers/27613","9-gene expression ischemic stroke panel")</f>
        <v>9-gene expression ischemic stroke panel</v>
      </c>
      <c r="I2152" s="2" t="s">
        <v>23</v>
      </c>
      <c r="J2152" s="2" t="s">
        <v>19</v>
      </c>
      <c r="K2152" s="4" t="str">
        <f>HYPERLINK("https://www.cortellis.com/drugdiscovery/result/proxy/related-content/biomarkers/genestargets/27613","matrix metallopeptidase 9")</f>
        <v>matrix metallopeptidase 9</v>
      </c>
    </row>
    <row r="2153" spans="1:11" ht="60" customHeight="1" x14ac:dyDescent="0.2">
      <c r="A2153" s="2">
        <v>2150</v>
      </c>
      <c r="B2153" s="3"/>
      <c r="C2153" s="3" t="str">
        <f t="shared" si="365"/>
        <v>MMP9</v>
      </c>
      <c r="D2153" s="3" t="str">
        <f t="shared" si="366"/>
        <v>MMP9_(HUMAN)_transcript</v>
      </c>
      <c r="E2153" s="2" t="s">
        <v>72</v>
      </c>
      <c r="F2153" s="3"/>
      <c r="G2153" s="4"/>
      <c r="H2153" s="3" t="str">
        <f>HYPERLINK("https://www.cortellis.com/drugdiscovery/entity/biomarkers/28479","24-gene expression breast cancer panel")</f>
        <v>24-gene expression breast cancer panel</v>
      </c>
      <c r="I2153" s="2" t="s">
        <v>18</v>
      </c>
      <c r="J2153" s="2" t="s">
        <v>19</v>
      </c>
      <c r="K2153" s="4" t="str">
        <f>HYPERLINK("https://www.cortellis.com/drugdiscovery/result/proxy/related-content/biomarkers/genestargets/28479","matrix metallopeptidase 9")</f>
        <v>matrix metallopeptidase 9</v>
      </c>
    </row>
    <row r="2154" spans="1:11" ht="60" customHeight="1" x14ac:dyDescent="0.2">
      <c r="A2154" s="2">
        <v>2151</v>
      </c>
      <c r="B2154" s="3"/>
      <c r="C2154" s="3" t="str">
        <f t="shared" si="365"/>
        <v>MMP9</v>
      </c>
      <c r="D2154" s="3" t="str">
        <f t="shared" si="366"/>
        <v>MMP9_(HUMAN)_transcript</v>
      </c>
      <c r="E2154" s="2" t="s">
        <v>72</v>
      </c>
      <c r="F2154" s="3"/>
      <c r="G2154" s="4"/>
      <c r="H2154" s="3" t="str">
        <f>HYPERLINK("https://www.cortellis.com/drugdiscovery/entity/biomarkers/34465","10-protein 1-biochemical alzheimer's panel")</f>
        <v>10-protein 1-biochemical alzheimer's panel</v>
      </c>
      <c r="I2154" s="2" t="s">
        <v>23</v>
      </c>
      <c r="J2154" s="2" t="s">
        <v>59</v>
      </c>
      <c r="K2154" s="4" t="str">
        <f>HYPERLINK("https://www.cortellis.com/drugdiscovery/result/proxy/related-content/biomarkers/genestargets/34465","matrix metallopeptidase 9")</f>
        <v>matrix metallopeptidase 9</v>
      </c>
    </row>
    <row r="2155" spans="1:11" ht="60" customHeight="1" x14ac:dyDescent="0.2">
      <c r="A2155" s="2">
        <v>2152</v>
      </c>
      <c r="B2155" s="3"/>
      <c r="C2155" s="3" t="str">
        <f t="shared" si="365"/>
        <v>MMP9</v>
      </c>
      <c r="D2155" s="3" t="str">
        <f t="shared" si="366"/>
        <v>MMP9_(HUMAN)_transcript</v>
      </c>
      <c r="E2155" s="2" t="s">
        <v>72</v>
      </c>
      <c r="F2155" s="3"/>
      <c r="G2155" s="4"/>
      <c r="H2155" s="3" t="str">
        <f>HYPERLINK("https://www.cortellis.com/drugdiscovery/entity/biomarkers/39788","Epithelial-mesenchymal transition gene signature")</f>
        <v>Epithelial-mesenchymal transition gene signature</v>
      </c>
      <c r="I2155" s="2" t="s">
        <v>18</v>
      </c>
      <c r="J2155" s="2" t="s">
        <v>19</v>
      </c>
      <c r="K2155" s="4" t="str">
        <f>HYPERLINK("https://www.cortellis.com/drugdiscovery/result/proxy/related-content/biomarkers/genestargets/39788","C-C motif chemokine ligand 2; matrix metallopeptidase 9")</f>
        <v>C-C motif chemokine ligand 2; matrix metallopeptidase 9</v>
      </c>
    </row>
    <row r="2156" spans="1:11" ht="60" customHeight="1" x14ac:dyDescent="0.2">
      <c r="A2156" s="2">
        <v>2153</v>
      </c>
      <c r="B2156" s="3"/>
      <c r="C2156" s="3" t="str">
        <f t="shared" si="365"/>
        <v>MMP9</v>
      </c>
      <c r="D2156" s="3" t="str">
        <f t="shared" si="366"/>
        <v>MMP9_(HUMAN)_transcript</v>
      </c>
      <c r="E2156" s="2" t="s">
        <v>72</v>
      </c>
      <c r="F2156" s="3"/>
      <c r="G2156" s="4"/>
      <c r="H2156" s="3" t="str">
        <f>HYPERLINK("https://www.cortellis.com/drugdiscovery/entity/biomarkers/41350","10-protein liver cancer panel")</f>
        <v>10-protein liver cancer panel</v>
      </c>
      <c r="I2156" s="2" t="s">
        <v>52</v>
      </c>
      <c r="J2156" s="2" t="s">
        <v>17</v>
      </c>
      <c r="K2156" s="4" t="str">
        <f>HYPERLINK("https://www.cortellis.com/drugdiscovery/result/proxy/related-content/biomarkers/genestargets/41350","matrix metallopeptidase 9")</f>
        <v>matrix metallopeptidase 9</v>
      </c>
    </row>
    <row r="2157" spans="1:11" ht="60" customHeight="1" x14ac:dyDescent="0.2">
      <c r="A2157" s="2">
        <v>2154</v>
      </c>
      <c r="B2157" s="3"/>
      <c r="C2157" s="3" t="str">
        <f t="shared" si="365"/>
        <v>MMP9</v>
      </c>
      <c r="D2157" s="3" t="str">
        <f t="shared" si="366"/>
        <v>MMP9_(HUMAN)_transcript</v>
      </c>
      <c r="E2157" s="2" t="s">
        <v>72</v>
      </c>
      <c r="F2157" s="3"/>
      <c r="G2157" s="4"/>
      <c r="H2157" s="3" t="str">
        <f>HYPERLINK("https://www.cortellis.com/drugdiscovery/entity/biomarkers/41936","5-gene expression breast cancer panel")</f>
        <v>5-gene expression breast cancer panel</v>
      </c>
      <c r="I2157" s="2" t="s">
        <v>60</v>
      </c>
      <c r="J2157" s="2" t="s">
        <v>19</v>
      </c>
      <c r="K2157" s="4" t="str">
        <f>HYPERLINK("https://www.cortellis.com/drugdiscovery/result/proxy/related-content/biomarkers/genestargets/41936","matrix metallopeptidase 9")</f>
        <v>matrix metallopeptidase 9</v>
      </c>
    </row>
    <row r="2158" spans="1:11" ht="60" customHeight="1" x14ac:dyDescent="0.2">
      <c r="A2158" s="2">
        <v>2155</v>
      </c>
      <c r="B2158" s="3"/>
      <c r="C2158" s="3" t="str">
        <f t="shared" si="365"/>
        <v>MMP9</v>
      </c>
      <c r="D2158" s="3" t="str">
        <f t="shared" si="366"/>
        <v>MMP9_(HUMAN)_transcript</v>
      </c>
      <c r="E2158" s="2" t="s">
        <v>72</v>
      </c>
      <c r="F2158" s="3"/>
      <c r="G2158" s="4"/>
      <c r="H2158" s="3" t="str">
        <f>HYPERLINK("https://www.cortellis.com/drugdiscovery/entity/biomarkers/43380","7-protein bladder cancer panel")</f>
        <v>7-protein bladder cancer panel</v>
      </c>
      <c r="I2158" s="2" t="s">
        <v>23</v>
      </c>
      <c r="J2158" s="2" t="s">
        <v>15</v>
      </c>
      <c r="K2158" s="4" t="str">
        <f>HYPERLINK("https://www.cortellis.com/drugdiscovery/result/proxy/related-content/biomarkers/genestargets/43380","matrix metallopeptidase 9")</f>
        <v>matrix metallopeptidase 9</v>
      </c>
    </row>
    <row r="2159" spans="1:11" ht="60" customHeight="1" x14ac:dyDescent="0.2">
      <c r="A2159" s="2">
        <v>2156</v>
      </c>
      <c r="B2159" s="3"/>
      <c r="C2159" s="3" t="str">
        <f t="shared" si="365"/>
        <v>MMP9</v>
      </c>
      <c r="D2159" s="3" t="str">
        <f t="shared" si="366"/>
        <v>MMP9_(HUMAN)_transcript</v>
      </c>
      <c r="E2159" s="2" t="s">
        <v>72</v>
      </c>
      <c r="F2159" s="3"/>
      <c r="G2159" s="4"/>
      <c r="H2159" s="3" t="str">
        <f>HYPERLINK("https://www.cortellis.com/drugdiscovery/entity/biomarkers/43382","3-protein bladder cancer panel")</f>
        <v>3-protein bladder cancer panel</v>
      </c>
      <c r="I2159" s="2" t="s">
        <v>23</v>
      </c>
      <c r="J2159" s="2" t="s">
        <v>17</v>
      </c>
      <c r="K2159" s="4" t="str">
        <f>HYPERLINK("https://www.cortellis.com/drugdiscovery/result/proxy/related-content/biomarkers/genestargets/43382","matrix metallopeptidase 9")</f>
        <v>matrix metallopeptidase 9</v>
      </c>
    </row>
    <row r="2160" spans="1:11" ht="60" customHeight="1" x14ac:dyDescent="0.2">
      <c r="A2160" s="2">
        <v>2157</v>
      </c>
      <c r="B2160" s="3"/>
      <c r="C2160" s="3" t="str">
        <f t="shared" si="365"/>
        <v>MMP9</v>
      </c>
      <c r="D2160" s="3" t="str">
        <f t="shared" si="366"/>
        <v>MMP9_(HUMAN)_transcript</v>
      </c>
      <c r="E2160" s="2" t="s">
        <v>72</v>
      </c>
      <c r="F2160" s="3"/>
      <c r="G2160" s="4"/>
      <c r="H2160" s="3" t="str">
        <f>HYPERLINK("https://www.cortellis.com/drugdiscovery/entity/biomarkers/43994","4-gene expression adenomatous polyps panel")</f>
        <v>4-gene expression adenomatous polyps panel</v>
      </c>
      <c r="I2160" s="2" t="s">
        <v>23</v>
      </c>
      <c r="J2160" s="2" t="s">
        <v>19</v>
      </c>
      <c r="K2160" s="4" t="str">
        <f>HYPERLINK("https://www.cortellis.com/drugdiscovery/result/proxy/related-content/biomarkers/genestargets/43994","matrix metallopeptidase 9")</f>
        <v>matrix metallopeptidase 9</v>
      </c>
    </row>
    <row r="2161" spans="1:11" ht="60" customHeight="1" x14ac:dyDescent="0.2">
      <c r="A2161" s="2">
        <v>2158</v>
      </c>
      <c r="B2161" s="3"/>
      <c r="C2161" s="3" t="str">
        <f t="shared" si="365"/>
        <v>MMP9</v>
      </c>
      <c r="D2161" s="3" t="str">
        <f t="shared" si="366"/>
        <v>MMP9_(HUMAN)_transcript</v>
      </c>
      <c r="E2161" s="2" t="s">
        <v>72</v>
      </c>
      <c r="F2161" s="3"/>
      <c r="G2161" s="4"/>
      <c r="H2161" s="3" t="str">
        <f>HYPERLINK("https://www.cortellis.com/drugdiscovery/entity/biomarkers/43995","8-gene expression colorectal cancer panel")</f>
        <v>8-gene expression colorectal cancer panel</v>
      </c>
      <c r="I2161" s="2" t="s">
        <v>23</v>
      </c>
      <c r="J2161" s="2" t="s">
        <v>19</v>
      </c>
      <c r="K2161" s="4" t="str">
        <f>HYPERLINK("https://www.cortellis.com/drugdiscovery/result/proxy/related-content/biomarkers/genestargets/43995","matrix metallopeptidase 9")</f>
        <v>matrix metallopeptidase 9</v>
      </c>
    </row>
    <row r="2162" spans="1:11" ht="60" customHeight="1" x14ac:dyDescent="0.2">
      <c r="A2162" s="2">
        <v>2159</v>
      </c>
      <c r="B2162" s="3"/>
      <c r="C2162" s="3" t="str">
        <f t="shared" si="365"/>
        <v>MMP9</v>
      </c>
      <c r="D2162" s="3" t="str">
        <f t="shared" si="366"/>
        <v>MMP9_(HUMAN)_transcript</v>
      </c>
      <c r="E2162" s="2" t="s">
        <v>72</v>
      </c>
      <c r="F2162" s="3"/>
      <c r="G2162" s="4"/>
      <c r="H2162" s="3" t="str">
        <f>HYPERLINK("https://www.cortellis.com/drugdiscovery/entity/biomarkers/45762","37-protein metastatic colon cancer panel")</f>
        <v>37-protein metastatic colon cancer panel</v>
      </c>
      <c r="I2162" s="2" t="s">
        <v>20</v>
      </c>
      <c r="J2162" s="2" t="s">
        <v>17</v>
      </c>
      <c r="K2162" s="4" t="str">
        <f>HYPERLINK("https://www.cortellis.com/drugdiscovery/result/proxy/related-content/biomarkers/genestargets/45762","matrix metallopeptidase 2; matrix metallopeptidase 9")</f>
        <v>matrix metallopeptidase 2; matrix metallopeptidase 9</v>
      </c>
    </row>
    <row r="2163" spans="1:11" ht="60" customHeight="1" x14ac:dyDescent="0.2">
      <c r="A2163" s="2">
        <v>2160</v>
      </c>
      <c r="B2163" s="3"/>
      <c r="C2163" s="3" t="str">
        <f t="shared" si="365"/>
        <v>MMP9</v>
      </c>
      <c r="D2163" s="3" t="str">
        <f t="shared" si="366"/>
        <v>MMP9_(HUMAN)_transcript</v>
      </c>
      <c r="E2163" s="2" t="s">
        <v>72</v>
      </c>
      <c r="F2163" s="3"/>
      <c r="G2163" s="4"/>
      <c r="H2163" s="3" t="str">
        <f>HYPERLINK("https://www.cortellis.com/drugdiscovery/entity/biomarkers/48821","10-gene expression clear cell renal cell cancer panel")</f>
        <v>10-gene expression clear cell renal cell cancer panel</v>
      </c>
      <c r="I2163" s="2" t="s">
        <v>18</v>
      </c>
      <c r="J2163" s="2" t="s">
        <v>19</v>
      </c>
      <c r="K2163" s="4" t="str">
        <f>HYPERLINK("https://www.cortellis.com/drugdiscovery/result/proxy/related-content/biomarkers/genestargets/48821","matrix metallopeptidase 9")</f>
        <v>matrix metallopeptidase 9</v>
      </c>
    </row>
    <row r="2164" spans="1:11" ht="60" customHeight="1" x14ac:dyDescent="0.2">
      <c r="A2164" s="2">
        <v>2161</v>
      </c>
      <c r="B2164" s="3"/>
      <c r="C2164" s="3" t="str">
        <f t="shared" si="365"/>
        <v>MMP9</v>
      </c>
      <c r="D2164" s="3" t="str">
        <f t="shared" si="366"/>
        <v>MMP9_(HUMAN)_transcript</v>
      </c>
      <c r="E2164" s="2" t="s">
        <v>72</v>
      </c>
      <c r="F2164" s="3"/>
      <c r="G2164" s="4"/>
      <c r="H2164" s="3" t="str">
        <f>HYPERLINK("https://www.cortellis.com/drugdiscovery/entity/biomarkers/49523","3-protein diffuse B cell lymphoma  panel")</f>
        <v>3-protein diffuse B cell lymphoma  panel</v>
      </c>
      <c r="I2164" s="2" t="s">
        <v>23</v>
      </c>
      <c r="J2164" s="2" t="s">
        <v>17</v>
      </c>
      <c r="K2164" s="4" t="str">
        <f>HYPERLINK("https://www.cortellis.com/drugdiscovery/result/proxy/related-content/biomarkers/genestargets/49523","matrix metallopeptidase 9")</f>
        <v>matrix metallopeptidase 9</v>
      </c>
    </row>
    <row r="2165" spans="1:11" ht="60" customHeight="1" x14ac:dyDescent="0.2">
      <c r="A2165" s="2">
        <v>2162</v>
      </c>
      <c r="B2165" s="3"/>
      <c r="C2165" s="3" t="str">
        <f t="shared" si="365"/>
        <v>MMP9</v>
      </c>
      <c r="D2165" s="3" t="str">
        <f t="shared" si="366"/>
        <v>MMP9_(HUMAN)_transcript</v>
      </c>
      <c r="E2165" s="2" t="s">
        <v>72</v>
      </c>
      <c r="F2165" s="3"/>
      <c r="G2165" s="4"/>
      <c r="H2165" s="3" t="str">
        <f>HYPERLINK("https://www.cortellis.com/drugdiscovery/entity/biomarkers/49848","29-gene expression colorectal cancer panel")</f>
        <v>29-gene expression colorectal cancer panel</v>
      </c>
      <c r="I2165" s="2" t="s">
        <v>23</v>
      </c>
      <c r="J2165" s="2" t="s">
        <v>19</v>
      </c>
      <c r="K2165" s="4" t="str">
        <f>HYPERLINK("https://www.cortellis.com/drugdiscovery/result/proxy/related-content/biomarkers/genestargets/49848","matrix metallopeptidase 9")</f>
        <v>matrix metallopeptidase 9</v>
      </c>
    </row>
    <row r="2166" spans="1:11" ht="60" customHeight="1" x14ac:dyDescent="0.2">
      <c r="A2166" s="2">
        <v>2163</v>
      </c>
      <c r="B2166" s="3"/>
      <c r="C2166" s="3" t="str">
        <f t="shared" si="365"/>
        <v>MMP9</v>
      </c>
      <c r="D2166" s="3" t="str">
        <f t="shared" si="366"/>
        <v>MMP9_(HUMAN)_transcript</v>
      </c>
      <c r="E2166" s="2" t="s">
        <v>72</v>
      </c>
      <c r="F2166" s="3"/>
      <c r="G2166" s="4"/>
      <c r="H2166" s="3" t="str">
        <f>HYPERLINK("https://www.cortellis.com/drugdiscovery/entity/biomarkers/50282","10-protein bladder cancer panel")</f>
        <v>10-protein bladder cancer panel</v>
      </c>
      <c r="I2166" s="2" t="s">
        <v>52</v>
      </c>
      <c r="J2166" s="2" t="s">
        <v>17</v>
      </c>
      <c r="K2166" s="4" t="str">
        <f>HYPERLINK("https://www.cortellis.com/drugdiscovery/result/proxy/related-content/biomarkers/genestargets/50282","matrix metallopeptidase 9")</f>
        <v>matrix metallopeptidase 9</v>
      </c>
    </row>
    <row r="2167" spans="1:11" ht="60" customHeight="1" x14ac:dyDescent="0.2">
      <c r="A2167" s="2">
        <v>2164</v>
      </c>
      <c r="B2167" s="3"/>
      <c r="C2167" s="3" t="str">
        <f t="shared" si="365"/>
        <v>MMP9</v>
      </c>
      <c r="D2167" s="3" t="str">
        <f t="shared" si="366"/>
        <v>MMP9_(HUMAN)_transcript</v>
      </c>
      <c r="E2167" s="2" t="s">
        <v>72</v>
      </c>
      <c r="F2167" s="3"/>
      <c r="G2167" s="4"/>
      <c r="H2167" s="3" t="str">
        <f>HYPERLINK("https://www.cortellis.com/drugdiscovery/entity/biomarkers/50774","9-protein Kawasaki's disease panel")</f>
        <v>9-protein Kawasaki's disease panel</v>
      </c>
      <c r="I2167" s="2" t="s">
        <v>23</v>
      </c>
      <c r="J2167" s="2" t="s">
        <v>17</v>
      </c>
      <c r="K2167" s="4" t="str">
        <f>HYPERLINK("https://www.cortellis.com/drugdiscovery/result/proxy/related-content/biomarkers/genestargets/50774","matrix metallopeptidase 9; solute carrier family 11 member 1")</f>
        <v>matrix metallopeptidase 9; solute carrier family 11 member 1</v>
      </c>
    </row>
    <row r="2168" spans="1:11" ht="60" customHeight="1" x14ac:dyDescent="0.2">
      <c r="A2168" s="2">
        <v>2165</v>
      </c>
      <c r="B2168" s="3"/>
      <c r="C2168" s="3" t="str">
        <f t="shared" si="365"/>
        <v>MMP9</v>
      </c>
      <c r="D2168" s="3" t="str">
        <f t="shared" si="366"/>
        <v>MMP9_(HUMAN)_transcript</v>
      </c>
      <c r="E2168" s="2" t="s">
        <v>72</v>
      </c>
      <c r="F2168" s="3"/>
      <c r="G2168" s="4"/>
      <c r="H2168" s="3" t="str">
        <f>HYPERLINK("https://www.cortellis.com/drugdiscovery/entity/biomarkers/50815","4-protein serous ovarian cancer panel")</f>
        <v>4-protein serous ovarian cancer panel</v>
      </c>
      <c r="I2168" s="2" t="s">
        <v>23</v>
      </c>
      <c r="J2168" s="2" t="s">
        <v>17</v>
      </c>
      <c r="K2168" s="4" t="str">
        <f>HYPERLINK("https://www.cortellis.com/drugdiscovery/result/proxy/related-content/biomarkers/genestargets/50815","matrix metallopeptidase 9")</f>
        <v>matrix metallopeptidase 9</v>
      </c>
    </row>
    <row r="2169" spans="1:11" ht="60" customHeight="1" x14ac:dyDescent="0.2">
      <c r="A2169" s="2">
        <v>2166</v>
      </c>
      <c r="B2169" s="3"/>
      <c r="C2169" s="3" t="str">
        <f t="shared" si="365"/>
        <v>MMP9</v>
      </c>
      <c r="D2169" s="3" t="str">
        <f t="shared" si="366"/>
        <v>MMP9_(HUMAN)_transcript</v>
      </c>
      <c r="E2169" s="2" t="s">
        <v>72</v>
      </c>
      <c r="F2169" s="3"/>
      <c r="G2169" s="4"/>
      <c r="H2169" s="3" t="str">
        <f>HYPERLINK("https://www.cortellis.com/drugdiscovery/entity/biomarkers/51682","Multiplex biomarker panel")</f>
        <v>Multiplex biomarker panel</v>
      </c>
      <c r="I2169" s="2" t="s">
        <v>23</v>
      </c>
      <c r="J2169" s="2" t="s">
        <v>15</v>
      </c>
      <c r="K2169" s="4" t="str">
        <f>HYPERLINK("https://www.cortellis.com/drugdiscovery/result/proxy/related-content/biomarkers/genestargets/51682","matrix metallopeptidase 2; matrix metallopeptidase 9")</f>
        <v>matrix metallopeptidase 2; matrix metallopeptidase 9</v>
      </c>
    </row>
    <row r="2170" spans="1:11" ht="60" customHeight="1" x14ac:dyDescent="0.2">
      <c r="A2170" s="2">
        <v>2167</v>
      </c>
      <c r="B2170" s="3"/>
      <c r="C2170" s="3" t="str">
        <f t="shared" si="365"/>
        <v>MMP9</v>
      </c>
      <c r="D2170" s="3" t="str">
        <f t="shared" si="366"/>
        <v>MMP9_(HUMAN)_transcript</v>
      </c>
      <c r="E2170" s="2" t="s">
        <v>72</v>
      </c>
      <c r="F2170" s="3"/>
      <c r="G2170" s="4"/>
      <c r="H2170" s="3" t="str">
        <f>HYPERLINK("https://www.cortellis.com/drugdiscovery/entity/biomarkers/51857","20-protein psychiatric disorders panel")</f>
        <v>20-protein psychiatric disorders panel</v>
      </c>
      <c r="I2170" s="2" t="s">
        <v>23</v>
      </c>
      <c r="J2170" s="2" t="s">
        <v>17</v>
      </c>
      <c r="K2170" s="4" t="str">
        <f>HYPERLINK("https://www.cortellis.com/drugdiscovery/result/proxy/related-content/biomarkers/genestargets/51857","matrix metallopeptidase 9")</f>
        <v>matrix metallopeptidase 9</v>
      </c>
    </row>
    <row r="2171" spans="1:11" ht="60" customHeight="1" x14ac:dyDescent="0.2">
      <c r="A2171" s="2">
        <v>2168</v>
      </c>
      <c r="B2171" s="3"/>
      <c r="C2171" s="3" t="str">
        <f t="shared" si="365"/>
        <v>MMP9</v>
      </c>
      <c r="D2171" s="3" t="str">
        <f t="shared" si="366"/>
        <v>MMP9_(HUMAN)_transcript</v>
      </c>
      <c r="E2171" s="2" t="s">
        <v>72</v>
      </c>
      <c r="F2171" s="3"/>
      <c r="G2171" s="4"/>
      <c r="H2171" s="3" t="str">
        <f>HYPERLINK("https://www.cortellis.com/drugdiscovery/entity/biomarkers/51943","3-protein colorectal cancer panel")</f>
        <v>3-protein colorectal cancer panel</v>
      </c>
      <c r="I2171" s="2" t="s">
        <v>25</v>
      </c>
      <c r="J2171" s="2" t="s">
        <v>17</v>
      </c>
      <c r="K2171" s="4" t="str">
        <f>HYPERLINK("https://www.cortellis.com/drugdiscovery/result/proxy/related-content/biomarkers/genestargets/51943","matrix metallopeptidase 9")</f>
        <v>matrix metallopeptidase 9</v>
      </c>
    </row>
    <row r="2172" spans="1:11" ht="60" customHeight="1" x14ac:dyDescent="0.2">
      <c r="A2172" s="2">
        <v>2169</v>
      </c>
      <c r="B2172" s="3"/>
      <c r="C2172" s="3" t="str">
        <f t="shared" si="365"/>
        <v>MMP9</v>
      </c>
      <c r="D2172" s="3" t="str">
        <f t="shared" si="366"/>
        <v>MMP9_(HUMAN)_transcript</v>
      </c>
      <c r="E2172" s="2" t="s">
        <v>72</v>
      </c>
      <c r="F2172" s="3"/>
      <c r="G2172" s="4"/>
      <c r="H2172" s="3" t="str">
        <f>HYPERLINK("https://www.cortellis.com/drugdiscovery/entity/biomarkers/53826","10-protein bladder cancer panel")</f>
        <v>10-protein bladder cancer panel</v>
      </c>
      <c r="I2172" s="2" t="s">
        <v>23</v>
      </c>
      <c r="J2172" s="2" t="s">
        <v>17</v>
      </c>
      <c r="K2172" s="4" t="str">
        <f>HYPERLINK("https://www.cortellis.com/drugdiscovery/result/proxy/related-content/biomarkers/genestargets/53826","matrix metallopeptidase 9")</f>
        <v>matrix metallopeptidase 9</v>
      </c>
    </row>
    <row r="2173" spans="1:11" ht="60" customHeight="1" x14ac:dyDescent="0.2">
      <c r="A2173" s="2">
        <v>2170</v>
      </c>
      <c r="B2173" s="3"/>
      <c r="C2173" s="3" t="str">
        <f t="shared" si="365"/>
        <v>MMP9</v>
      </c>
      <c r="D2173" s="3" t="str">
        <f t="shared" si="366"/>
        <v>MMP9_(HUMAN)_transcript</v>
      </c>
      <c r="E2173" s="2" t="s">
        <v>72</v>
      </c>
      <c r="F2173" s="3"/>
      <c r="G2173" s="4"/>
      <c r="H2173" s="3" t="str">
        <f>HYPERLINK("https://www.cortellis.com/drugdiscovery/entity/biomarkers/54509","5-protein hepatotoxicty panel")</f>
        <v>5-protein hepatotoxicty panel</v>
      </c>
      <c r="I2173" s="2" t="s">
        <v>23</v>
      </c>
      <c r="J2173" s="2" t="s">
        <v>17</v>
      </c>
      <c r="K2173" s="4" t="str">
        <f>HYPERLINK("https://www.cortellis.com/drugdiscovery/result/proxy/related-content/biomarkers/genestargets/54509","matrix metallopeptidase 9")</f>
        <v>matrix metallopeptidase 9</v>
      </c>
    </row>
    <row r="2174" spans="1:11" ht="60" customHeight="1" x14ac:dyDescent="0.2">
      <c r="A2174" s="2">
        <v>2171</v>
      </c>
      <c r="B2174" s="3"/>
      <c r="C2174" s="3" t="str">
        <f t="shared" si="365"/>
        <v>MMP9</v>
      </c>
      <c r="D2174" s="3" t="str">
        <f t="shared" si="366"/>
        <v>MMP9_(HUMAN)_transcript</v>
      </c>
      <c r="E2174" s="2" t="s">
        <v>72</v>
      </c>
      <c r="F2174" s="3"/>
      <c r="G2174" s="4"/>
      <c r="H2174" s="3" t="str">
        <f>HYPERLINK("https://www.cortellis.com/drugdiscovery/entity/biomarkers/55657","4-protein cardiovascular disorder panel")</f>
        <v>4-protein cardiovascular disorder panel</v>
      </c>
      <c r="I2174" s="2" t="s">
        <v>29</v>
      </c>
      <c r="J2174" s="2" t="s">
        <v>17</v>
      </c>
      <c r="K2174" s="4" t="str">
        <f>HYPERLINK("https://www.cortellis.com/drugdiscovery/result/proxy/related-content/biomarkers/genestargets/55657","matrix metallopeptidase 9")</f>
        <v>matrix metallopeptidase 9</v>
      </c>
    </row>
    <row r="2175" spans="1:11" ht="60" customHeight="1" x14ac:dyDescent="0.2">
      <c r="A2175" s="2">
        <v>2172</v>
      </c>
      <c r="B2175" s="3"/>
      <c r="C2175" s="3" t="str">
        <f t="shared" si="365"/>
        <v>MMP9</v>
      </c>
      <c r="D2175" s="3" t="str">
        <f t="shared" si="366"/>
        <v>MMP9_(HUMAN)_transcript</v>
      </c>
      <c r="E2175" s="2" t="s">
        <v>72</v>
      </c>
      <c r="F2175" s="3"/>
      <c r="G2175" s="4"/>
      <c r="H2175" s="3" t="str">
        <f>HYPERLINK("https://www.cortellis.com/drugdiscovery/entity/biomarkers/59957","10-protein obstructive pulmonary disease panel")</f>
        <v>10-protein obstructive pulmonary disease panel</v>
      </c>
      <c r="I2175" s="2" t="s">
        <v>20</v>
      </c>
      <c r="J2175" s="2" t="s">
        <v>17</v>
      </c>
      <c r="K2175" s="4" t="str">
        <f>HYPERLINK("https://www.cortellis.com/drugdiscovery/result/proxy/related-content/biomarkers/genestargets/59957","matrix metallopeptidase 9; ribonuclease A family member 3")</f>
        <v>matrix metallopeptidase 9; ribonuclease A family member 3</v>
      </c>
    </row>
    <row r="2176" spans="1:11" ht="60" customHeight="1" x14ac:dyDescent="0.2">
      <c r="A2176" s="2">
        <v>2173</v>
      </c>
      <c r="B2176" s="3"/>
      <c r="C2176" s="3" t="str">
        <f t="shared" si="365"/>
        <v>MMP9</v>
      </c>
      <c r="D2176" s="3" t="str">
        <f t="shared" si="366"/>
        <v>MMP9_(HUMAN)_transcript</v>
      </c>
      <c r="E2176" s="2" t="s">
        <v>72</v>
      </c>
      <c r="F2176" s="3"/>
      <c r="G2176" s="4"/>
      <c r="H2176" s="3" t="str">
        <f>HYPERLINK("https://www.cortellis.com/drugdiscovery/entity/biomarkers/59959","13-protein Crohn's disease panel")</f>
        <v>13-protein Crohn's disease panel</v>
      </c>
      <c r="I2176" s="2" t="s">
        <v>24</v>
      </c>
      <c r="J2176" s="2" t="s">
        <v>17</v>
      </c>
      <c r="K2176" s="4" t="str">
        <f>HYPERLINK("https://www.cortellis.com/drugdiscovery/result/proxy/related-content/biomarkers/genestargets/59959","interleukin 7; matrix metallopeptidase 2; matrix metallopeptidase 9")</f>
        <v>interleukin 7; matrix metallopeptidase 2; matrix metallopeptidase 9</v>
      </c>
    </row>
    <row r="2177" spans="1:11" ht="60" customHeight="1" x14ac:dyDescent="0.2">
      <c r="A2177" s="2">
        <v>2174</v>
      </c>
      <c r="B2177" s="3"/>
      <c r="C2177" s="3" t="str">
        <f t="shared" si="365"/>
        <v>MMP9</v>
      </c>
      <c r="D2177" s="3" t="str">
        <f t="shared" si="366"/>
        <v>MMP9_(HUMAN)_transcript</v>
      </c>
      <c r="E2177" s="2" t="s">
        <v>72</v>
      </c>
      <c r="F2177" s="3"/>
      <c r="G2177" s="4"/>
      <c r="H2177" s="3" t="str">
        <f>HYPERLINK("https://www.cortellis.com/drugdiscovery/entity/biomarkers/59979","10-protein bladder cancer panel")</f>
        <v>10-protein bladder cancer panel</v>
      </c>
      <c r="I2177" s="2" t="s">
        <v>23</v>
      </c>
      <c r="J2177" s="2" t="s">
        <v>17</v>
      </c>
      <c r="K2177" s="4" t="str">
        <f>HYPERLINK("https://www.cortellis.com/drugdiscovery/result/proxy/related-content/biomarkers/genestargets/59979","matrix metallopeptidase 9")</f>
        <v>matrix metallopeptidase 9</v>
      </c>
    </row>
    <row r="2178" spans="1:11" ht="60" customHeight="1" x14ac:dyDescent="0.2">
      <c r="A2178" s="2">
        <v>2175</v>
      </c>
      <c r="B2178" s="3"/>
      <c r="C2178" s="3" t="str">
        <f>HYPERLINK("https://portal.genego.com/cgi/entity_page.cgi?term=20&amp;id=-1010126543","NFKBIL1")</f>
        <v>NFKBIL1</v>
      </c>
      <c r="D2178" s="3" t="str">
        <f>HYPERLINK("https://portal.genego.com/cgi/entity_page.cgi?term=7&amp;id=-2007554252","NFKBIL1_(HUMAN)_transcript")</f>
        <v>NFKBIL1_(HUMAN)_transcript</v>
      </c>
      <c r="E2178" s="2" t="s">
        <v>72</v>
      </c>
      <c r="F2178" s="3"/>
      <c r="G2178" s="4"/>
      <c r="H2178" s="3" t="str">
        <f>HYPERLINK("https://www.cortellis.com/drugdiscovery/entity/biomarkers/5240","NF-kappaB inhibitor-like protein 1")</f>
        <v>NF-kappaB inhibitor-like protein 1</v>
      </c>
      <c r="I2178" s="2" t="s">
        <v>62</v>
      </c>
      <c r="J2178" s="2" t="s">
        <v>19</v>
      </c>
      <c r="K2178" s="4" t="str">
        <f>HYPERLINK("https://www.cortellis.com/drugdiscovery/result/proxy/related-content/biomarkers/genestargets/5240","NFKB inhibitor like 1")</f>
        <v>NFKB inhibitor like 1</v>
      </c>
    </row>
    <row r="2179" spans="1:11" ht="60" customHeight="1" x14ac:dyDescent="0.2">
      <c r="A2179" s="2">
        <v>2176</v>
      </c>
      <c r="B2179" s="3"/>
      <c r="C2179" s="3" t="str">
        <f>HYPERLINK("https://portal.genego.com/cgi/entity_page.cgi?term=20&amp;id=649973573","PTPN22")</f>
        <v>PTPN22</v>
      </c>
      <c r="D2179" s="3" t="str">
        <f>HYPERLINK("https://portal.genego.com/cgi/entity_page.cgi?term=7&amp;id=-1135734568","PTPN22_(HUMAN)_transcript")</f>
        <v>PTPN22_(HUMAN)_transcript</v>
      </c>
      <c r="E2179" s="2" t="s">
        <v>72</v>
      </c>
      <c r="F2179" s="3"/>
      <c r="G2179" s="4"/>
      <c r="H2179" s="3" t="str">
        <f>HYPERLINK("https://www.cortellis.com/drugdiscovery/entity/biomarkers/1151","Tyrosine-protein phosphatase non-receptor type 22")</f>
        <v>Tyrosine-protein phosphatase non-receptor type 22</v>
      </c>
      <c r="I2179" s="2" t="s">
        <v>68</v>
      </c>
      <c r="J2179" s="2" t="s">
        <v>19</v>
      </c>
      <c r="K2179" s="4" t="str">
        <f>HYPERLINK("https://www.cortellis.com/drugdiscovery/result/proxy/related-content/biomarkers/genestargets/1151","protein tyrosine phosphatase non-receptor type 22")</f>
        <v>protein tyrosine phosphatase non-receptor type 22</v>
      </c>
    </row>
    <row r="2180" spans="1:11" ht="60" customHeight="1" x14ac:dyDescent="0.2">
      <c r="A2180" s="2">
        <v>2177</v>
      </c>
      <c r="B2180" s="3"/>
      <c r="C2180" s="3" t="str">
        <f>HYPERLINK("https://portal.genego.com/cgi/entity_page.cgi?term=20&amp;id=649973573","PTPN22")</f>
        <v>PTPN22</v>
      </c>
      <c r="D2180" s="3" t="str">
        <f>HYPERLINK("https://portal.genego.com/cgi/entity_page.cgi?term=7&amp;id=-1135734568","PTPN22_(HUMAN)_transcript")</f>
        <v>PTPN22_(HUMAN)_transcript</v>
      </c>
      <c r="E2180" s="2" t="s">
        <v>72</v>
      </c>
      <c r="F2180" s="3"/>
      <c r="G2180" s="4"/>
      <c r="H2180" s="3" t="str">
        <f>HYPERLINK("https://www.cortellis.com/drugdiscovery/entity/biomarkers/27550","27-gene polymorphism rheumatoid arthritis panel")</f>
        <v>27-gene polymorphism rheumatoid arthritis panel</v>
      </c>
      <c r="I2180" s="2" t="s">
        <v>29</v>
      </c>
      <c r="J2180" s="2" t="s">
        <v>19</v>
      </c>
      <c r="K2180" s="4" t="str">
        <f>HYPERLINK("https://www.cortellis.com/drugdiscovery/result/proxy/related-content/biomarkers/genestargets/27550","cytotoxic T-lymphocyte associated protein 4; protein tyrosine phosphatase non-receptor type 22; protein tyrosine phosphatase receptor type C")</f>
        <v>cytotoxic T-lymphocyte associated protein 4; protein tyrosine phosphatase non-receptor type 22; protein tyrosine phosphatase receptor type C</v>
      </c>
    </row>
    <row r="2181" spans="1:11" ht="60" customHeight="1" x14ac:dyDescent="0.2">
      <c r="A2181" s="2">
        <v>2178</v>
      </c>
      <c r="B2181" s="3"/>
      <c r="C2181" s="3" t="str">
        <f>HYPERLINK("https://portal.genego.com/cgi/entity_page.cgi?term=20&amp;id=649973573","PTPN22")</f>
        <v>PTPN22</v>
      </c>
      <c r="D2181" s="3" t="str">
        <f>HYPERLINK("https://portal.genego.com/cgi/entity_page.cgi?term=7&amp;id=-1135734568","PTPN22_(HUMAN)_transcript")</f>
        <v>PTPN22_(HUMAN)_transcript</v>
      </c>
      <c r="E2181" s="2" t="s">
        <v>72</v>
      </c>
      <c r="F2181" s="3"/>
      <c r="G2181" s="4"/>
      <c r="H2181" s="3" t="str">
        <f>HYPERLINK("https://www.cortellis.com/drugdiscovery/entity/biomarkers/45651","117-gene expression breast cancer panel")</f>
        <v>117-gene expression breast cancer panel</v>
      </c>
      <c r="I2181" s="2" t="s">
        <v>25</v>
      </c>
      <c r="J2181" s="2" t="s">
        <v>19</v>
      </c>
      <c r="K2181" s="4" t="str">
        <f>HYPERLINK("https://www.cortellis.com/drugdiscovery/result/proxy/related-content/biomarkers/genestargets/45651","protein tyrosine phosphatase non-receptor type 22; protein tyrosine phosphatase receptor type C")</f>
        <v>protein tyrosine phosphatase non-receptor type 22; protein tyrosine phosphatase receptor type C</v>
      </c>
    </row>
    <row r="2182" spans="1:11" ht="60" customHeight="1" x14ac:dyDescent="0.2">
      <c r="A2182" s="2">
        <v>2179</v>
      </c>
      <c r="B2182" s="3"/>
      <c r="C2182" s="3" t="str">
        <f t="shared" ref="C2182:C2199" si="367">HYPERLINK("https://portal.genego.com/cgi/entity_page.cgi?term=20&amp;id=1797096388","PTPRC")</f>
        <v>PTPRC</v>
      </c>
      <c r="D2182" s="3" t="str">
        <f t="shared" ref="D2182:D2199" si="368">HYPERLINK("https://portal.genego.com/cgi/entity_page.cgi?term=7&amp;id=-1465322713","PTPRC_(HUMAN)_transcript")</f>
        <v>PTPRC_(HUMAN)_transcript</v>
      </c>
      <c r="E2182" s="2" t="s">
        <v>72</v>
      </c>
      <c r="F2182" s="3"/>
      <c r="G2182" s="4"/>
      <c r="H2182" s="3" t="str">
        <f>HYPERLINK("https://www.cortellis.com/drugdiscovery/entity/biomarkers/1942","Leukocyte common antigen")</f>
        <v>Leukocyte common antigen</v>
      </c>
      <c r="I2182" s="2" t="s">
        <v>31</v>
      </c>
      <c r="J2182" s="2" t="s">
        <v>15</v>
      </c>
      <c r="K2182" s="4" t="str">
        <f>HYPERLINK("https://www.cortellis.com/drugdiscovery/result/proxy/related-content/biomarkers/genestargets/1942","protein tyrosine phosphatase receptor type C")</f>
        <v>protein tyrosine phosphatase receptor type C</v>
      </c>
    </row>
    <row r="2183" spans="1:11" ht="60" customHeight="1" x14ac:dyDescent="0.2">
      <c r="A2183" s="2">
        <v>2180</v>
      </c>
      <c r="B2183" s="3"/>
      <c r="C2183" s="3" t="str">
        <f t="shared" si="367"/>
        <v>PTPRC</v>
      </c>
      <c r="D2183" s="3" t="str">
        <f t="shared" si="368"/>
        <v>PTPRC_(HUMAN)_transcript</v>
      </c>
      <c r="E2183" s="2" t="s">
        <v>72</v>
      </c>
      <c r="F2183" s="3"/>
      <c r="G2183" s="4"/>
      <c r="H2183" s="3" t="str">
        <f>HYPERLINK("https://www.cortellis.com/drugdiscovery/entity/biomarkers/25633","42-gene expression cancer panel")</f>
        <v>42-gene expression cancer panel</v>
      </c>
      <c r="I2183" s="2" t="s">
        <v>32</v>
      </c>
      <c r="J2183" s="2" t="s">
        <v>19</v>
      </c>
      <c r="K2183" s="4" t="str">
        <f>HYPERLINK("https://www.cortellis.com/drugdiscovery/result/proxy/related-content/biomarkers/genestargets/25633","protein tyrosine phosphatase receptor type C")</f>
        <v>protein tyrosine phosphatase receptor type C</v>
      </c>
    </row>
    <row r="2184" spans="1:11" ht="60" customHeight="1" x14ac:dyDescent="0.2">
      <c r="A2184" s="2">
        <v>2181</v>
      </c>
      <c r="B2184" s="3"/>
      <c r="C2184" s="3" t="str">
        <f t="shared" si="367"/>
        <v>PTPRC</v>
      </c>
      <c r="D2184" s="3" t="str">
        <f t="shared" si="368"/>
        <v>PTPRC_(HUMAN)_transcript</v>
      </c>
      <c r="E2184" s="2" t="s">
        <v>72</v>
      </c>
      <c r="F2184" s="3"/>
      <c r="G2184" s="4"/>
      <c r="H2184" s="3" t="str">
        <f>HYPERLINK("https://www.cortellis.com/drugdiscovery/entity/biomarkers/25969","45-gene expression kidney transplant rejection panel")</f>
        <v>45-gene expression kidney transplant rejection panel</v>
      </c>
      <c r="I2184" s="2" t="s">
        <v>23</v>
      </c>
      <c r="J2184" s="2" t="s">
        <v>19</v>
      </c>
      <c r="K2184" s="4" t="str">
        <f>HYPERLINK("https://www.cortellis.com/drugdiscovery/result/proxy/related-content/biomarkers/genestargets/25969","protein tyrosine phosphatase receptor type C")</f>
        <v>protein tyrosine phosphatase receptor type C</v>
      </c>
    </row>
    <row r="2185" spans="1:11" ht="60" customHeight="1" x14ac:dyDescent="0.2">
      <c r="A2185" s="2">
        <v>2182</v>
      </c>
      <c r="B2185" s="3"/>
      <c r="C2185" s="3" t="str">
        <f t="shared" si="367"/>
        <v>PTPRC</v>
      </c>
      <c r="D2185" s="3" t="str">
        <f t="shared" si="368"/>
        <v>PTPRC_(HUMAN)_transcript</v>
      </c>
      <c r="E2185" s="2" t="s">
        <v>72</v>
      </c>
      <c r="F2185" s="3"/>
      <c r="G2185" s="4"/>
      <c r="H2185" s="3" t="str">
        <f>HYPERLINK("https://www.cortellis.com/drugdiscovery/entity/biomarkers/26318","AclarusDx")</f>
        <v>AclarusDx</v>
      </c>
      <c r="I2185" s="2" t="s">
        <v>23</v>
      </c>
      <c r="J2185" s="2" t="s">
        <v>19</v>
      </c>
      <c r="K2185" s="4" t="str">
        <f>HYPERLINK("https://www.cortellis.com/drugdiscovery/result/proxy/related-content/biomarkers/genestargets/26318","protein tyrosine phosphatase receptor type C")</f>
        <v>protein tyrosine phosphatase receptor type C</v>
      </c>
    </row>
    <row r="2186" spans="1:11" ht="60" customHeight="1" x14ac:dyDescent="0.2">
      <c r="A2186" s="2">
        <v>2183</v>
      </c>
      <c r="B2186" s="3"/>
      <c r="C2186" s="3" t="str">
        <f t="shared" si="367"/>
        <v>PTPRC</v>
      </c>
      <c r="D2186" s="3" t="str">
        <f t="shared" si="368"/>
        <v>PTPRC_(HUMAN)_transcript</v>
      </c>
      <c r="E2186" s="2" t="s">
        <v>72</v>
      </c>
      <c r="F2186" s="3"/>
      <c r="G2186" s="4"/>
      <c r="H2186" s="3" t="str">
        <f>HYPERLINK("https://www.cortellis.com/drugdiscovery/entity/biomarkers/27550","27-gene polymorphism rheumatoid arthritis panel")</f>
        <v>27-gene polymorphism rheumatoid arthritis panel</v>
      </c>
      <c r="I2186" s="2" t="s">
        <v>29</v>
      </c>
      <c r="J2186" s="2" t="s">
        <v>19</v>
      </c>
      <c r="K2186" s="4" t="str">
        <f>HYPERLINK("https://www.cortellis.com/drugdiscovery/result/proxy/related-content/biomarkers/genestargets/27550","cytotoxic T-lymphocyte associated protein 4; protein tyrosine phosphatase non-receptor type 22; protein tyrosine phosphatase receptor type C")</f>
        <v>cytotoxic T-lymphocyte associated protein 4; protein tyrosine phosphatase non-receptor type 22; protein tyrosine phosphatase receptor type C</v>
      </c>
    </row>
    <row r="2187" spans="1:11" ht="60" customHeight="1" x14ac:dyDescent="0.2">
      <c r="A2187" s="2">
        <v>2184</v>
      </c>
      <c r="B2187" s="3"/>
      <c r="C2187" s="3" t="str">
        <f t="shared" si="367"/>
        <v>PTPRC</v>
      </c>
      <c r="D2187" s="3" t="str">
        <f t="shared" si="368"/>
        <v>PTPRC_(HUMAN)_transcript</v>
      </c>
      <c r="E2187" s="2" t="s">
        <v>72</v>
      </c>
      <c r="F2187" s="3"/>
      <c r="G2187" s="4"/>
      <c r="H2187" s="3" t="str">
        <f>HYPERLINK("https://www.cortellis.com/drugdiscovery/entity/biomarkers/37946","44-gene expression breast cancer panel")</f>
        <v>44-gene expression breast cancer panel</v>
      </c>
      <c r="I2187" s="2" t="s">
        <v>33</v>
      </c>
      <c r="J2187" s="2" t="s">
        <v>19</v>
      </c>
      <c r="K2187" s="4" t="str">
        <f>HYPERLINK("https://www.cortellis.com/drugdiscovery/result/proxy/related-content/biomarkers/genestargets/37946","CD274 molecule; protein tyrosine phosphatase receptor type C")</f>
        <v>CD274 molecule; protein tyrosine phosphatase receptor type C</v>
      </c>
    </row>
    <row r="2188" spans="1:11" ht="60" customHeight="1" x14ac:dyDescent="0.2">
      <c r="A2188" s="2">
        <v>2185</v>
      </c>
      <c r="B2188" s="3"/>
      <c r="C2188" s="3" t="str">
        <f t="shared" si="367"/>
        <v>PTPRC</v>
      </c>
      <c r="D2188" s="3" t="str">
        <f t="shared" si="368"/>
        <v>PTPRC_(HUMAN)_transcript</v>
      </c>
      <c r="E2188" s="2" t="s">
        <v>72</v>
      </c>
      <c r="F2188" s="3"/>
      <c r="G2188" s="4"/>
      <c r="H2188" s="3" t="str">
        <f>HYPERLINK("https://www.cortellis.com/drugdiscovery/entity/biomarkers/37985","160-gene expression lung cancer panel")</f>
        <v>160-gene expression lung cancer panel</v>
      </c>
      <c r="I2188" s="2" t="s">
        <v>25</v>
      </c>
      <c r="J2188" s="2" t="s">
        <v>19</v>
      </c>
      <c r="K2188" s="4" t="str">
        <f>HYPERLINK("https://www.cortellis.com/drugdiscovery/result/proxy/related-content/biomarkers/genestargets/37985","protein tyrosine phosphatase receptor type C")</f>
        <v>protein tyrosine phosphatase receptor type C</v>
      </c>
    </row>
    <row r="2189" spans="1:11" ht="60" customHeight="1" x14ac:dyDescent="0.2">
      <c r="A2189" s="2">
        <v>2186</v>
      </c>
      <c r="B2189" s="3"/>
      <c r="C2189" s="3" t="str">
        <f t="shared" si="367"/>
        <v>PTPRC</v>
      </c>
      <c r="D2189" s="3" t="str">
        <f t="shared" si="368"/>
        <v>PTPRC_(HUMAN)_transcript</v>
      </c>
      <c r="E2189" s="2" t="s">
        <v>72</v>
      </c>
      <c r="F2189" s="3"/>
      <c r="G2189" s="4"/>
      <c r="H2189" s="3" t="str">
        <f>HYPERLINK("https://www.cortellis.com/drugdiscovery/entity/biomarkers/45605","53-gene expression melanoma panel")</f>
        <v>53-gene expression melanoma panel</v>
      </c>
      <c r="I2189" s="2" t="s">
        <v>25</v>
      </c>
      <c r="J2189" s="2" t="s">
        <v>19</v>
      </c>
      <c r="K2189" s="4" t="str">
        <f>HYPERLINK("https://www.cortellis.com/drugdiscovery/result/proxy/related-content/biomarkers/genestargets/45605","CD68 molecule; interferon gamma receptor 1; major histocompatibility complex, class II, DQ beta 1; protein tyrosine phosphatase receptor type C")</f>
        <v>CD68 molecule; interferon gamma receptor 1; major histocompatibility complex, class II, DQ beta 1; protein tyrosine phosphatase receptor type C</v>
      </c>
    </row>
    <row r="2190" spans="1:11" ht="60" customHeight="1" x14ac:dyDescent="0.2">
      <c r="A2190" s="2">
        <v>2187</v>
      </c>
      <c r="B2190" s="3"/>
      <c r="C2190" s="3" t="str">
        <f t="shared" si="367"/>
        <v>PTPRC</v>
      </c>
      <c r="D2190" s="3" t="str">
        <f t="shared" si="368"/>
        <v>PTPRC_(HUMAN)_transcript</v>
      </c>
      <c r="E2190" s="2" t="s">
        <v>72</v>
      </c>
      <c r="F2190" s="3"/>
      <c r="G2190" s="4"/>
      <c r="H2190" s="3" t="str">
        <f>HYPERLINK("https://www.cortellis.com/drugdiscovery/entity/biomarkers/45651","117-gene expression breast cancer panel")</f>
        <v>117-gene expression breast cancer panel</v>
      </c>
      <c r="I2190" s="2" t="s">
        <v>25</v>
      </c>
      <c r="J2190" s="2" t="s">
        <v>19</v>
      </c>
      <c r="K2190" s="4" t="str">
        <f>HYPERLINK("https://www.cortellis.com/drugdiscovery/result/proxy/related-content/biomarkers/genestargets/45651","protein tyrosine phosphatase non-receptor type 22; protein tyrosine phosphatase receptor type C")</f>
        <v>protein tyrosine phosphatase non-receptor type 22; protein tyrosine phosphatase receptor type C</v>
      </c>
    </row>
    <row r="2191" spans="1:11" ht="60" customHeight="1" x14ac:dyDescent="0.2">
      <c r="A2191" s="2">
        <v>2188</v>
      </c>
      <c r="B2191" s="3"/>
      <c r="C2191" s="3" t="str">
        <f t="shared" si="367"/>
        <v>PTPRC</v>
      </c>
      <c r="D2191" s="3" t="str">
        <f t="shared" si="368"/>
        <v>PTPRC_(HUMAN)_transcript</v>
      </c>
      <c r="E2191" s="2" t="s">
        <v>72</v>
      </c>
      <c r="F2191" s="3"/>
      <c r="G2191" s="4"/>
      <c r="H2191" s="3" t="str">
        <f>HYPERLINK("https://www.cortellis.com/drugdiscovery/entity/biomarkers/48282","31-gene expression glioblastoma panel")</f>
        <v>31-gene expression glioblastoma panel</v>
      </c>
      <c r="I2191" s="2" t="s">
        <v>18</v>
      </c>
      <c r="J2191" s="2" t="s">
        <v>19</v>
      </c>
      <c r="K2191" s="4" t="str">
        <f>HYPERLINK("https://www.cortellis.com/drugdiscovery/result/proxy/related-content/biomarkers/genestargets/48282","cyclin D1; dystroglycan 1; protein tyrosine phosphatase receptor type C")</f>
        <v>cyclin D1; dystroglycan 1; protein tyrosine phosphatase receptor type C</v>
      </c>
    </row>
    <row r="2192" spans="1:11" ht="60" customHeight="1" x14ac:dyDescent="0.2">
      <c r="A2192" s="2">
        <v>2189</v>
      </c>
      <c r="B2192" s="3"/>
      <c r="C2192" s="3" t="str">
        <f t="shared" si="367"/>
        <v>PTPRC</v>
      </c>
      <c r="D2192" s="3" t="str">
        <f t="shared" si="368"/>
        <v>PTPRC_(HUMAN)_transcript</v>
      </c>
      <c r="E2192" s="2" t="s">
        <v>72</v>
      </c>
      <c r="F2192" s="3"/>
      <c r="G2192" s="4"/>
      <c r="H2192" s="3" t="str">
        <f>HYPERLINK("https://www.cortellis.com/drugdiscovery/entity/biomarkers/53169","9-protein Barrett's esophagus panel")</f>
        <v>9-protein Barrett's esophagus panel</v>
      </c>
      <c r="I2192" s="2" t="s">
        <v>25</v>
      </c>
      <c r="J2192" s="2" t="s">
        <v>17</v>
      </c>
      <c r="K2192" s="4" t="str">
        <f>HYPERLINK("https://www.cortellis.com/drugdiscovery/result/proxy/related-content/biomarkers/genestargets/53169","CD68 molecule; protein tyrosine phosphatase receptor type C")</f>
        <v>CD68 molecule; protein tyrosine phosphatase receptor type C</v>
      </c>
    </row>
    <row r="2193" spans="1:11" ht="60" customHeight="1" x14ac:dyDescent="0.2">
      <c r="A2193" s="2">
        <v>2190</v>
      </c>
      <c r="B2193" s="3"/>
      <c r="C2193" s="3" t="str">
        <f t="shared" si="367"/>
        <v>PTPRC</v>
      </c>
      <c r="D2193" s="3" t="str">
        <f t="shared" si="368"/>
        <v>PTPRC_(HUMAN)_transcript</v>
      </c>
      <c r="E2193" s="2" t="s">
        <v>72</v>
      </c>
      <c r="F2193" s="3"/>
      <c r="G2193" s="4"/>
      <c r="H2193" s="3" t="str">
        <f>HYPERLINK("https://www.cortellis.com/drugdiscovery/entity/biomarkers/54719","44-gene expression cancer panel")</f>
        <v>44-gene expression cancer panel</v>
      </c>
      <c r="I2193" s="2" t="s">
        <v>18</v>
      </c>
      <c r="J2193" s="2" t="s">
        <v>19</v>
      </c>
      <c r="K2193" s="4" t="str">
        <f>HYPERLINK("https://www.cortellis.com/drugdiscovery/result/proxy/related-content/biomarkers/genestargets/54719","CD274 molecule; protein tyrosine phosphatase receptor type C")</f>
        <v>CD274 molecule; protein tyrosine phosphatase receptor type C</v>
      </c>
    </row>
    <row r="2194" spans="1:11" ht="60" customHeight="1" x14ac:dyDescent="0.2">
      <c r="A2194" s="2">
        <v>2191</v>
      </c>
      <c r="B2194" s="3"/>
      <c r="C2194" s="3" t="str">
        <f t="shared" si="367"/>
        <v>PTPRC</v>
      </c>
      <c r="D2194" s="3" t="str">
        <f t="shared" si="368"/>
        <v>PTPRC_(HUMAN)_transcript</v>
      </c>
      <c r="E2194" s="2" t="s">
        <v>72</v>
      </c>
      <c r="F2194" s="3"/>
      <c r="G2194" s="4"/>
      <c r="H2194" s="3" t="str">
        <f>HYPERLINK("https://www.cortellis.com/drugdiscovery/entity/biomarkers/55078","23-gene expression skin cancer panel")</f>
        <v>23-gene expression skin cancer panel</v>
      </c>
      <c r="I2194" s="2" t="s">
        <v>23</v>
      </c>
      <c r="J2194" s="2" t="s">
        <v>19</v>
      </c>
      <c r="K2194" s="4" t="str">
        <f>HYPERLINK("https://www.cortellis.com/drugdiscovery/result/proxy/related-content/biomarkers/genestargets/55078","protein tyrosine phosphatase receptor type C")</f>
        <v>protein tyrosine phosphatase receptor type C</v>
      </c>
    </row>
    <row r="2195" spans="1:11" ht="60" customHeight="1" x14ac:dyDescent="0.2">
      <c r="A2195" s="2">
        <v>2192</v>
      </c>
      <c r="B2195" s="3"/>
      <c r="C2195" s="3" t="str">
        <f t="shared" si="367"/>
        <v>PTPRC</v>
      </c>
      <c r="D2195" s="3" t="str">
        <f t="shared" si="368"/>
        <v>PTPRC_(HUMAN)_transcript</v>
      </c>
      <c r="E2195" s="2" t="s">
        <v>72</v>
      </c>
      <c r="F2195" s="3"/>
      <c r="G2195" s="4"/>
      <c r="H2195" s="3" t="str">
        <f>HYPERLINK("https://www.cortellis.com/drugdiscovery/entity/biomarkers/56933","PTPRC-CPN2 fusion protein")</f>
        <v>PTPRC-CPN2 fusion protein</v>
      </c>
      <c r="I2195" s="2" t="s">
        <v>23</v>
      </c>
      <c r="J2195" s="2" t="s">
        <v>15</v>
      </c>
      <c r="K2195" s="4" t="str">
        <f>HYPERLINK("https://www.cortellis.com/drugdiscovery/result/proxy/related-content/biomarkers/genestargets/56933","protein tyrosine phosphatase receptor type C")</f>
        <v>protein tyrosine phosphatase receptor type C</v>
      </c>
    </row>
    <row r="2196" spans="1:11" ht="60" customHeight="1" x14ac:dyDescent="0.2">
      <c r="A2196" s="2">
        <v>2193</v>
      </c>
      <c r="B2196" s="3"/>
      <c r="C2196" s="3" t="str">
        <f t="shared" si="367"/>
        <v>PTPRC</v>
      </c>
      <c r="D2196" s="3" t="str">
        <f t="shared" si="368"/>
        <v>PTPRC_(HUMAN)_transcript</v>
      </c>
      <c r="E2196" s="2" t="s">
        <v>72</v>
      </c>
      <c r="F2196" s="3"/>
      <c r="G2196" s="4"/>
      <c r="H2196" s="3" t="str">
        <f>HYPERLINK("https://www.cortellis.com/drugdiscovery/entity/biomarkers/56934","MBD4-PTPRC fusion protein")</f>
        <v>MBD4-PTPRC fusion protein</v>
      </c>
      <c r="I2196" s="2" t="s">
        <v>23</v>
      </c>
      <c r="J2196" s="2" t="s">
        <v>15</v>
      </c>
      <c r="K2196" s="4" t="str">
        <f>HYPERLINK("https://www.cortellis.com/drugdiscovery/result/proxy/related-content/biomarkers/genestargets/56934","protein tyrosine phosphatase receptor type C")</f>
        <v>protein tyrosine phosphatase receptor type C</v>
      </c>
    </row>
    <row r="2197" spans="1:11" ht="60" customHeight="1" x14ac:dyDescent="0.2">
      <c r="A2197" s="2">
        <v>2194</v>
      </c>
      <c r="B2197" s="3"/>
      <c r="C2197" s="3" t="str">
        <f t="shared" si="367"/>
        <v>PTPRC</v>
      </c>
      <c r="D2197" s="3" t="str">
        <f t="shared" si="368"/>
        <v>PTPRC_(HUMAN)_transcript</v>
      </c>
      <c r="E2197" s="2" t="s">
        <v>72</v>
      </c>
      <c r="F2197" s="3"/>
      <c r="G2197" s="4"/>
      <c r="H2197" s="3" t="str">
        <f>HYPERLINK("https://www.cortellis.com/drugdiscovery/entity/biomarkers/57460","23-gene expression melanocytic nevus panel")</f>
        <v>23-gene expression melanocytic nevus panel</v>
      </c>
      <c r="I2197" s="2" t="s">
        <v>23</v>
      </c>
      <c r="J2197" s="2" t="s">
        <v>19</v>
      </c>
      <c r="K2197" s="4" t="str">
        <f>HYPERLINK("https://www.cortellis.com/drugdiscovery/result/proxy/related-content/biomarkers/genestargets/57460","protein tyrosine phosphatase receptor type C")</f>
        <v>protein tyrosine phosphatase receptor type C</v>
      </c>
    </row>
    <row r="2198" spans="1:11" ht="60" customHeight="1" x14ac:dyDescent="0.2">
      <c r="A2198" s="2">
        <v>2195</v>
      </c>
      <c r="B2198" s="3"/>
      <c r="C2198" s="3" t="str">
        <f t="shared" si="367"/>
        <v>PTPRC</v>
      </c>
      <c r="D2198" s="3" t="str">
        <f t="shared" si="368"/>
        <v>PTPRC_(HUMAN)_transcript</v>
      </c>
      <c r="E2198" s="2" t="s">
        <v>72</v>
      </c>
      <c r="F2198" s="3"/>
      <c r="G2198" s="4"/>
      <c r="H2198" s="3" t="str">
        <f>HYPERLINK("https://www.cortellis.com/drugdiscovery/entity/biomarkers/58056","28-gene expression melanoma panel")</f>
        <v>28-gene expression melanoma panel</v>
      </c>
      <c r="I2198" s="2" t="s">
        <v>18</v>
      </c>
      <c r="J2198" s="2" t="s">
        <v>19</v>
      </c>
      <c r="K2198" s="4" t="str">
        <f>HYPERLINK("https://www.cortellis.com/drugdiscovery/result/proxy/related-content/biomarkers/genestargets/58056","interferon gamma; protein tyrosine phosphatase receptor type C")</f>
        <v>interferon gamma; protein tyrosine phosphatase receptor type C</v>
      </c>
    </row>
    <row r="2199" spans="1:11" ht="60" customHeight="1" x14ac:dyDescent="0.2">
      <c r="A2199" s="2">
        <v>2196</v>
      </c>
      <c r="B2199" s="3"/>
      <c r="C2199" s="3" t="str">
        <f t="shared" si="367"/>
        <v>PTPRC</v>
      </c>
      <c r="D2199" s="3" t="str">
        <f t="shared" si="368"/>
        <v>PTPRC_(HUMAN)_transcript</v>
      </c>
      <c r="E2199" s="2" t="s">
        <v>72</v>
      </c>
      <c r="F2199" s="3"/>
      <c r="G2199" s="4"/>
      <c r="H2199" s="3" t="str">
        <f>HYPERLINK("https://www.cortellis.com/drugdiscovery/entity/biomarkers/58670","BCL6-PTPRC fusion protein")</f>
        <v>BCL6-PTPRC fusion protein</v>
      </c>
      <c r="I2199" s="2" t="s">
        <v>34</v>
      </c>
      <c r="J2199" s="2" t="s">
        <v>15</v>
      </c>
      <c r="K2199" s="4" t="str">
        <f>HYPERLINK("https://www.cortellis.com/drugdiscovery/result/proxy/related-content/biomarkers/genestargets/58670","protein tyrosine phosphatase receptor type C")</f>
        <v>protein tyrosine phosphatase receptor type C</v>
      </c>
    </row>
    <row r="2200" spans="1:11" ht="60" customHeight="1" x14ac:dyDescent="0.2">
      <c r="A2200" s="2">
        <v>2197</v>
      </c>
      <c r="B2200" s="3"/>
      <c r="C2200" s="3" t="str">
        <f>HYPERLINK("https://portal.genego.com/cgi/entity_page.cgi?term=20&amp;id=551204485","RNASE3")</f>
        <v>RNASE3</v>
      </c>
      <c r="D2200" s="3" t="str">
        <f>HYPERLINK("https://portal.genego.com/cgi/entity_page.cgi?term=7&amp;id=-1241458641","RNASE3_(HUMAN)_transcript")</f>
        <v>RNASE3_(HUMAN)_transcript</v>
      </c>
      <c r="E2200" s="2" t="s">
        <v>72</v>
      </c>
      <c r="F2200" s="3"/>
      <c r="G2200" s="4"/>
      <c r="H2200" s="3" t="str">
        <f>HYPERLINK("https://www.cortellis.com/drugdiscovery/entity/biomarkers/1979","Eosinophil cationic protein")</f>
        <v>Eosinophil cationic protein</v>
      </c>
      <c r="I2200" s="2" t="s">
        <v>43</v>
      </c>
      <c r="J2200" s="2" t="s">
        <v>15</v>
      </c>
      <c r="K2200" s="4" t="str">
        <f>HYPERLINK("https://www.cortellis.com/drugdiscovery/result/proxy/related-content/biomarkers/genestargets/1979","ribonuclease A family member 3")</f>
        <v>ribonuclease A family member 3</v>
      </c>
    </row>
    <row r="2201" spans="1:11" ht="60" customHeight="1" x14ac:dyDescent="0.2">
      <c r="A2201" s="2">
        <v>2198</v>
      </c>
      <c r="B2201" s="3"/>
      <c r="C2201" s="3" t="str">
        <f>HYPERLINK("https://portal.genego.com/cgi/entity_page.cgi?term=20&amp;id=551204485","RNASE3")</f>
        <v>RNASE3</v>
      </c>
      <c r="D2201" s="3" t="str">
        <f>HYPERLINK("https://portal.genego.com/cgi/entity_page.cgi?term=7&amp;id=-1241458641","RNASE3_(HUMAN)_transcript")</f>
        <v>RNASE3_(HUMAN)_transcript</v>
      </c>
      <c r="E2201" s="2" t="s">
        <v>72</v>
      </c>
      <c r="F2201" s="3"/>
      <c r="G2201" s="4"/>
      <c r="H2201" s="3" t="str">
        <f>HYPERLINK("https://www.cortellis.com/drugdiscovery/entity/biomarkers/25666","52-gene expression acute myeloid leukemia panel")</f>
        <v>52-gene expression acute myeloid leukemia panel</v>
      </c>
      <c r="I2201" s="2" t="s">
        <v>25</v>
      </c>
      <c r="J2201" s="2" t="s">
        <v>19</v>
      </c>
      <c r="K2201" s="4" t="str">
        <f>HYPERLINK("https://www.cortellis.com/drugdiscovery/result/proxy/related-content/biomarkers/genestargets/25666","ribonuclease A family member 3")</f>
        <v>ribonuclease A family member 3</v>
      </c>
    </row>
    <row r="2202" spans="1:11" ht="60" customHeight="1" x14ac:dyDescent="0.2">
      <c r="A2202" s="2">
        <v>2199</v>
      </c>
      <c r="B2202" s="3"/>
      <c r="C2202" s="3" t="str">
        <f>HYPERLINK("https://portal.genego.com/cgi/entity_page.cgi?term=20&amp;id=551204485","RNASE3")</f>
        <v>RNASE3</v>
      </c>
      <c r="D2202" s="3" t="str">
        <f>HYPERLINK("https://portal.genego.com/cgi/entity_page.cgi?term=7&amp;id=-1241458641","RNASE3_(HUMAN)_transcript")</f>
        <v>RNASE3_(HUMAN)_transcript</v>
      </c>
      <c r="E2202" s="2" t="s">
        <v>72</v>
      </c>
      <c r="F2202" s="3"/>
      <c r="G2202" s="4"/>
      <c r="H2202" s="3" t="str">
        <f>HYPERLINK("https://www.cortellis.com/drugdiscovery/entity/biomarkers/43882","530-gene methylation leukemia panel")</f>
        <v>530-gene methylation leukemia panel</v>
      </c>
      <c r="I2202" s="2" t="s">
        <v>25</v>
      </c>
      <c r="J2202" s="2" t="s">
        <v>19</v>
      </c>
      <c r="K2202" s="4" t="str">
        <f>HYPERLINK("https://www.cortellis.com/drugdiscovery/result/proxy/related-content/biomarkers/genestargets/43882","matrix metallopeptidase 2; ribonuclease A family member 3")</f>
        <v>matrix metallopeptidase 2; ribonuclease A family member 3</v>
      </c>
    </row>
    <row r="2203" spans="1:11" ht="60" customHeight="1" x14ac:dyDescent="0.2">
      <c r="A2203" s="2">
        <v>2200</v>
      </c>
      <c r="B2203" s="3"/>
      <c r="C2203" s="3" t="str">
        <f>HYPERLINK("https://portal.genego.com/cgi/entity_page.cgi?term=20&amp;id=551204485","RNASE3")</f>
        <v>RNASE3</v>
      </c>
      <c r="D2203" s="3" t="str">
        <f>HYPERLINK("https://portal.genego.com/cgi/entity_page.cgi?term=7&amp;id=-1241458641","RNASE3_(HUMAN)_transcript")</f>
        <v>RNASE3_(HUMAN)_transcript</v>
      </c>
      <c r="E2203" s="2" t="s">
        <v>72</v>
      </c>
      <c r="F2203" s="3"/>
      <c r="G2203" s="4"/>
      <c r="H2203" s="3" t="str">
        <f>HYPERLINK("https://www.cortellis.com/drugdiscovery/entity/biomarkers/49082","177-gene expression leukemia panel")</f>
        <v>177-gene expression leukemia panel</v>
      </c>
      <c r="I2203" s="2" t="s">
        <v>25</v>
      </c>
      <c r="J2203" s="2" t="s">
        <v>19</v>
      </c>
      <c r="K2203" s="4" t="str">
        <f>HYPERLINK("https://www.cortellis.com/drugdiscovery/result/proxy/related-content/biomarkers/genestargets/49082","ribonuclease A family member 3; tissue factor pathway inhibitor")</f>
        <v>ribonuclease A family member 3; tissue factor pathway inhibitor</v>
      </c>
    </row>
    <row r="2204" spans="1:11" ht="60" customHeight="1" x14ac:dyDescent="0.2">
      <c r="A2204" s="2">
        <v>2201</v>
      </c>
      <c r="B2204" s="3"/>
      <c r="C2204" s="3" t="str">
        <f>HYPERLINK("https://portal.genego.com/cgi/entity_page.cgi?term=20&amp;id=551204485","RNASE3")</f>
        <v>RNASE3</v>
      </c>
      <c r="D2204" s="3" t="str">
        <f>HYPERLINK("https://portal.genego.com/cgi/entity_page.cgi?term=7&amp;id=-1241458641","RNASE3_(HUMAN)_transcript")</f>
        <v>RNASE3_(HUMAN)_transcript</v>
      </c>
      <c r="E2204" s="2" t="s">
        <v>72</v>
      </c>
      <c r="F2204" s="3"/>
      <c r="G2204" s="4"/>
      <c r="H2204" s="3" t="str">
        <f>HYPERLINK("https://www.cortellis.com/drugdiscovery/entity/biomarkers/59957","10-protein obstructive pulmonary disease panel")</f>
        <v>10-protein obstructive pulmonary disease panel</v>
      </c>
      <c r="I2204" s="2" t="s">
        <v>20</v>
      </c>
      <c r="J2204" s="2" t="s">
        <v>17</v>
      </c>
      <c r="K2204" s="4" t="str">
        <f>HYPERLINK("https://www.cortellis.com/drugdiscovery/result/proxy/related-content/biomarkers/genestargets/59957","matrix metallopeptidase 9; ribonuclease A family member 3")</f>
        <v>matrix metallopeptidase 9; ribonuclease A family member 3</v>
      </c>
    </row>
    <row r="2205" spans="1:11" ht="60" customHeight="1" x14ac:dyDescent="0.2">
      <c r="A2205" s="2">
        <v>2202</v>
      </c>
      <c r="B2205" s="3"/>
      <c r="C2205" s="3" t="str">
        <f>HYPERLINK("https://portal.genego.com/cgi/entity_page.cgi?term=20&amp;id=1418746156","SLC11A1")</f>
        <v>SLC11A1</v>
      </c>
      <c r="D2205" s="3" t="str">
        <f>HYPERLINK("https://portal.genego.com/cgi/entity_page.cgi?term=7&amp;id=-278138098","SLC11A1_(HUMAN)_transcript")</f>
        <v>SLC11A1_(HUMAN)_transcript</v>
      </c>
      <c r="E2205" s="2" t="s">
        <v>72</v>
      </c>
      <c r="F2205" s="3"/>
      <c r="G2205" s="4"/>
      <c r="H2205" s="3" t="str">
        <f>HYPERLINK("https://www.cortellis.com/drugdiscovery/entity/biomarkers/6532","Natural resistance-associated macrophage protein 1")</f>
        <v>Natural resistance-associated macrophage protein 1</v>
      </c>
      <c r="I2205" s="2" t="s">
        <v>50</v>
      </c>
      <c r="J2205" s="2" t="s">
        <v>15</v>
      </c>
      <c r="K2205" s="4" t="str">
        <f>HYPERLINK("https://www.cortellis.com/drugdiscovery/result/proxy/related-content/biomarkers/genestargets/6532","solute carrier family 11 member 1")</f>
        <v>solute carrier family 11 member 1</v>
      </c>
    </row>
    <row r="2206" spans="1:11" ht="60" customHeight="1" x14ac:dyDescent="0.2">
      <c r="A2206" s="2">
        <v>2203</v>
      </c>
      <c r="B2206" s="3"/>
      <c r="C2206" s="3" t="str">
        <f>HYPERLINK("https://portal.genego.com/cgi/entity_page.cgi?term=20&amp;id=1418746156","SLC11A1")</f>
        <v>SLC11A1</v>
      </c>
      <c r="D2206" s="3" t="str">
        <f>HYPERLINK("https://portal.genego.com/cgi/entity_page.cgi?term=7&amp;id=-278138098","SLC11A1_(HUMAN)_transcript")</f>
        <v>SLC11A1_(HUMAN)_transcript</v>
      </c>
      <c r="E2206" s="2" t="s">
        <v>72</v>
      </c>
      <c r="F2206" s="3"/>
      <c r="G2206" s="4"/>
      <c r="H2206" s="3" t="str">
        <f>HYPERLINK("https://www.cortellis.com/drugdiscovery/entity/biomarkers/35758","421-gene expression lung cancer panel")</f>
        <v>421-gene expression lung cancer panel</v>
      </c>
      <c r="I2206" s="2" t="s">
        <v>23</v>
      </c>
      <c r="J2206" s="2" t="s">
        <v>19</v>
      </c>
      <c r="K2206" s="4" t="str">
        <f>HYPERLINK("https://www.cortellis.com/drugdiscovery/result/proxy/related-content/biomarkers/genestargets/35758","solute carrier family 11 member 1")</f>
        <v>solute carrier family 11 member 1</v>
      </c>
    </row>
    <row r="2207" spans="1:11" ht="60" customHeight="1" x14ac:dyDescent="0.2">
      <c r="A2207" s="2">
        <v>2204</v>
      </c>
      <c r="B2207" s="3"/>
      <c r="C2207" s="3" t="str">
        <f>HYPERLINK("https://portal.genego.com/cgi/entity_page.cgi?term=20&amp;id=1418746156","SLC11A1")</f>
        <v>SLC11A1</v>
      </c>
      <c r="D2207" s="3" t="str">
        <f>HYPERLINK("https://portal.genego.com/cgi/entity_page.cgi?term=7&amp;id=-278138098","SLC11A1_(HUMAN)_transcript")</f>
        <v>SLC11A1_(HUMAN)_transcript</v>
      </c>
      <c r="E2207" s="2" t="s">
        <v>72</v>
      </c>
      <c r="F2207" s="3"/>
      <c r="G2207" s="4"/>
      <c r="H2207" s="3" t="str">
        <f>HYPERLINK("https://www.cortellis.com/drugdiscovery/entity/biomarkers/39092","6-gene polymorphism melanoma panel")</f>
        <v>6-gene polymorphism melanoma panel</v>
      </c>
      <c r="I2207" s="2" t="s">
        <v>18</v>
      </c>
      <c r="J2207" s="2" t="s">
        <v>19</v>
      </c>
      <c r="K2207" s="4" t="str">
        <f>HYPERLINK("https://www.cortellis.com/drugdiscovery/result/proxy/related-content/biomarkers/genestargets/39092","solute carrier family 11 member 1")</f>
        <v>solute carrier family 11 member 1</v>
      </c>
    </row>
    <row r="2208" spans="1:11" ht="60" customHeight="1" x14ac:dyDescent="0.2">
      <c r="A2208" s="2">
        <v>2205</v>
      </c>
      <c r="B2208" s="3"/>
      <c r="C2208" s="3" t="str">
        <f>HYPERLINK("https://portal.genego.com/cgi/entity_page.cgi?term=20&amp;id=1418746156","SLC11A1")</f>
        <v>SLC11A1</v>
      </c>
      <c r="D2208" s="3" t="str">
        <f>HYPERLINK("https://portal.genego.com/cgi/entity_page.cgi?term=7&amp;id=-278138098","SLC11A1_(HUMAN)_transcript")</f>
        <v>SLC11A1_(HUMAN)_transcript</v>
      </c>
      <c r="E2208" s="2" t="s">
        <v>72</v>
      </c>
      <c r="F2208" s="3"/>
      <c r="G2208" s="4"/>
      <c r="H2208" s="3" t="str">
        <f>HYPERLINK("https://www.cortellis.com/drugdiscovery/entity/biomarkers/50774","9-protein Kawasaki's disease panel")</f>
        <v>9-protein Kawasaki's disease panel</v>
      </c>
      <c r="I2208" s="2" t="s">
        <v>23</v>
      </c>
      <c r="J2208" s="2" t="s">
        <v>17</v>
      </c>
      <c r="K2208" s="4" t="str">
        <f>HYPERLINK("https://www.cortellis.com/drugdiscovery/result/proxy/related-content/biomarkers/genestargets/50774","matrix metallopeptidase 9; solute carrier family 11 member 1")</f>
        <v>matrix metallopeptidase 9; solute carrier family 11 member 1</v>
      </c>
    </row>
    <row r="2209" spans="1:11" ht="60" customHeight="1" x14ac:dyDescent="0.2">
      <c r="A2209" s="2">
        <v>2206</v>
      </c>
      <c r="B2209" s="3"/>
      <c r="C2209" s="3" t="str">
        <f t="shared" ref="C2209:C2217" si="369">HYPERLINK("https://portal.genego.com/cgi/entity_page.cgi?term=20&amp;id=1526396100","TFPI")</f>
        <v>TFPI</v>
      </c>
      <c r="D2209" s="3" t="str">
        <f t="shared" ref="D2209:D2217" si="370">HYPERLINK("https://portal.genego.com/cgi/entity_page.cgi?term=7&amp;id=-540055781","TFPI_(HUMAN)_transcript")</f>
        <v>TFPI_(HUMAN)_transcript</v>
      </c>
      <c r="E2209" s="2" t="s">
        <v>72</v>
      </c>
      <c r="F2209" s="3"/>
      <c r="G2209" s="4"/>
      <c r="H2209" s="3" t="str">
        <f>HYPERLINK("https://www.cortellis.com/drugdiscovery/entity/biomarkers/2158","Tissue factor pathway inhibitor")</f>
        <v>Tissue factor pathway inhibitor</v>
      </c>
      <c r="I2209" s="2" t="s">
        <v>31</v>
      </c>
      <c r="J2209" s="2" t="s">
        <v>15</v>
      </c>
      <c r="K2209" s="4" t="str">
        <f>HYPERLINK("https://www.cortellis.com/drugdiscovery/result/proxy/related-content/biomarkers/genestargets/2158","tissue factor pathway inhibitor")</f>
        <v>tissue factor pathway inhibitor</v>
      </c>
    </row>
    <row r="2210" spans="1:11" ht="60" customHeight="1" x14ac:dyDescent="0.2">
      <c r="A2210" s="2">
        <v>2207</v>
      </c>
      <c r="B2210" s="3"/>
      <c r="C2210" s="3" t="str">
        <f t="shared" si="369"/>
        <v>TFPI</v>
      </c>
      <c r="D2210" s="3" t="str">
        <f t="shared" si="370"/>
        <v>TFPI_(HUMAN)_transcript</v>
      </c>
      <c r="E2210" s="2" t="s">
        <v>72</v>
      </c>
      <c r="F2210" s="3"/>
      <c r="G2210" s="4"/>
      <c r="H2210" s="3" t="str">
        <f>HYPERLINK("https://www.cortellis.com/drugdiscovery/entity/biomarkers/28540","146-gene expression germ cell cancer panel")</f>
        <v>146-gene expression germ cell cancer panel</v>
      </c>
      <c r="I2210" s="2" t="s">
        <v>23</v>
      </c>
      <c r="J2210" s="2" t="s">
        <v>19</v>
      </c>
      <c r="K2210" s="4" t="str">
        <f>HYPERLINK("https://www.cortellis.com/drugdiscovery/result/proxy/related-content/biomarkers/genestargets/28540","tissue factor pathway inhibitor")</f>
        <v>tissue factor pathway inhibitor</v>
      </c>
    </row>
    <row r="2211" spans="1:11" ht="60" customHeight="1" x14ac:dyDescent="0.2">
      <c r="A2211" s="2">
        <v>2208</v>
      </c>
      <c r="B2211" s="3"/>
      <c r="C2211" s="3" t="str">
        <f t="shared" si="369"/>
        <v>TFPI</v>
      </c>
      <c r="D2211" s="3" t="str">
        <f t="shared" si="370"/>
        <v>TFPI_(HUMAN)_transcript</v>
      </c>
      <c r="E2211" s="2" t="s">
        <v>72</v>
      </c>
      <c r="F2211" s="3"/>
      <c r="G2211" s="4"/>
      <c r="H2211" s="3" t="str">
        <f>HYPERLINK("https://www.cortellis.com/drugdiscovery/entity/biomarkers/32578","121-gene expression acute myeloid leukemia panel")</f>
        <v>121-gene expression acute myeloid leukemia panel</v>
      </c>
      <c r="I2211" s="2" t="s">
        <v>25</v>
      </c>
      <c r="J2211" s="2" t="s">
        <v>19</v>
      </c>
      <c r="K2211" s="4" t="str">
        <f>HYPERLINK("https://www.cortellis.com/drugdiscovery/result/proxy/related-content/biomarkers/genestargets/32578","tissue factor pathway inhibitor")</f>
        <v>tissue factor pathway inhibitor</v>
      </c>
    </row>
    <row r="2212" spans="1:11" ht="60" customHeight="1" x14ac:dyDescent="0.2">
      <c r="A2212" s="2">
        <v>2209</v>
      </c>
      <c r="B2212" s="3"/>
      <c r="C2212" s="3" t="str">
        <f t="shared" si="369"/>
        <v>TFPI</v>
      </c>
      <c r="D2212" s="3" t="str">
        <f t="shared" si="370"/>
        <v>TFPI_(HUMAN)_transcript</v>
      </c>
      <c r="E2212" s="2" t="s">
        <v>72</v>
      </c>
      <c r="F2212" s="3"/>
      <c r="G2212" s="4"/>
      <c r="H2212" s="3" t="str">
        <f>HYPERLINK("https://www.cortellis.com/drugdiscovery/entity/biomarkers/39384","31-gene polymorphism venous thrombosis panel")</f>
        <v>31-gene polymorphism venous thrombosis panel</v>
      </c>
      <c r="I2212" s="2" t="s">
        <v>29</v>
      </c>
      <c r="J2212" s="2" t="s">
        <v>19</v>
      </c>
      <c r="K2212" s="4" t="str">
        <f>HYPERLINK("https://www.cortellis.com/drugdiscovery/result/proxy/related-content/biomarkers/genestargets/39384","coagulation factor III, tissue factor; tissue factor pathway inhibitor")</f>
        <v>coagulation factor III, tissue factor; tissue factor pathway inhibitor</v>
      </c>
    </row>
    <row r="2213" spans="1:11" ht="60" customHeight="1" x14ac:dyDescent="0.2">
      <c r="A2213" s="2">
        <v>2210</v>
      </c>
      <c r="B2213" s="3"/>
      <c r="C2213" s="3" t="str">
        <f t="shared" si="369"/>
        <v>TFPI</v>
      </c>
      <c r="D2213" s="3" t="str">
        <f t="shared" si="370"/>
        <v>TFPI_(HUMAN)_transcript</v>
      </c>
      <c r="E2213" s="2" t="s">
        <v>72</v>
      </c>
      <c r="F2213" s="3"/>
      <c r="G2213" s="4"/>
      <c r="H2213" s="3" t="str">
        <f>HYPERLINK("https://www.cortellis.com/drugdiscovery/entity/biomarkers/40463","16-gene expression kidney cancer panel")</f>
        <v>16-gene expression kidney cancer panel</v>
      </c>
      <c r="I2213" s="2" t="s">
        <v>23</v>
      </c>
      <c r="J2213" s="2" t="s">
        <v>19</v>
      </c>
      <c r="K2213" s="4" t="str">
        <f>HYPERLINK("https://www.cortellis.com/drugdiscovery/result/proxy/related-content/biomarkers/genestargets/40463","tissue factor pathway inhibitor")</f>
        <v>tissue factor pathway inhibitor</v>
      </c>
    </row>
    <row r="2214" spans="1:11" ht="60" customHeight="1" x14ac:dyDescent="0.2">
      <c r="A2214" s="2">
        <v>2211</v>
      </c>
      <c r="B2214" s="3"/>
      <c r="C2214" s="3" t="str">
        <f t="shared" si="369"/>
        <v>TFPI</v>
      </c>
      <c r="D2214" s="3" t="str">
        <f t="shared" si="370"/>
        <v>TFPI_(HUMAN)_transcript</v>
      </c>
      <c r="E2214" s="2" t="s">
        <v>72</v>
      </c>
      <c r="F2214" s="3"/>
      <c r="G2214" s="4"/>
      <c r="H2214" s="3" t="str">
        <f>HYPERLINK("https://www.cortellis.com/drugdiscovery/entity/biomarkers/42008","36-gene expression neuroblastoma panel")</f>
        <v>36-gene expression neuroblastoma panel</v>
      </c>
      <c r="I2214" s="2" t="s">
        <v>69</v>
      </c>
      <c r="J2214" s="2" t="s">
        <v>19</v>
      </c>
      <c r="K2214" s="4" t="str">
        <f>HYPERLINK("https://www.cortellis.com/drugdiscovery/result/proxy/related-content/biomarkers/genestargets/42008","tissue factor pathway inhibitor")</f>
        <v>tissue factor pathway inhibitor</v>
      </c>
    </row>
    <row r="2215" spans="1:11" ht="60" customHeight="1" x14ac:dyDescent="0.2">
      <c r="A2215" s="2">
        <v>2212</v>
      </c>
      <c r="B2215" s="3"/>
      <c r="C2215" s="3" t="str">
        <f t="shared" si="369"/>
        <v>TFPI</v>
      </c>
      <c r="D2215" s="3" t="str">
        <f t="shared" si="370"/>
        <v>TFPI_(HUMAN)_transcript</v>
      </c>
      <c r="E2215" s="2" t="s">
        <v>72</v>
      </c>
      <c r="F2215" s="3"/>
      <c r="G2215" s="4"/>
      <c r="H2215" s="3" t="str">
        <f>HYPERLINK("https://www.cortellis.com/drugdiscovery/entity/biomarkers/49082","177-gene expression leukemia panel")</f>
        <v>177-gene expression leukemia panel</v>
      </c>
      <c r="I2215" s="2" t="s">
        <v>25</v>
      </c>
      <c r="J2215" s="2" t="s">
        <v>19</v>
      </c>
      <c r="K2215" s="4" t="str">
        <f>HYPERLINK("https://www.cortellis.com/drugdiscovery/result/proxy/related-content/biomarkers/genestargets/49082","ribonuclease A family member 3; tissue factor pathway inhibitor")</f>
        <v>ribonuclease A family member 3; tissue factor pathway inhibitor</v>
      </c>
    </row>
    <row r="2216" spans="1:11" ht="60" customHeight="1" x14ac:dyDescent="0.2">
      <c r="A2216" s="2">
        <v>2213</v>
      </c>
      <c r="B2216" s="3"/>
      <c r="C2216" s="3" t="str">
        <f t="shared" si="369"/>
        <v>TFPI</v>
      </c>
      <c r="D2216" s="3" t="str">
        <f t="shared" si="370"/>
        <v>TFPI_(HUMAN)_transcript</v>
      </c>
      <c r="E2216" s="2" t="s">
        <v>72</v>
      </c>
      <c r="F2216" s="3"/>
      <c r="G2216" s="4"/>
      <c r="H2216" s="3" t="str">
        <f>HYPERLINK("https://www.cortellis.com/drugdiscovery/entity/biomarkers/51366","5-gene expression non-small cell lung cancer panel")</f>
        <v>5-gene expression non-small cell lung cancer panel</v>
      </c>
      <c r="I2216" s="2" t="s">
        <v>23</v>
      </c>
      <c r="J2216" s="2" t="s">
        <v>19</v>
      </c>
      <c r="K2216" s="4" t="str">
        <f>HYPERLINK("https://www.cortellis.com/drugdiscovery/result/proxy/related-content/biomarkers/genestargets/51366","tissue factor pathway inhibitor")</f>
        <v>tissue factor pathway inhibitor</v>
      </c>
    </row>
    <row r="2217" spans="1:11" ht="60" customHeight="1" x14ac:dyDescent="0.2">
      <c r="A2217" s="2">
        <v>2214</v>
      </c>
      <c r="B2217" s="3"/>
      <c r="C2217" s="3" t="str">
        <f t="shared" si="369"/>
        <v>TFPI</v>
      </c>
      <c r="D2217" s="3" t="str">
        <f t="shared" si="370"/>
        <v>TFPI_(HUMAN)_transcript</v>
      </c>
      <c r="E2217" s="2" t="s">
        <v>72</v>
      </c>
      <c r="F2217" s="3"/>
      <c r="G2217" s="4"/>
      <c r="H2217" s="3" t="str">
        <f>HYPERLINK("https://www.cortellis.com/drugdiscovery/entity/biomarkers/56684","3-gene expression pancreatic ductal adenocarcinoma panel")</f>
        <v>3-gene expression pancreatic ductal adenocarcinoma panel</v>
      </c>
      <c r="I2217" s="2" t="s">
        <v>23</v>
      </c>
      <c r="J2217" s="2" t="s">
        <v>19</v>
      </c>
      <c r="K2217" s="4" t="str">
        <f>HYPERLINK("https://www.cortellis.com/drugdiscovery/result/proxy/related-content/biomarkers/genestargets/56684","tenascin C; tissue factor pathway inhibitor")</f>
        <v>tenascin C; tissue factor pathway inhibitor</v>
      </c>
    </row>
    <row r="2218" spans="1:11" ht="60" customHeight="1" x14ac:dyDescent="0.2">
      <c r="A2218" s="2">
        <v>2215</v>
      </c>
      <c r="B2218" s="3"/>
      <c r="C2218" s="3" t="str">
        <f t="shared" ref="C2218:C2233" si="371">HYPERLINK("https://portal.genego.com/cgi/entity_page.cgi?term=20&amp;id=680189308","TNC")</f>
        <v>TNC</v>
      </c>
      <c r="D2218" s="3" t="str">
        <f t="shared" ref="D2218:D2233" si="372">HYPERLINK("https://portal.genego.com/cgi/entity_page.cgi?term=7&amp;id=-794736631","TNC_(HUMAN)_transcript")</f>
        <v>TNC_(HUMAN)_transcript</v>
      </c>
      <c r="E2218" s="2" t="s">
        <v>72</v>
      </c>
      <c r="F2218" s="3"/>
      <c r="G2218" s="4"/>
      <c r="H2218" s="3" t="str">
        <f>HYPERLINK("https://www.cortellis.com/drugdiscovery/entity/biomarkers/396","Tenascin")</f>
        <v>Tenascin</v>
      </c>
      <c r="I2218" s="2" t="s">
        <v>70</v>
      </c>
      <c r="J2218" s="2" t="s">
        <v>15</v>
      </c>
      <c r="K2218" s="4" t="str">
        <f>HYPERLINK("https://www.cortellis.com/drugdiscovery/result/proxy/related-content/biomarkers/genestargets/396","tenascin C")</f>
        <v>tenascin C</v>
      </c>
    </row>
    <row r="2219" spans="1:11" ht="60" customHeight="1" x14ac:dyDescent="0.2">
      <c r="A2219" s="2">
        <v>2216</v>
      </c>
      <c r="B2219" s="3"/>
      <c r="C2219" s="3" t="str">
        <f t="shared" si="371"/>
        <v>TNC</v>
      </c>
      <c r="D2219" s="3" t="str">
        <f t="shared" si="372"/>
        <v>TNC_(HUMAN)_transcript</v>
      </c>
      <c r="E2219" s="2" t="s">
        <v>72</v>
      </c>
      <c r="F2219" s="3"/>
      <c r="G2219" s="4"/>
      <c r="H2219" s="3" t="str">
        <f>HYPERLINK("https://www.cortellis.com/drugdiscovery/entity/biomarkers/25308","OvaCheck")</f>
        <v>OvaCheck</v>
      </c>
      <c r="I2219" s="2" t="s">
        <v>23</v>
      </c>
      <c r="J2219" s="2" t="s">
        <v>17</v>
      </c>
      <c r="K2219" s="4" t="str">
        <f>HYPERLINK("https://www.cortellis.com/drugdiscovery/result/proxy/related-content/biomarkers/genestargets/25308","tenascin C")</f>
        <v>tenascin C</v>
      </c>
    </row>
    <row r="2220" spans="1:11" ht="60" customHeight="1" x14ac:dyDescent="0.2">
      <c r="A2220" s="2">
        <v>2217</v>
      </c>
      <c r="B2220" s="3"/>
      <c r="C2220" s="3" t="str">
        <f t="shared" si="371"/>
        <v>TNC</v>
      </c>
      <c r="D2220" s="3" t="str">
        <f t="shared" si="372"/>
        <v>TNC_(HUMAN)_transcript</v>
      </c>
      <c r="E2220" s="2" t="s">
        <v>72</v>
      </c>
      <c r="F2220" s="3"/>
      <c r="G2220" s="4"/>
      <c r="H2220" s="3" t="str">
        <f>HYPERLINK("https://www.cortellis.com/drugdiscovery/entity/biomarkers/28649","588-gene expression liposarcoma panel")</f>
        <v>588-gene expression liposarcoma panel</v>
      </c>
      <c r="I2220" s="2" t="s">
        <v>25</v>
      </c>
      <c r="J2220" s="2" t="s">
        <v>19</v>
      </c>
      <c r="K2220" s="4" t="str">
        <f>HYPERLINK("https://www.cortellis.com/drugdiscovery/result/proxy/related-content/biomarkers/genestargets/28649","tenascin C")</f>
        <v>tenascin C</v>
      </c>
    </row>
    <row r="2221" spans="1:11" ht="60" customHeight="1" x14ac:dyDescent="0.2">
      <c r="A2221" s="2">
        <v>2218</v>
      </c>
      <c r="B2221" s="3"/>
      <c r="C2221" s="3" t="str">
        <f t="shared" si="371"/>
        <v>TNC</v>
      </c>
      <c r="D2221" s="3" t="str">
        <f t="shared" si="372"/>
        <v>TNC_(HUMAN)_transcript</v>
      </c>
      <c r="E2221" s="2" t="s">
        <v>72</v>
      </c>
      <c r="F2221" s="3"/>
      <c r="G2221" s="4"/>
      <c r="H2221" s="3" t="str">
        <f>HYPERLINK("https://www.cortellis.com/drugdiscovery/entity/biomarkers/29113","3-gene expression acute myeloid leukemia panel")</f>
        <v>3-gene expression acute myeloid leukemia panel</v>
      </c>
      <c r="I2221" s="2" t="s">
        <v>25</v>
      </c>
      <c r="J2221" s="2" t="s">
        <v>19</v>
      </c>
      <c r="K2221" s="4" t="str">
        <f>HYPERLINK("https://www.cortellis.com/drugdiscovery/result/proxy/related-content/biomarkers/genestargets/29113","tenascin C")</f>
        <v>tenascin C</v>
      </c>
    </row>
    <row r="2222" spans="1:11" ht="60" customHeight="1" x14ac:dyDescent="0.2">
      <c r="A2222" s="2">
        <v>2219</v>
      </c>
      <c r="B2222" s="3"/>
      <c r="C2222" s="3" t="str">
        <f t="shared" si="371"/>
        <v>TNC</v>
      </c>
      <c r="D2222" s="3" t="str">
        <f t="shared" si="372"/>
        <v>TNC_(HUMAN)_transcript</v>
      </c>
      <c r="E2222" s="2" t="s">
        <v>72</v>
      </c>
      <c r="F2222" s="3"/>
      <c r="G2222" s="4"/>
      <c r="H2222" s="3" t="str">
        <f>HYPERLINK("https://www.cortellis.com/drugdiscovery/entity/biomarkers/31652","786-gene expression cancer panel")</f>
        <v>786-gene expression cancer panel</v>
      </c>
      <c r="I2222" s="2" t="s">
        <v>23</v>
      </c>
      <c r="J2222" s="2" t="s">
        <v>19</v>
      </c>
      <c r="K2222" s="4" t="str">
        <f>HYPERLINK("https://www.cortellis.com/drugdiscovery/result/proxy/related-content/biomarkers/genestargets/31652","C-C motif chemokine ligand 2; coagulation factor III, tissue factor; tenascin C")</f>
        <v>C-C motif chemokine ligand 2; coagulation factor III, tissue factor; tenascin C</v>
      </c>
    </row>
    <row r="2223" spans="1:11" ht="60" customHeight="1" x14ac:dyDescent="0.2">
      <c r="A2223" s="2">
        <v>2220</v>
      </c>
      <c r="B2223" s="3"/>
      <c r="C2223" s="3" t="str">
        <f t="shared" si="371"/>
        <v>TNC</v>
      </c>
      <c r="D2223" s="3" t="str">
        <f t="shared" si="372"/>
        <v>TNC_(HUMAN)_transcript</v>
      </c>
      <c r="E2223" s="2" t="s">
        <v>72</v>
      </c>
      <c r="F2223" s="3"/>
      <c r="G2223" s="4"/>
      <c r="H2223" s="3" t="str">
        <f>HYPERLINK("https://www.cortellis.com/drugdiscovery/entity/biomarkers/34385","30-protein alzheimer's panel")</f>
        <v>30-protein alzheimer's panel</v>
      </c>
      <c r="I2223" s="2" t="s">
        <v>23</v>
      </c>
      <c r="J2223" s="2" t="s">
        <v>17</v>
      </c>
      <c r="K2223" s="4" t="str">
        <f>HYPERLINK("https://www.cortellis.com/drugdiscovery/result/proxy/related-content/biomarkers/genestargets/34385","C-C motif chemokine ligand 2; interleukin 7; tenascin C; tumor necrosis factor")</f>
        <v>C-C motif chemokine ligand 2; interleukin 7; tenascin C; tumor necrosis factor</v>
      </c>
    </row>
    <row r="2224" spans="1:11" ht="60" customHeight="1" x14ac:dyDescent="0.2">
      <c r="A2224" s="2">
        <v>2221</v>
      </c>
      <c r="B2224" s="3"/>
      <c r="C2224" s="3" t="str">
        <f t="shared" si="371"/>
        <v>TNC</v>
      </c>
      <c r="D2224" s="3" t="str">
        <f t="shared" si="372"/>
        <v>TNC_(HUMAN)_transcript</v>
      </c>
      <c r="E2224" s="2" t="s">
        <v>72</v>
      </c>
      <c r="F2224" s="3"/>
      <c r="G2224" s="4"/>
      <c r="H2224" s="3" t="str">
        <f>HYPERLINK("https://www.cortellis.com/drugdiscovery/entity/biomarkers/38576","788-gene expression esophageal cancer panel")</f>
        <v>788-gene expression esophageal cancer panel</v>
      </c>
      <c r="I2224" s="2" t="s">
        <v>23</v>
      </c>
      <c r="J2224" s="2" t="s">
        <v>19</v>
      </c>
      <c r="K2224" s="4" t="str">
        <f>HYPERLINK("https://www.cortellis.com/drugdiscovery/result/proxy/related-content/biomarkers/genestargets/38576","coagulation factor III, tissue factor; tenascin C")</f>
        <v>coagulation factor III, tissue factor; tenascin C</v>
      </c>
    </row>
    <row r="2225" spans="1:11" ht="60" customHeight="1" x14ac:dyDescent="0.2">
      <c r="A2225" s="2">
        <v>2222</v>
      </c>
      <c r="B2225" s="3"/>
      <c r="C2225" s="3" t="str">
        <f t="shared" si="371"/>
        <v>TNC</v>
      </c>
      <c r="D2225" s="3" t="str">
        <f t="shared" si="372"/>
        <v>TNC_(HUMAN)_transcript</v>
      </c>
      <c r="E2225" s="2" t="s">
        <v>72</v>
      </c>
      <c r="F2225" s="3"/>
      <c r="G2225" s="4"/>
      <c r="H2225" s="3" t="str">
        <f>HYPERLINK("https://www.cortellis.com/drugdiscovery/entity/biomarkers/41331","12-gene expression melanoma panel")</f>
        <v>12-gene expression melanoma panel</v>
      </c>
      <c r="I2225" s="2" t="s">
        <v>23</v>
      </c>
      <c r="J2225" s="2" t="s">
        <v>19</v>
      </c>
      <c r="K2225" s="4" t="str">
        <f>HYPERLINK("https://www.cortellis.com/drugdiscovery/result/proxy/related-content/biomarkers/genestargets/41331","tenascin C")</f>
        <v>tenascin C</v>
      </c>
    </row>
    <row r="2226" spans="1:11" ht="60" customHeight="1" x14ac:dyDescent="0.2">
      <c r="A2226" s="2">
        <v>2223</v>
      </c>
      <c r="B2226" s="3"/>
      <c r="C2226" s="3" t="str">
        <f t="shared" si="371"/>
        <v>TNC</v>
      </c>
      <c r="D2226" s="3" t="str">
        <f t="shared" si="372"/>
        <v>TNC_(HUMAN)_transcript</v>
      </c>
      <c r="E2226" s="2" t="s">
        <v>72</v>
      </c>
      <c r="F2226" s="3"/>
      <c r="G2226" s="4"/>
      <c r="H2226" s="3" t="str">
        <f>HYPERLINK("https://www.cortellis.com/drugdiscovery/entity/biomarkers/41724","113-gene expression breast cancer panel")</f>
        <v>113-gene expression breast cancer panel</v>
      </c>
      <c r="I2226" s="2" t="s">
        <v>25</v>
      </c>
      <c r="J2226" s="2" t="s">
        <v>19</v>
      </c>
      <c r="K2226" s="4" t="str">
        <f>HYPERLINK("https://www.cortellis.com/drugdiscovery/result/proxy/related-content/biomarkers/genestargets/41724","C-C motif chemokine ligand 2; tenascin C")</f>
        <v>C-C motif chemokine ligand 2; tenascin C</v>
      </c>
    </row>
    <row r="2227" spans="1:11" ht="60" customHeight="1" x14ac:dyDescent="0.2">
      <c r="A2227" s="2">
        <v>2224</v>
      </c>
      <c r="B2227" s="3"/>
      <c r="C2227" s="3" t="str">
        <f t="shared" si="371"/>
        <v>TNC</v>
      </c>
      <c r="D2227" s="3" t="str">
        <f t="shared" si="372"/>
        <v>TNC_(HUMAN)_transcript</v>
      </c>
      <c r="E2227" s="2" t="s">
        <v>72</v>
      </c>
      <c r="F2227" s="3"/>
      <c r="G2227" s="4"/>
      <c r="H2227" s="3" t="str">
        <f>HYPERLINK("https://www.cortellis.com/drugdiscovery/entity/biomarkers/46637","7-protein osteoarthritis panel")</f>
        <v>7-protein osteoarthritis panel</v>
      </c>
      <c r="I2227" s="2" t="s">
        <v>23</v>
      </c>
      <c r="J2227" s="2" t="s">
        <v>17</v>
      </c>
      <c r="K2227" s="4" t="str">
        <f>HYPERLINK("https://www.cortellis.com/drugdiscovery/result/proxy/related-content/biomarkers/genestargets/46637","tenascin C")</f>
        <v>tenascin C</v>
      </c>
    </row>
    <row r="2228" spans="1:11" ht="60" customHeight="1" x14ac:dyDescent="0.2">
      <c r="A2228" s="2">
        <v>2225</v>
      </c>
      <c r="B2228" s="3"/>
      <c r="C2228" s="3" t="str">
        <f t="shared" si="371"/>
        <v>TNC</v>
      </c>
      <c r="D2228" s="3" t="str">
        <f t="shared" si="372"/>
        <v>TNC_(HUMAN)_transcript</v>
      </c>
      <c r="E2228" s="2" t="s">
        <v>72</v>
      </c>
      <c r="F2228" s="3"/>
      <c r="G2228" s="4"/>
      <c r="H2228" s="3" t="str">
        <f>HYPERLINK("https://www.cortellis.com/drugdiscovery/entity/biomarkers/48483","AngioMatrix")</f>
        <v>AngioMatrix</v>
      </c>
      <c r="I2228" s="2" t="s">
        <v>26</v>
      </c>
      <c r="J2228" s="2" t="s">
        <v>19</v>
      </c>
      <c r="K2228" s="4" t="str">
        <f>HYPERLINK("https://www.cortellis.com/drugdiscovery/result/proxy/related-content/biomarkers/genestargets/48483","C-C motif chemokine ligand 2; tenascin C")</f>
        <v>C-C motif chemokine ligand 2; tenascin C</v>
      </c>
    </row>
    <row r="2229" spans="1:11" ht="60" customHeight="1" x14ac:dyDescent="0.2">
      <c r="A2229" s="2">
        <v>2226</v>
      </c>
      <c r="B2229" s="3"/>
      <c r="C2229" s="3" t="str">
        <f t="shared" si="371"/>
        <v>TNC</v>
      </c>
      <c r="D2229" s="3" t="str">
        <f t="shared" si="372"/>
        <v>TNC_(HUMAN)_transcript</v>
      </c>
      <c r="E2229" s="2" t="s">
        <v>72</v>
      </c>
      <c r="F2229" s="3"/>
      <c r="G2229" s="4"/>
      <c r="H2229" s="3" t="str">
        <f>HYPERLINK("https://www.cortellis.com/drugdiscovery/entity/biomarkers/49585","31-gene expression medulloblastoma panel")</f>
        <v>31-gene expression medulloblastoma panel</v>
      </c>
      <c r="I2229" s="2" t="s">
        <v>23</v>
      </c>
      <c r="J2229" s="2" t="s">
        <v>19</v>
      </c>
      <c r="K2229" s="4" t="str">
        <f>HYPERLINK("https://www.cortellis.com/drugdiscovery/result/proxy/related-content/biomarkers/genestargets/49585","tenascin C")</f>
        <v>tenascin C</v>
      </c>
    </row>
    <row r="2230" spans="1:11" ht="60" customHeight="1" x14ac:dyDescent="0.2">
      <c r="A2230" s="2">
        <v>2227</v>
      </c>
      <c r="B2230" s="3"/>
      <c r="C2230" s="3" t="str">
        <f t="shared" si="371"/>
        <v>TNC</v>
      </c>
      <c r="D2230" s="3" t="str">
        <f t="shared" si="372"/>
        <v>TNC_(HUMAN)_transcript</v>
      </c>
      <c r="E2230" s="2" t="s">
        <v>72</v>
      </c>
      <c r="F2230" s="3"/>
      <c r="G2230" s="4"/>
      <c r="H2230" s="3" t="str">
        <f>HYPERLINK("https://www.cortellis.com/drugdiscovery/entity/biomarkers/56684","3-gene expression pancreatic ductal adenocarcinoma panel")</f>
        <v>3-gene expression pancreatic ductal adenocarcinoma panel</v>
      </c>
      <c r="I2230" s="2" t="s">
        <v>23</v>
      </c>
      <c r="J2230" s="2" t="s">
        <v>19</v>
      </c>
      <c r="K2230" s="4" t="str">
        <f>HYPERLINK("https://www.cortellis.com/drugdiscovery/result/proxy/related-content/biomarkers/genestargets/56684","tenascin C; tissue factor pathway inhibitor")</f>
        <v>tenascin C; tissue factor pathway inhibitor</v>
      </c>
    </row>
    <row r="2231" spans="1:11" ht="60" customHeight="1" x14ac:dyDescent="0.2">
      <c r="A2231" s="2">
        <v>2228</v>
      </c>
      <c r="B2231" s="3"/>
      <c r="C2231" s="3" t="str">
        <f t="shared" si="371"/>
        <v>TNC</v>
      </c>
      <c r="D2231" s="3" t="str">
        <f t="shared" si="372"/>
        <v>TNC_(HUMAN)_transcript</v>
      </c>
      <c r="E2231" s="2" t="s">
        <v>72</v>
      </c>
      <c r="F2231" s="3"/>
      <c r="G2231" s="4"/>
      <c r="H2231" s="3" t="str">
        <f>HYPERLINK("https://www.cortellis.com/drugdiscovery/entity/biomarkers/56837","794-gene expression intrahepatic cholangiocarcinoma panel")</f>
        <v>794-gene expression intrahepatic cholangiocarcinoma panel</v>
      </c>
      <c r="I2231" s="2" t="s">
        <v>25</v>
      </c>
      <c r="J2231" s="2" t="s">
        <v>19</v>
      </c>
      <c r="K2231" s="4" t="str">
        <f>HYPERLINK("https://www.cortellis.com/drugdiscovery/result/proxy/related-content/biomarkers/genestargets/56837","C-C motif chemokine ligand 2; tenascin C")</f>
        <v>C-C motif chemokine ligand 2; tenascin C</v>
      </c>
    </row>
    <row r="2232" spans="1:11" ht="60" customHeight="1" x14ac:dyDescent="0.2">
      <c r="A2232" s="2">
        <v>2229</v>
      </c>
      <c r="B2232" s="3"/>
      <c r="C2232" s="3" t="str">
        <f t="shared" si="371"/>
        <v>TNC</v>
      </c>
      <c r="D2232" s="3" t="str">
        <f t="shared" si="372"/>
        <v>TNC_(HUMAN)_transcript</v>
      </c>
      <c r="E2232" s="2" t="s">
        <v>72</v>
      </c>
      <c r="F2232" s="3"/>
      <c r="G2232" s="4"/>
      <c r="H2232" s="3" t="str">
        <f>HYPERLINK("https://www.cortellis.com/drugdiscovery/entity/biomarkers/57224","21-protein mild cognitive impairment panel")</f>
        <v>21-protein mild cognitive impairment panel</v>
      </c>
      <c r="I2232" s="2" t="s">
        <v>23</v>
      </c>
      <c r="J2232" s="2" t="s">
        <v>19</v>
      </c>
      <c r="K2232" s="4" t="str">
        <f>HYPERLINK("https://www.cortellis.com/drugdiscovery/result/proxy/related-content/biomarkers/genestargets/57224","interleukin 7; tenascin C; tumor necrosis factor")</f>
        <v>interleukin 7; tenascin C; tumor necrosis factor</v>
      </c>
    </row>
    <row r="2233" spans="1:11" ht="60" customHeight="1" x14ac:dyDescent="0.2">
      <c r="A2233" s="2">
        <v>2230</v>
      </c>
      <c r="B2233" s="3"/>
      <c r="C2233" s="3" t="str">
        <f t="shared" si="371"/>
        <v>TNC</v>
      </c>
      <c r="D2233" s="3" t="str">
        <f t="shared" si="372"/>
        <v>TNC_(HUMAN)_transcript</v>
      </c>
      <c r="E2233" s="2" t="s">
        <v>72</v>
      </c>
      <c r="F2233" s="3"/>
      <c r="G2233" s="4"/>
      <c r="H2233" s="3" t="str">
        <f>HYPERLINK("https://www.cortellis.com/drugdiscovery/entity/biomarkers/59583","93-gene expression prostate cancer panel")</f>
        <v>93-gene expression prostate cancer panel</v>
      </c>
      <c r="I2233" s="2" t="s">
        <v>25</v>
      </c>
      <c r="J2233" s="2" t="s">
        <v>19</v>
      </c>
      <c r="K2233" s="4" t="str">
        <f>HYPERLINK("https://www.cortellis.com/drugdiscovery/result/proxy/related-content/biomarkers/genestargets/59583","tenascin C")</f>
        <v>tenascin C</v>
      </c>
    </row>
    <row r="2234" spans="1:11" ht="60" customHeight="1" x14ac:dyDescent="0.2">
      <c r="A2234" s="2">
        <v>2231</v>
      </c>
      <c r="B2234" s="3"/>
      <c r="C2234" s="3" t="str">
        <f t="shared" ref="C2234:C2260" si="373">HYPERLINK("https://portal.genego.com/cgi/entity_page.cgi?term=20&amp;id=-1163959157","TNF")</f>
        <v>TNF</v>
      </c>
      <c r="D2234" s="3" t="str">
        <f t="shared" ref="D2234:D2260" si="374">HYPERLINK("https://portal.genego.com/cgi/entity_page.cgi?term=7&amp;id=-1199052287","TNF_(HUMAN)_transcript")</f>
        <v>TNF_(HUMAN)_transcript</v>
      </c>
      <c r="E2234" s="2" t="s">
        <v>72</v>
      </c>
      <c r="F2234" s="3"/>
      <c r="G2234" s="4"/>
      <c r="H2234" s="3" t="str">
        <f>HYPERLINK("https://www.cortellis.com/drugdiscovery/entity/biomarkers/274","Tumor necrosis factor")</f>
        <v>Tumor necrosis factor</v>
      </c>
      <c r="I2234" s="2" t="s">
        <v>22</v>
      </c>
      <c r="J2234" s="2" t="s">
        <v>15</v>
      </c>
      <c r="K2234" s="4" t="str">
        <f>HYPERLINK("https://www.cortellis.com/drugdiscovery/result/proxy/related-content/biomarkers/genestargets/274","tumor necrosis factor")</f>
        <v>tumor necrosis factor</v>
      </c>
    </row>
    <row r="2235" spans="1:11" ht="60" customHeight="1" x14ac:dyDescent="0.2">
      <c r="A2235" s="2">
        <v>2232</v>
      </c>
      <c r="B2235" s="3"/>
      <c r="C2235" s="3" t="str">
        <f t="shared" si="373"/>
        <v>TNF</v>
      </c>
      <c r="D2235" s="3" t="str">
        <f t="shared" si="374"/>
        <v>TNF_(HUMAN)_transcript</v>
      </c>
      <c r="E2235" s="2" t="s">
        <v>72</v>
      </c>
      <c r="F2235" s="3"/>
      <c r="G2235" s="4"/>
      <c r="H2235" s="3" t="str">
        <f>HYPERLINK("https://www.cortellis.com/drugdiscovery/entity/biomarkers/27598","89-protein neurological alzheimer's panel")</f>
        <v>89-protein neurological alzheimer's panel</v>
      </c>
      <c r="I2235" s="2" t="s">
        <v>23</v>
      </c>
      <c r="J2235" s="2" t="s">
        <v>17</v>
      </c>
      <c r="K2235" s="4" t="str">
        <f>HYPERLINK("https://www.cortellis.com/drugdiscovery/result/proxy/related-content/biomarkers/genestargets/27598","C-C motif chemokine ligand 2; coagulation factor III, tissue factor; interferon gamma; interleukin 12B; interleukin 15; interleukin 7; matrix metallopeptidase 2; matrix metallopeptidase 9; tumor necrosis factor")</f>
        <v>C-C motif chemokine ligand 2; coagulation factor III, tissue factor; interferon gamma; interleukin 12B; interleukin 15; interleukin 7; matrix metallopeptidase 2; matrix metallopeptidase 9; tumor necrosis factor</v>
      </c>
    </row>
    <row r="2236" spans="1:11" ht="60" customHeight="1" x14ac:dyDescent="0.2">
      <c r="A2236" s="2">
        <v>2233</v>
      </c>
      <c r="B2236" s="3"/>
      <c r="C2236" s="3" t="str">
        <f t="shared" si="373"/>
        <v>TNF</v>
      </c>
      <c r="D2236" s="3" t="str">
        <f t="shared" si="374"/>
        <v>TNF_(HUMAN)_transcript</v>
      </c>
      <c r="E2236" s="2" t="s">
        <v>72</v>
      </c>
      <c r="F2236" s="3"/>
      <c r="G2236" s="4"/>
      <c r="H2236" s="3" t="str">
        <f>HYPERLINK("https://www.cortellis.com/drugdiscovery/entity/biomarkers/27640","5-protein alzheimer's panel")</f>
        <v>5-protein alzheimer's panel</v>
      </c>
      <c r="I2236" s="2" t="s">
        <v>23</v>
      </c>
      <c r="J2236" s="2" t="s">
        <v>17</v>
      </c>
      <c r="K2236" s="4" t="str">
        <f>HYPERLINK("https://www.cortellis.com/drugdiscovery/result/proxy/related-content/biomarkers/genestargets/27640","tumor necrosis factor")</f>
        <v>tumor necrosis factor</v>
      </c>
    </row>
    <row r="2237" spans="1:11" ht="60" customHeight="1" x14ac:dyDescent="0.2">
      <c r="A2237" s="2">
        <v>2234</v>
      </c>
      <c r="B2237" s="3"/>
      <c r="C2237" s="3" t="str">
        <f t="shared" si="373"/>
        <v>TNF</v>
      </c>
      <c r="D2237" s="3" t="str">
        <f t="shared" si="374"/>
        <v>TNF_(HUMAN)_transcript</v>
      </c>
      <c r="E2237" s="2" t="s">
        <v>72</v>
      </c>
      <c r="F2237" s="3"/>
      <c r="G2237" s="4"/>
      <c r="H2237" s="3" t="str">
        <f>HYPERLINK("https://www.cortellis.com/drugdiscovery/entity/biomarkers/27734","6-protein lung cancer panel")</f>
        <v>6-protein lung cancer panel</v>
      </c>
      <c r="I2237" s="2" t="s">
        <v>23</v>
      </c>
      <c r="J2237" s="2" t="s">
        <v>17</v>
      </c>
      <c r="K2237" s="4" t="str">
        <f>HYPERLINK("https://www.cortellis.com/drugdiscovery/result/proxy/related-content/biomarkers/genestargets/27734","interferon gamma; tumor necrosis factor")</f>
        <v>interferon gamma; tumor necrosis factor</v>
      </c>
    </row>
    <row r="2238" spans="1:11" ht="60" customHeight="1" x14ac:dyDescent="0.2">
      <c r="A2238" s="2">
        <v>2235</v>
      </c>
      <c r="B2238" s="3"/>
      <c r="C2238" s="3" t="str">
        <f t="shared" si="373"/>
        <v>TNF</v>
      </c>
      <c r="D2238" s="3" t="str">
        <f t="shared" si="374"/>
        <v>TNF_(HUMAN)_transcript</v>
      </c>
      <c r="E2238" s="2" t="s">
        <v>72</v>
      </c>
      <c r="F2238" s="3"/>
      <c r="G2238" s="4"/>
      <c r="H2238" s="3" t="str">
        <f>HYPERLINK("https://www.cortellis.com/drugdiscovery/entity/biomarkers/28148","11-gene expression lung cancer panel")</f>
        <v>11-gene expression lung cancer panel</v>
      </c>
      <c r="I2238" s="2" t="s">
        <v>25</v>
      </c>
      <c r="J2238" s="2" t="s">
        <v>19</v>
      </c>
      <c r="K2238" s="4" t="str">
        <f>HYPERLINK("https://www.cortellis.com/drugdiscovery/result/proxy/related-content/biomarkers/genestargets/28148","interferon gamma; interleukin 15; tumor necrosis factor")</f>
        <v>interferon gamma; interleukin 15; tumor necrosis factor</v>
      </c>
    </row>
    <row r="2239" spans="1:11" ht="60" customHeight="1" x14ac:dyDescent="0.2">
      <c r="A2239" s="2">
        <v>2236</v>
      </c>
      <c r="B2239" s="3"/>
      <c r="C2239" s="3" t="str">
        <f t="shared" si="373"/>
        <v>TNF</v>
      </c>
      <c r="D2239" s="3" t="str">
        <f t="shared" si="374"/>
        <v>TNF_(HUMAN)_transcript</v>
      </c>
      <c r="E2239" s="2" t="s">
        <v>72</v>
      </c>
      <c r="F2239" s="3"/>
      <c r="G2239" s="4"/>
      <c r="H2239" s="3" t="str">
        <f>HYPERLINK("https://www.cortellis.com/drugdiscovery/entity/biomarkers/28647","15-gene expression lung cancer panel")</f>
        <v>15-gene expression lung cancer panel</v>
      </c>
      <c r="I2239" s="2" t="s">
        <v>20</v>
      </c>
      <c r="J2239" s="2" t="s">
        <v>19</v>
      </c>
      <c r="K2239" s="4" t="str">
        <f>HYPERLINK("https://www.cortellis.com/drugdiscovery/result/proxy/related-content/biomarkers/genestargets/28647","interferon gamma; interleukin 15; tumor necrosis factor")</f>
        <v>interferon gamma; interleukin 15; tumor necrosis factor</v>
      </c>
    </row>
    <row r="2240" spans="1:11" ht="60" customHeight="1" x14ac:dyDescent="0.2">
      <c r="A2240" s="2">
        <v>2237</v>
      </c>
      <c r="B2240" s="3"/>
      <c r="C2240" s="3" t="str">
        <f t="shared" si="373"/>
        <v>TNF</v>
      </c>
      <c r="D2240" s="3" t="str">
        <f t="shared" si="374"/>
        <v>TNF_(HUMAN)_transcript</v>
      </c>
      <c r="E2240" s="2" t="s">
        <v>72</v>
      </c>
      <c r="F2240" s="3"/>
      <c r="G2240" s="4"/>
      <c r="H2240" s="3" t="str">
        <f>HYPERLINK("https://www.cortellis.com/drugdiscovery/entity/biomarkers/29676","277-gene expression lung cancer panel")</f>
        <v>277-gene expression lung cancer panel</v>
      </c>
      <c r="I2240" s="2" t="s">
        <v>25</v>
      </c>
      <c r="J2240" s="2" t="s">
        <v>19</v>
      </c>
      <c r="K2240" s="4" t="str">
        <f>HYPERLINK("https://www.cortellis.com/drugdiscovery/result/proxy/related-content/biomarkers/genestargets/29676","cyclin D1; tumor necrosis factor")</f>
        <v>cyclin D1; tumor necrosis factor</v>
      </c>
    </row>
    <row r="2241" spans="1:11" ht="60" customHeight="1" x14ac:dyDescent="0.2">
      <c r="A2241" s="2">
        <v>2238</v>
      </c>
      <c r="B2241" s="3"/>
      <c r="C2241" s="3" t="str">
        <f t="shared" si="373"/>
        <v>TNF</v>
      </c>
      <c r="D2241" s="3" t="str">
        <f t="shared" si="374"/>
        <v>TNF_(HUMAN)_transcript</v>
      </c>
      <c r="E2241" s="2" t="s">
        <v>72</v>
      </c>
      <c r="F2241" s="3"/>
      <c r="G2241" s="4"/>
      <c r="H2241" s="3" t="str">
        <f>HYPERLINK("https://www.cortellis.com/drugdiscovery/entity/biomarkers/30768","11-protein cardiovascular panel")</f>
        <v>11-protein cardiovascular panel</v>
      </c>
      <c r="I2241" s="2" t="s">
        <v>23</v>
      </c>
      <c r="J2241" s="2" t="s">
        <v>17</v>
      </c>
      <c r="K2241" s="4" t="str">
        <f>HYPERLINK("https://www.cortellis.com/drugdiscovery/result/proxy/related-content/biomarkers/genestargets/30768","interferon gamma; interleukin 12B; tumor necrosis factor")</f>
        <v>interferon gamma; interleukin 12B; tumor necrosis factor</v>
      </c>
    </row>
    <row r="2242" spans="1:11" ht="60" customHeight="1" x14ac:dyDescent="0.2">
      <c r="A2242" s="2">
        <v>2239</v>
      </c>
      <c r="B2242" s="3"/>
      <c r="C2242" s="3" t="str">
        <f t="shared" si="373"/>
        <v>TNF</v>
      </c>
      <c r="D2242" s="3" t="str">
        <f t="shared" si="374"/>
        <v>TNF_(HUMAN)_transcript</v>
      </c>
      <c r="E2242" s="2" t="s">
        <v>72</v>
      </c>
      <c r="F2242" s="3"/>
      <c r="G2242" s="4"/>
      <c r="H2242" s="3" t="str">
        <f>HYPERLINK("https://www.cortellis.com/drugdiscovery/entity/biomarkers/34385","30-protein alzheimer's panel")</f>
        <v>30-protein alzheimer's panel</v>
      </c>
      <c r="I2242" s="2" t="s">
        <v>23</v>
      </c>
      <c r="J2242" s="2" t="s">
        <v>17</v>
      </c>
      <c r="K2242" s="4" t="str">
        <f>HYPERLINK("https://www.cortellis.com/drugdiscovery/result/proxy/related-content/biomarkers/genestargets/34385","C-C motif chemokine ligand 2; interleukin 7; tenascin C; tumor necrosis factor")</f>
        <v>C-C motif chemokine ligand 2; interleukin 7; tenascin C; tumor necrosis factor</v>
      </c>
    </row>
    <row r="2243" spans="1:11" ht="60" customHeight="1" x14ac:dyDescent="0.2">
      <c r="A2243" s="2">
        <v>2240</v>
      </c>
      <c r="B2243" s="3"/>
      <c r="C2243" s="3" t="str">
        <f t="shared" si="373"/>
        <v>TNF</v>
      </c>
      <c r="D2243" s="3" t="str">
        <f t="shared" si="374"/>
        <v>TNF_(HUMAN)_transcript</v>
      </c>
      <c r="E2243" s="2" t="s">
        <v>72</v>
      </c>
      <c r="F2243" s="3"/>
      <c r="G2243" s="4"/>
      <c r="H2243" s="3" t="str">
        <f>HYPERLINK("https://www.cortellis.com/drugdiscovery/entity/biomarkers/34437","3-protein 3-autoantibody lung cancer panel")</f>
        <v>3-protein 3-autoantibody lung cancer panel</v>
      </c>
      <c r="I2243" s="2" t="s">
        <v>23</v>
      </c>
      <c r="J2243" s="2" t="s">
        <v>17</v>
      </c>
      <c r="K2243" s="4" t="str">
        <f>HYPERLINK("https://www.cortellis.com/drugdiscovery/result/proxy/related-content/biomarkers/genestargets/34437","tumor necrosis factor")</f>
        <v>tumor necrosis factor</v>
      </c>
    </row>
    <row r="2244" spans="1:11" ht="60" customHeight="1" x14ac:dyDescent="0.2">
      <c r="A2244" s="2">
        <v>2241</v>
      </c>
      <c r="B2244" s="3"/>
      <c r="C2244" s="3" t="str">
        <f t="shared" si="373"/>
        <v>TNF</v>
      </c>
      <c r="D2244" s="3" t="str">
        <f t="shared" si="374"/>
        <v>TNF_(HUMAN)_transcript</v>
      </c>
      <c r="E2244" s="2" t="s">
        <v>72</v>
      </c>
      <c r="F2244" s="3"/>
      <c r="G2244" s="4"/>
      <c r="H2244" s="3" t="str">
        <f>HYPERLINK("https://www.cortellis.com/drugdiscovery/entity/biomarkers/35424","60-gene expression ovarian cancer panel")</f>
        <v>60-gene expression ovarian cancer panel</v>
      </c>
      <c r="I2244" s="2" t="s">
        <v>18</v>
      </c>
      <c r="J2244" s="2" t="s">
        <v>19</v>
      </c>
      <c r="K2244" s="4" t="str">
        <f>HYPERLINK("https://www.cortellis.com/drugdiscovery/result/proxy/related-content/biomarkers/genestargets/35424","tumor necrosis factor")</f>
        <v>tumor necrosis factor</v>
      </c>
    </row>
    <row r="2245" spans="1:11" ht="60" customHeight="1" x14ac:dyDescent="0.2">
      <c r="A2245" s="2">
        <v>2242</v>
      </c>
      <c r="B2245" s="3"/>
      <c r="C2245" s="3" t="str">
        <f t="shared" si="373"/>
        <v>TNF</v>
      </c>
      <c r="D2245" s="3" t="str">
        <f t="shared" si="374"/>
        <v>TNF_(HUMAN)_transcript</v>
      </c>
      <c r="E2245" s="2" t="s">
        <v>72</v>
      </c>
      <c r="F2245" s="3"/>
      <c r="G2245" s="4"/>
      <c r="H2245" s="3" t="str">
        <f>HYPERLINK("https://www.cortellis.com/drugdiscovery/entity/biomarkers/36125","10-protein respiratory panel")</f>
        <v>10-protein respiratory panel</v>
      </c>
      <c r="I2245" s="2" t="s">
        <v>25</v>
      </c>
      <c r="J2245" s="2" t="s">
        <v>17</v>
      </c>
      <c r="K2245" s="4" t="str">
        <f>HYPERLINK("https://www.cortellis.com/drugdiscovery/result/proxy/related-content/biomarkers/genestargets/36125","interferon gamma; tumor necrosis factor")</f>
        <v>interferon gamma; tumor necrosis factor</v>
      </c>
    </row>
    <row r="2246" spans="1:11" ht="60" customHeight="1" x14ac:dyDescent="0.2">
      <c r="A2246" s="2">
        <v>2243</v>
      </c>
      <c r="B2246" s="3"/>
      <c r="C2246" s="3" t="str">
        <f t="shared" si="373"/>
        <v>TNF</v>
      </c>
      <c r="D2246" s="3" t="str">
        <f t="shared" si="374"/>
        <v>TNF_(HUMAN)_transcript</v>
      </c>
      <c r="E2246" s="2" t="s">
        <v>72</v>
      </c>
      <c r="F2246" s="3"/>
      <c r="G2246" s="4"/>
      <c r="H2246" s="3" t="str">
        <f>HYPERLINK("https://www.cortellis.com/drugdiscovery/entity/biomarkers/36127","3-protein respiratory panel")</f>
        <v>3-protein respiratory panel</v>
      </c>
      <c r="I2246" s="2" t="s">
        <v>25</v>
      </c>
      <c r="J2246" s="2" t="s">
        <v>17</v>
      </c>
      <c r="K2246" s="4" t="str">
        <f>HYPERLINK("https://www.cortellis.com/drugdiscovery/result/proxy/related-content/biomarkers/genestargets/36127","interferon gamma; tumor necrosis factor")</f>
        <v>interferon gamma; tumor necrosis factor</v>
      </c>
    </row>
    <row r="2247" spans="1:11" ht="60" customHeight="1" x14ac:dyDescent="0.2">
      <c r="A2247" s="2">
        <v>2244</v>
      </c>
      <c r="B2247" s="3"/>
      <c r="C2247" s="3" t="str">
        <f t="shared" si="373"/>
        <v>TNF</v>
      </c>
      <c r="D2247" s="3" t="str">
        <f t="shared" si="374"/>
        <v>TNF_(HUMAN)_transcript</v>
      </c>
      <c r="E2247" s="2" t="s">
        <v>72</v>
      </c>
      <c r="F2247" s="3"/>
      <c r="G2247" s="4"/>
      <c r="H2247" s="3" t="str">
        <f>HYPERLINK("https://www.cortellis.com/drugdiscovery/entity/biomarkers/37520","4-protein bacteremia panel")</f>
        <v>4-protein bacteremia panel</v>
      </c>
      <c r="I2247" s="2" t="s">
        <v>23</v>
      </c>
      <c r="J2247" s="2" t="s">
        <v>17</v>
      </c>
      <c r="K2247" s="4" t="str">
        <f>HYPERLINK("https://www.cortellis.com/drugdiscovery/result/proxy/related-content/biomarkers/genestargets/37520","tumor necrosis factor")</f>
        <v>tumor necrosis factor</v>
      </c>
    </row>
    <row r="2248" spans="1:11" ht="60" customHeight="1" x14ac:dyDescent="0.2">
      <c r="A2248" s="2">
        <v>2245</v>
      </c>
      <c r="B2248" s="3"/>
      <c r="C2248" s="3" t="str">
        <f t="shared" si="373"/>
        <v>TNF</v>
      </c>
      <c r="D2248" s="3" t="str">
        <f t="shared" si="374"/>
        <v>TNF_(HUMAN)_transcript</v>
      </c>
      <c r="E2248" s="2" t="s">
        <v>72</v>
      </c>
      <c r="F2248" s="3"/>
      <c r="G2248" s="4"/>
      <c r="H2248" s="3" t="str">
        <f>HYPERLINK("https://www.cortellis.com/drugdiscovery/entity/biomarkers/43870","17-genomic 14-protein 3-biochemical irritable bowel syndrome panel")</f>
        <v>17-genomic 14-protein 3-biochemical irritable bowel syndrome panel</v>
      </c>
      <c r="I2248" s="2" t="s">
        <v>52</v>
      </c>
      <c r="J2248" s="2" t="s">
        <v>53</v>
      </c>
      <c r="K2248" s="4" t="str">
        <f>HYPERLINK("https://www.cortellis.com/drugdiscovery/result/proxy/related-content/biomarkers/genestargets/43870","interleukin 12B; tumor necrosis factor")</f>
        <v>interleukin 12B; tumor necrosis factor</v>
      </c>
    </row>
    <row r="2249" spans="1:11" ht="60" customHeight="1" x14ac:dyDescent="0.2">
      <c r="A2249" s="2">
        <v>2246</v>
      </c>
      <c r="B2249" s="3"/>
      <c r="C2249" s="3" t="str">
        <f t="shared" si="373"/>
        <v>TNF</v>
      </c>
      <c r="D2249" s="3" t="str">
        <f t="shared" si="374"/>
        <v>TNF_(HUMAN)_transcript</v>
      </c>
      <c r="E2249" s="2" t="s">
        <v>72</v>
      </c>
      <c r="F2249" s="3"/>
      <c r="G2249" s="4"/>
      <c r="H2249" s="3" t="str">
        <f>HYPERLINK("https://www.cortellis.com/drugdiscovery/entity/biomarkers/46842","7-protein non small cell lung cancer panel")</f>
        <v>7-protein non small cell lung cancer panel</v>
      </c>
      <c r="I2249" s="2" t="s">
        <v>23</v>
      </c>
      <c r="J2249" s="2" t="s">
        <v>17</v>
      </c>
      <c r="K2249" s="4" t="str">
        <f>HYPERLINK("https://www.cortellis.com/drugdiscovery/result/proxy/related-content/biomarkers/genestargets/46842","tumor necrosis factor")</f>
        <v>tumor necrosis factor</v>
      </c>
    </row>
    <row r="2250" spans="1:11" ht="60" customHeight="1" x14ac:dyDescent="0.2">
      <c r="A2250" s="2">
        <v>2247</v>
      </c>
      <c r="B2250" s="3"/>
      <c r="C2250" s="3" t="str">
        <f t="shared" si="373"/>
        <v>TNF</v>
      </c>
      <c r="D2250" s="3" t="str">
        <f t="shared" si="374"/>
        <v>TNF_(HUMAN)_transcript</v>
      </c>
      <c r="E2250" s="2" t="s">
        <v>72</v>
      </c>
      <c r="F2250" s="3"/>
      <c r="G2250" s="4"/>
      <c r="H2250" s="3" t="str">
        <f>HYPERLINK("https://www.cortellis.com/drugdiscovery/entity/biomarkers/50816","10-gene lyme disease panel")</f>
        <v>10-gene lyme disease panel</v>
      </c>
      <c r="I2250" s="2" t="s">
        <v>23</v>
      </c>
      <c r="J2250" s="2" t="s">
        <v>15</v>
      </c>
      <c r="K2250" s="4" t="str">
        <f>HYPERLINK("https://www.cortellis.com/drugdiscovery/result/proxy/related-content/biomarkers/genestargets/50816","C-C motif chemokine ligand 2; interferon gamma; tumor necrosis factor")</f>
        <v>C-C motif chemokine ligand 2; interferon gamma; tumor necrosis factor</v>
      </c>
    </row>
    <row r="2251" spans="1:11" ht="60" customHeight="1" x14ac:dyDescent="0.2">
      <c r="A2251" s="2">
        <v>2248</v>
      </c>
      <c r="B2251" s="3"/>
      <c r="C2251" s="3" t="str">
        <f t="shared" si="373"/>
        <v>TNF</v>
      </c>
      <c r="D2251" s="3" t="str">
        <f t="shared" si="374"/>
        <v>TNF_(HUMAN)_transcript</v>
      </c>
      <c r="E2251" s="2" t="s">
        <v>72</v>
      </c>
      <c r="F2251" s="3"/>
      <c r="G2251" s="4"/>
      <c r="H2251" s="3" t="str">
        <f>HYPERLINK("https://www.cortellis.com/drugdiscovery/entity/biomarkers/50817","11-gene lyme disease panel")</f>
        <v>11-gene lyme disease panel</v>
      </c>
      <c r="I2251" s="2" t="s">
        <v>23</v>
      </c>
      <c r="J2251" s="2" t="s">
        <v>15</v>
      </c>
      <c r="K2251" s="4" t="str">
        <f>HYPERLINK("https://www.cortellis.com/drugdiscovery/result/proxy/related-content/biomarkers/genestargets/50817","C-C motif chemokine ligand 2; interferon gamma; tumor necrosis factor")</f>
        <v>C-C motif chemokine ligand 2; interferon gamma; tumor necrosis factor</v>
      </c>
    </row>
    <row r="2252" spans="1:11" ht="60" customHeight="1" x14ac:dyDescent="0.2">
      <c r="A2252" s="2">
        <v>2249</v>
      </c>
      <c r="B2252" s="3"/>
      <c r="C2252" s="3" t="str">
        <f t="shared" si="373"/>
        <v>TNF</v>
      </c>
      <c r="D2252" s="3" t="str">
        <f t="shared" si="374"/>
        <v>TNF_(HUMAN)_transcript</v>
      </c>
      <c r="E2252" s="2" t="s">
        <v>72</v>
      </c>
      <c r="F2252" s="3"/>
      <c r="G2252" s="4"/>
      <c r="H2252" s="3" t="str">
        <f>HYPERLINK("https://www.cortellis.com/drugdiscovery/entity/biomarkers/50818","12 protein Lyme disease panel")</f>
        <v>12 protein Lyme disease panel</v>
      </c>
      <c r="I2252" s="2" t="s">
        <v>23</v>
      </c>
      <c r="J2252" s="2" t="s">
        <v>17</v>
      </c>
      <c r="K2252" s="4" t="str">
        <f>HYPERLINK("https://www.cortellis.com/drugdiscovery/result/proxy/related-content/biomarkers/genestargets/50818","C-C motif chemokine ligand 2; interferon gamma; tumor necrosis factor")</f>
        <v>C-C motif chemokine ligand 2; interferon gamma; tumor necrosis factor</v>
      </c>
    </row>
    <row r="2253" spans="1:11" ht="60" customHeight="1" x14ac:dyDescent="0.2">
      <c r="A2253" s="2">
        <v>2250</v>
      </c>
      <c r="B2253" s="3"/>
      <c r="C2253" s="3" t="str">
        <f t="shared" si="373"/>
        <v>TNF</v>
      </c>
      <c r="D2253" s="3" t="str">
        <f t="shared" si="374"/>
        <v>TNF_(HUMAN)_transcript</v>
      </c>
      <c r="E2253" s="2" t="s">
        <v>72</v>
      </c>
      <c r="F2253" s="3"/>
      <c r="G2253" s="4"/>
      <c r="H2253" s="3" t="str">
        <f>HYPERLINK("https://www.cortellis.com/drugdiscovery/entity/biomarkers/51292","37-gene expression major depression panel")</f>
        <v>37-gene expression major depression panel</v>
      </c>
      <c r="I2253" s="2" t="s">
        <v>23</v>
      </c>
      <c r="J2253" s="2" t="s">
        <v>19</v>
      </c>
      <c r="K2253" s="4" t="str">
        <f>HYPERLINK("https://www.cortellis.com/drugdiscovery/result/proxy/related-content/biomarkers/genestargets/51292","C-C motif chemokine ligand 2; tumor necrosis factor")</f>
        <v>C-C motif chemokine ligand 2; tumor necrosis factor</v>
      </c>
    </row>
    <row r="2254" spans="1:11" ht="60" customHeight="1" x14ac:dyDescent="0.2">
      <c r="A2254" s="2">
        <v>2251</v>
      </c>
      <c r="B2254" s="3"/>
      <c r="C2254" s="3" t="str">
        <f t="shared" si="373"/>
        <v>TNF</v>
      </c>
      <c r="D2254" s="3" t="str">
        <f t="shared" si="374"/>
        <v>TNF_(HUMAN)_transcript</v>
      </c>
      <c r="E2254" s="2" t="s">
        <v>72</v>
      </c>
      <c r="F2254" s="3"/>
      <c r="G2254" s="4"/>
      <c r="H2254" s="3" t="str">
        <f>HYPERLINK("https://www.cortellis.com/drugdiscovery/entity/biomarkers/57224","21-protein mild cognitive impairment panel")</f>
        <v>21-protein mild cognitive impairment panel</v>
      </c>
      <c r="I2254" s="2" t="s">
        <v>23</v>
      </c>
      <c r="J2254" s="2" t="s">
        <v>19</v>
      </c>
      <c r="K2254" s="4" t="str">
        <f>HYPERLINK("https://www.cortellis.com/drugdiscovery/result/proxy/related-content/biomarkers/genestargets/57224","interleukin 7; tenascin C; tumor necrosis factor")</f>
        <v>interleukin 7; tenascin C; tumor necrosis factor</v>
      </c>
    </row>
    <row r="2255" spans="1:11" ht="60" customHeight="1" x14ac:dyDescent="0.2">
      <c r="A2255" s="2">
        <v>2252</v>
      </c>
      <c r="B2255" s="3"/>
      <c r="C2255" s="3" t="str">
        <f t="shared" si="373"/>
        <v>TNF</v>
      </c>
      <c r="D2255" s="3" t="str">
        <f t="shared" si="374"/>
        <v>TNF_(HUMAN)_transcript</v>
      </c>
      <c r="E2255" s="2" t="s">
        <v>72</v>
      </c>
      <c r="F2255" s="3"/>
      <c r="G2255" s="4"/>
      <c r="H2255" s="3" t="str">
        <f>HYPERLINK("https://www.cortellis.com/drugdiscovery/entity/biomarkers/57250","9-protein non-muscle invasive bladder cancer panel")</f>
        <v>9-protein non-muscle invasive bladder cancer panel</v>
      </c>
      <c r="I2255" s="2" t="s">
        <v>18</v>
      </c>
      <c r="J2255" s="2" t="s">
        <v>17</v>
      </c>
      <c r="K2255" s="4" t="str">
        <f>HYPERLINK("https://www.cortellis.com/drugdiscovery/result/proxy/related-content/biomarkers/genestargets/57250","interferon gamma; interleukin 12B; tumor necrosis factor")</f>
        <v>interferon gamma; interleukin 12B; tumor necrosis factor</v>
      </c>
    </row>
    <row r="2256" spans="1:11" ht="60" customHeight="1" x14ac:dyDescent="0.2">
      <c r="A2256" s="2">
        <v>2253</v>
      </c>
      <c r="B2256" s="3"/>
      <c r="C2256" s="3" t="str">
        <f t="shared" si="373"/>
        <v>TNF</v>
      </c>
      <c r="D2256" s="3" t="str">
        <f t="shared" si="374"/>
        <v>TNF_(HUMAN)_transcript</v>
      </c>
      <c r="E2256" s="2" t="s">
        <v>72</v>
      </c>
      <c r="F2256" s="3"/>
      <c r="G2256" s="4"/>
      <c r="H2256" s="3" t="str">
        <f>HYPERLINK("https://www.cortellis.com/drugdiscovery/entity/biomarkers/62155","19-protein rhegmatogenous retinal detachment panel")</f>
        <v>19-protein rhegmatogenous retinal detachment panel</v>
      </c>
      <c r="I2256" s="2" t="s">
        <v>24</v>
      </c>
      <c r="J2256" s="2" t="s">
        <v>17</v>
      </c>
      <c r="K2256" s="4" t="str">
        <f>HYPERLINK("https://www.cortellis.com/drugdiscovery/result/proxy/related-content/biomarkers/genestargets/62155","C-C motif chemokine ligand 2; interleukin 12B; tumor necrosis factor")</f>
        <v>C-C motif chemokine ligand 2; interleukin 12B; tumor necrosis factor</v>
      </c>
    </row>
    <row r="2257" spans="1:11" ht="60" customHeight="1" x14ac:dyDescent="0.2">
      <c r="A2257" s="2">
        <v>2254</v>
      </c>
      <c r="B2257" s="3"/>
      <c r="C2257" s="3" t="str">
        <f t="shared" si="373"/>
        <v>TNF</v>
      </c>
      <c r="D2257" s="3" t="str">
        <f t="shared" si="374"/>
        <v>TNF_(HUMAN)_transcript</v>
      </c>
      <c r="E2257" s="2" t="s">
        <v>72</v>
      </c>
      <c r="F2257" s="3"/>
      <c r="G2257" s="4"/>
      <c r="H2257" s="3" t="str">
        <f>HYPERLINK("https://www.cortellis.com/drugdiscovery/entity/biomarkers/62663","9-protein immunological disorders panel")</f>
        <v>9-protein immunological disorders panel</v>
      </c>
      <c r="I2257" s="2" t="s">
        <v>24</v>
      </c>
      <c r="J2257" s="2" t="s">
        <v>17</v>
      </c>
      <c r="K2257" s="4" t="str">
        <f>HYPERLINK("https://www.cortellis.com/drugdiscovery/result/proxy/related-content/biomarkers/genestargets/62663","C-C motif chemokine ligand 2; interferon gamma; tumor necrosis factor")</f>
        <v>C-C motif chemokine ligand 2; interferon gamma; tumor necrosis factor</v>
      </c>
    </row>
    <row r="2258" spans="1:11" ht="60" customHeight="1" x14ac:dyDescent="0.2">
      <c r="A2258" s="2">
        <v>2255</v>
      </c>
      <c r="B2258" s="3"/>
      <c r="C2258" s="3" t="str">
        <f t="shared" si="373"/>
        <v>TNF</v>
      </c>
      <c r="D2258" s="3" t="str">
        <f t="shared" si="374"/>
        <v>TNF_(HUMAN)_transcript</v>
      </c>
      <c r="E2258" s="2" t="s">
        <v>72</v>
      </c>
      <c r="F2258" s="3"/>
      <c r="G2258" s="4"/>
      <c r="H2258" s="3" t="str">
        <f>HYPERLINK("https://www.cortellis.com/drugdiscovery/entity/biomarkers/62730","7-protein Alzheimer's disease panel")</f>
        <v>7-protein Alzheimer's disease panel</v>
      </c>
      <c r="I2258" s="2" t="s">
        <v>23</v>
      </c>
      <c r="J2258" s="2" t="s">
        <v>17</v>
      </c>
      <c r="K2258" s="4" t="str">
        <f>HYPERLINK("https://www.cortellis.com/drugdiscovery/result/proxy/related-content/biomarkers/genestargets/62730","tumor necrosis factor")</f>
        <v>tumor necrosis factor</v>
      </c>
    </row>
    <row r="2259" spans="1:11" ht="60" customHeight="1" x14ac:dyDescent="0.2">
      <c r="A2259" s="2">
        <v>2256</v>
      </c>
      <c r="B2259" s="3"/>
      <c r="C2259" s="3" t="str">
        <f t="shared" si="373"/>
        <v>TNF</v>
      </c>
      <c r="D2259" s="3" t="str">
        <f t="shared" si="374"/>
        <v>TNF_(HUMAN)_transcript</v>
      </c>
      <c r="E2259" s="2" t="s">
        <v>72</v>
      </c>
      <c r="F2259" s="3"/>
      <c r="G2259" s="4"/>
      <c r="H2259" s="3" t="str">
        <f>HYPERLINK("https://www.cortellis.com/drugdiscovery/entity/biomarkers/62746","5-protein renal disorder panel")</f>
        <v>5-protein renal disorder panel</v>
      </c>
      <c r="I2259" s="2" t="s">
        <v>25</v>
      </c>
      <c r="J2259" s="2" t="s">
        <v>17</v>
      </c>
      <c r="K2259" s="4" t="str">
        <f>HYPERLINK("https://www.cortellis.com/drugdiscovery/result/proxy/related-content/biomarkers/genestargets/62746","tumor necrosis factor")</f>
        <v>tumor necrosis factor</v>
      </c>
    </row>
    <row r="2260" spans="1:11" ht="60" customHeight="1" x14ac:dyDescent="0.2">
      <c r="A2260" s="2">
        <v>2257</v>
      </c>
      <c r="B2260" s="3"/>
      <c r="C2260" s="3" t="str">
        <f t="shared" si="373"/>
        <v>TNF</v>
      </c>
      <c r="D2260" s="3" t="str">
        <f t="shared" si="374"/>
        <v>TNF_(HUMAN)_transcript</v>
      </c>
      <c r="E2260" s="2" t="s">
        <v>72</v>
      </c>
      <c r="F2260" s="3"/>
      <c r="G2260" s="4"/>
      <c r="H2260" s="3" t="str">
        <f>HYPERLINK("https://www.cortellis.com/drugdiscovery/entity/biomarkers/65259","22-gene expression hepatocellular carcinoma panel")</f>
        <v>22-gene expression hepatocellular carcinoma panel</v>
      </c>
      <c r="I2260" s="2" t="s">
        <v>25</v>
      </c>
      <c r="J2260" s="2" t="s">
        <v>19</v>
      </c>
      <c r="K2260" s="4" t="str">
        <f>HYPERLINK("https://www.cortellis.com/drugdiscovery/result/proxy/related-content/biomarkers/genestargets/65259","tumor necrosis factor")</f>
        <v>tumor necrosis factor</v>
      </c>
    </row>
    <row r="2261" spans="1:11" ht="60" customHeight="1" x14ac:dyDescent="0.2">
      <c r="A2261" s="2">
        <v>2258</v>
      </c>
      <c r="B2261" s="3"/>
      <c r="C2261" s="3" t="str">
        <f>HYPERLINK("https://portal.genego.com/cgi/entity_page.cgi?term=20&amp;id=-1596906781","TXN")</f>
        <v>TXN</v>
      </c>
      <c r="D2261" s="3" t="str">
        <f>HYPERLINK("https://portal.genego.com/cgi/entity_page.cgi?term=7&amp;id=-538522164","TXN_(HUMAN)_transcript")</f>
        <v>TXN_(HUMAN)_transcript</v>
      </c>
      <c r="E2261" s="2" t="s">
        <v>72</v>
      </c>
      <c r="F2261" s="3"/>
      <c r="G2261" s="4"/>
      <c r="H2261" s="3" t="str">
        <f>HYPERLINK("https://www.cortellis.com/drugdiscovery/entity/biomarkers/1723","Thioredoxin")</f>
        <v>Thioredoxin</v>
      </c>
      <c r="I2261" s="2" t="s">
        <v>31</v>
      </c>
      <c r="J2261" s="2" t="s">
        <v>15</v>
      </c>
      <c r="K2261" s="4" t="str">
        <f>HYPERLINK("https://www.cortellis.com/drugdiscovery/result/proxy/related-content/biomarkers/genestargets/1723","thioredoxin")</f>
        <v>thioredoxin</v>
      </c>
    </row>
    <row r="2262" spans="1:11" ht="60" customHeight="1" x14ac:dyDescent="0.2">
      <c r="A2262" s="2">
        <v>2259</v>
      </c>
      <c r="B2262" s="3"/>
      <c r="C2262" s="3" t="str">
        <f>HYPERLINK("https://portal.genego.com/cgi/entity_page.cgi?term=20&amp;id=-1596906781","TXN")</f>
        <v>TXN</v>
      </c>
      <c r="D2262" s="3" t="str">
        <f>HYPERLINK("https://portal.genego.com/cgi/entity_page.cgi?term=7&amp;id=-538522164","TXN_(HUMAN)_transcript")</f>
        <v>TXN_(HUMAN)_transcript</v>
      </c>
      <c r="E2262" s="2" t="s">
        <v>72</v>
      </c>
      <c r="F2262" s="3"/>
      <c r="G2262" s="4"/>
      <c r="H2262" s="3" t="str">
        <f>HYPERLINK("https://www.cortellis.com/drugdiscovery/entity/biomarkers/29034","156-gene expression cervical cancer panel")</f>
        <v>156-gene expression cervical cancer panel</v>
      </c>
      <c r="I2262" s="2" t="s">
        <v>23</v>
      </c>
      <c r="J2262" s="2" t="s">
        <v>19</v>
      </c>
      <c r="K2262" s="4" t="str">
        <f>HYPERLINK("https://www.cortellis.com/drugdiscovery/result/proxy/related-content/biomarkers/genestargets/29034","thioredoxin")</f>
        <v>thioredoxin</v>
      </c>
    </row>
    <row r="2263" spans="1:11" ht="60" customHeight="1" x14ac:dyDescent="0.2">
      <c r="A2263" s="2">
        <v>2260</v>
      </c>
      <c r="B2263" s="3"/>
      <c r="C2263" s="3" t="str">
        <f>HYPERLINK("https://portal.genego.com/cgi/entity_page.cgi?term=20&amp;id=-1596906781","TXN")</f>
        <v>TXN</v>
      </c>
      <c r="D2263" s="3" t="str">
        <f>HYPERLINK("https://portal.genego.com/cgi/entity_page.cgi?term=7&amp;id=-538522164","TXN_(HUMAN)_transcript")</f>
        <v>TXN_(HUMAN)_transcript</v>
      </c>
      <c r="E2263" s="2" t="s">
        <v>72</v>
      </c>
      <c r="F2263" s="3"/>
      <c r="G2263" s="4"/>
      <c r="H2263" s="3" t="str">
        <f>HYPERLINK("https://www.cortellis.com/drugdiscovery/entity/biomarkers/38095","ClinicoMolecular Triad Classification")</f>
        <v>ClinicoMolecular Triad Classification</v>
      </c>
      <c r="I2263" s="2" t="s">
        <v>18</v>
      </c>
      <c r="J2263" s="2" t="s">
        <v>19</v>
      </c>
      <c r="K2263" s="4" t="str">
        <f>HYPERLINK("https://www.cortellis.com/drugdiscovery/result/proxy/related-content/biomarkers/genestargets/38095","thioredoxin")</f>
        <v>thioredoxin</v>
      </c>
    </row>
    <row r="2264" spans="1:11" ht="60" customHeight="1" x14ac:dyDescent="0.2">
      <c r="A2264" s="2">
        <v>2261</v>
      </c>
      <c r="B2264" s="3"/>
      <c r="C2264" s="3" t="str">
        <f>HYPERLINK("https://portal.genego.com/cgi/entity_page.cgi?term=20&amp;id=-1596906781","TXN")</f>
        <v>TXN</v>
      </c>
      <c r="D2264" s="3" t="str">
        <f>HYPERLINK("https://portal.genego.com/cgi/entity_page.cgi?term=7&amp;id=-538522164","TXN_(HUMAN)_transcript")</f>
        <v>TXN_(HUMAN)_transcript</v>
      </c>
      <c r="E2264" s="2" t="s">
        <v>72</v>
      </c>
      <c r="F2264" s="3"/>
      <c r="G2264" s="4"/>
      <c r="H2264" s="3" t="str">
        <f>HYPERLINK("https://www.cortellis.com/drugdiscovery/entity/biomarkers/63218","3-protein cholangiocarcinoma panel")</f>
        <v>3-protein cholangiocarcinoma panel</v>
      </c>
      <c r="I2264" s="2" t="s">
        <v>23</v>
      </c>
      <c r="J2264" s="2" t="s">
        <v>17</v>
      </c>
      <c r="K2264" s="4" t="str">
        <f>HYPERLINK("https://www.cortellis.com/drugdiscovery/result/proxy/related-content/biomarkers/genestargets/63218","thioredoxin")</f>
        <v>thioredoxin</v>
      </c>
    </row>
  </sheetData>
  <autoFilter ref="A3:K3" xr:uid="{B2D4E75A-5D46-D947-9F5C-A9B032661791}"/>
  <mergeCells count="3">
    <mergeCell ref="A2:G2"/>
    <mergeCell ref="H2:K2"/>
    <mergeCell ref="A1:K1"/>
  </mergeCell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73BB7-5D67-0545-A862-0126E1DCFFBC}">
  <dimension ref="A1:G22"/>
  <sheetViews>
    <sheetView tabSelected="1" workbookViewId="0">
      <pane xSplit="1" ySplit="2" topLeftCell="B19" activePane="bottomRight" state="frozen"/>
      <selection pane="topRight"/>
      <selection pane="bottomLeft"/>
      <selection pane="bottomRight" activeCell="F43" sqref="F43"/>
    </sheetView>
  </sheetViews>
  <sheetFormatPr baseColWidth="10" defaultRowHeight="13" x14ac:dyDescent="0.15"/>
  <cols>
    <col min="1" max="1" width="9" style="5" customWidth="1"/>
    <col min="2" max="3" width="14" style="5" customWidth="1"/>
    <col min="4" max="6" width="35" style="5" customWidth="1"/>
    <col min="7" max="7" width="14" style="5" customWidth="1"/>
    <col min="8" max="256" width="8.83203125" style="5" customWidth="1"/>
    <col min="257" max="257" width="7" style="5" customWidth="1"/>
    <col min="258" max="259" width="14" style="5" customWidth="1"/>
    <col min="260" max="262" width="35" style="5" customWidth="1"/>
    <col min="263" max="263" width="14" style="5" customWidth="1"/>
    <col min="264" max="512" width="8.83203125" style="5" customWidth="1"/>
    <col min="513" max="513" width="7" style="5" customWidth="1"/>
    <col min="514" max="515" width="14" style="5" customWidth="1"/>
    <col min="516" max="518" width="35" style="5" customWidth="1"/>
    <col min="519" max="519" width="14" style="5" customWidth="1"/>
    <col min="520" max="768" width="8.83203125" style="5" customWidth="1"/>
    <col min="769" max="769" width="7" style="5" customWidth="1"/>
    <col min="770" max="771" width="14" style="5" customWidth="1"/>
    <col min="772" max="774" width="35" style="5" customWidth="1"/>
    <col min="775" max="775" width="14" style="5" customWidth="1"/>
    <col min="776" max="1024" width="8.83203125" style="5" customWidth="1"/>
    <col min="1025" max="1025" width="7" style="5" customWidth="1"/>
    <col min="1026" max="1027" width="14" style="5" customWidth="1"/>
    <col min="1028" max="1030" width="35" style="5" customWidth="1"/>
    <col min="1031" max="1031" width="14" style="5" customWidth="1"/>
    <col min="1032" max="1280" width="8.83203125" style="5" customWidth="1"/>
    <col min="1281" max="1281" width="7" style="5" customWidth="1"/>
    <col min="1282" max="1283" width="14" style="5" customWidth="1"/>
    <col min="1284" max="1286" width="35" style="5" customWidth="1"/>
    <col min="1287" max="1287" width="14" style="5" customWidth="1"/>
    <col min="1288" max="1536" width="8.83203125" style="5" customWidth="1"/>
    <col min="1537" max="1537" width="7" style="5" customWidth="1"/>
    <col min="1538" max="1539" width="14" style="5" customWidth="1"/>
    <col min="1540" max="1542" width="35" style="5" customWidth="1"/>
    <col min="1543" max="1543" width="14" style="5" customWidth="1"/>
    <col min="1544" max="1792" width="8.83203125" style="5" customWidth="1"/>
    <col min="1793" max="1793" width="7" style="5" customWidth="1"/>
    <col min="1794" max="1795" width="14" style="5" customWidth="1"/>
    <col min="1796" max="1798" width="35" style="5" customWidth="1"/>
    <col min="1799" max="1799" width="14" style="5" customWidth="1"/>
    <col min="1800" max="2048" width="8.83203125" style="5" customWidth="1"/>
    <col min="2049" max="2049" width="7" style="5" customWidth="1"/>
    <col min="2050" max="2051" width="14" style="5" customWidth="1"/>
    <col min="2052" max="2054" width="35" style="5" customWidth="1"/>
    <col min="2055" max="2055" width="14" style="5" customWidth="1"/>
    <col min="2056" max="2304" width="8.83203125" style="5" customWidth="1"/>
    <col min="2305" max="2305" width="7" style="5" customWidth="1"/>
    <col min="2306" max="2307" width="14" style="5" customWidth="1"/>
    <col min="2308" max="2310" width="35" style="5" customWidth="1"/>
    <col min="2311" max="2311" width="14" style="5" customWidth="1"/>
    <col min="2312" max="2560" width="8.83203125" style="5" customWidth="1"/>
    <col min="2561" max="2561" width="7" style="5" customWidth="1"/>
    <col min="2562" max="2563" width="14" style="5" customWidth="1"/>
    <col min="2564" max="2566" width="35" style="5" customWidth="1"/>
    <col min="2567" max="2567" width="14" style="5" customWidth="1"/>
    <col min="2568" max="2816" width="8.83203125" style="5" customWidth="1"/>
    <col min="2817" max="2817" width="7" style="5" customWidth="1"/>
    <col min="2818" max="2819" width="14" style="5" customWidth="1"/>
    <col min="2820" max="2822" width="35" style="5" customWidth="1"/>
    <col min="2823" max="2823" width="14" style="5" customWidth="1"/>
    <col min="2824" max="3072" width="8.83203125" style="5" customWidth="1"/>
    <col min="3073" max="3073" width="7" style="5" customWidth="1"/>
    <col min="3074" max="3075" width="14" style="5" customWidth="1"/>
    <col min="3076" max="3078" width="35" style="5" customWidth="1"/>
    <col min="3079" max="3079" width="14" style="5" customWidth="1"/>
    <col min="3080" max="3328" width="8.83203125" style="5" customWidth="1"/>
    <col min="3329" max="3329" width="7" style="5" customWidth="1"/>
    <col min="3330" max="3331" width="14" style="5" customWidth="1"/>
    <col min="3332" max="3334" width="35" style="5" customWidth="1"/>
    <col min="3335" max="3335" width="14" style="5" customWidth="1"/>
    <col min="3336" max="3584" width="8.83203125" style="5" customWidth="1"/>
    <col min="3585" max="3585" width="7" style="5" customWidth="1"/>
    <col min="3586" max="3587" width="14" style="5" customWidth="1"/>
    <col min="3588" max="3590" width="35" style="5" customWidth="1"/>
    <col min="3591" max="3591" width="14" style="5" customWidth="1"/>
    <col min="3592" max="3840" width="8.83203125" style="5" customWidth="1"/>
    <col min="3841" max="3841" width="7" style="5" customWidth="1"/>
    <col min="3842" max="3843" width="14" style="5" customWidth="1"/>
    <col min="3844" max="3846" width="35" style="5" customWidth="1"/>
    <col min="3847" max="3847" width="14" style="5" customWidth="1"/>
    <col min="3848" max="4096" width="8.83203125" style="5" customWidth="1"/>
    <col min="4097" max="4097" width="7" style="5" customWidth="1"/>
    <col min="4098" max="4099" width="14" style="5" customWidth="1"/>
    <col min="4100" max="4102" width="35" style="5" customWidth="1"/>
    <col min="4103" max="4103" width="14" style="5" customWidth="1"/>
    <col min="4104" max="4352" width="8.83203125" style="5" customWidth="1"/>
    <col min="4353" max="4353" width="7" style="5" customWidth="1"/>
    <col min="4354" max="4355" width="14" style="5" customWidth="1"/>
    <col min="4356" max="4358" width="35" style="5" customWidth="1"/>
    <col min="4359" max="4359" width="14" style="5" customWidth="1"/>
    <col min="4360" max="4608" width="8.83203125" style="5" customWidth="1"/>
    <col min="4609" max="4609" width="7" style="5" customWidth="1"/>
    <col min="4610" max="4611" width="14" style="5" customWidth="1"/>
    <col min="4612" max="4614" width="35" style="5" customWidth="1"/>
    <col min="4615" max="4615" width="14" style="5" customWidth="1"/>
    <col min="4616" max="4864" width="8.83203125" style="5" customWidth="1"/>
    <col min="4865" max="4865" width="7" style="5" customWidth="1"/>
    <col min="4866" max="4867" width="14" style="5" customWidth="1"/>
    <col min="4868" max="4870" width="35" style="5" customWidth="1"/>
    <col min="4871" max="4871" width="14" style="5" customWidth="1"/>
    <col min="4872" max="5120" width="8.83203125" style="5" customWidth="1"/>
    <col min="5121" max="5121" width="7" style="5" customWidth="1"/>
    <col min="5122" max="5123" width="14" style="5" customWidth="1"/>
    <col min="5124" max="5126" width="35" style="5" customWidth="1"/>
    <col min="5127" max="5127" width="14" style="5" customWidth="1"/>
    <col min="5128" max="5376" width="8.83203125" style="5" customWidth="1"/>
    <col min="5377" max="5377" width="7" style="5" customWidth="1"/>
    <col min="5378" max="5379" width="14" style="5" customWidth="1"/>
    <col min="5380" max="5382" width="35" style="5" customWidth="1"/>
    <col min="5383" max="5383" width="14" style="5" customWidth="1"/>
    <col min="5384" max="5632" width="8.83203125" style="5" customWidth="1"/>
    <col min="5633" max="5633" width="7" style="5" customWidth="1"/>
    <col min="5634" max="5635" width="14" style="5" customWidth="1"/>
    <col min="5636" max="5638" width="35" style="5" customWidth="1"/>
    <col min="5639" max="5639" width="14" style="5" customWidth="1"/>
    <col min="5640" max="5888" width="8.83203125" style="5" customWidth="1"/>
    <col min="5889" max="5889" width="7" style="5" customWidth="1"/>
    <col min="5890" max="5891" width="14" style="5" customWidth="1"/>
    <col min="5892" max="5894" width="35" style="5" customWidth="1"/>
    <col min="5895" max="5895" width="14" style="5" customWidth="1"/>
    <col min="5896" max="6144" width="8.83203125" style="5" customWidth="1"/>
    <col min="6145" max="6145" width="7" style="5" customWidth="1"/>
    <col min="6146" max="6147" width="14" style="5" customWidth="1"/>
    <col min="6148" max="6150" width="35" style="5" customWidth="1"/>
    <col min="6151" max="6151" width="14" style="5" customWidth="1"/>
    <col min="6152" max="6400" width="8.83203125" style="5" customWidth="1"/>
    <col min="6401" max="6401" width="7" style="5" customWidth="1"/>
    <col min="6402" max="6403" width="14" style="5" customWidth="1"/>
    <col min="6404" max="6406" width="35" style="5" customWidth="1"/>
    <col min="6407" max="6407" width="14" style="5" customWidth="1"/>
    <col min="6408" max="6656" width="8.83203125" style="5" customWidth="1"/>
    <col min="6657" max="6657" width="7" style="5" customWidth="1"/>
    <col min="6658" max="6659" width="14" style="5" customWidth="1"/>
    <col min="6660" max="6662" width="35" style="5" customWidth="1"/>
    <col min="6663" max="6663" width="14" style="5" customWidth="1"/>
    <col min="6664" max="6912" width="8.83203125" style="5" customWidth="1"/>
    <col min="6913" max="6913" width="7" style="5" customWidth="1"/>
    <col min="6914" max="6915" width="14" style="5" customWidth="1"/>
    <col min="6916" max="6918" width="35" style="5" customWidth="1"/>
    <col min="6919" max="6919" width="14" style="5" customWidth="1"/>
    <col min="6920" max="7168" width="8.83203125" style="5" customWidth="1"/>
    <col min="7169" max="7169" width="7" style="5" customWidth="1"/>
    <col min="7170" max="7171" width="14" style="5" customWidth="1"/>
    <col min="7172" max="7174" width="35" style="5" customWidth="1"/>
    <col min="7175" max="7175" width="14" style="5" customWidth="1"/>
    <col min="7176" max="7424" width="8.83203125" style="5" customWidth="1"/>
    <col min="7425" max="7425" width="7" style="5" customWidth="1"/>
    <col min="7426" max="7427" width="14" style="5" customWidth="1"/>
    <col min="7428" max="7430" width="35" style="5" customWidth="1"/>
    <col min="7431" max="7431" width="14" style="5" customWidth="1"/>
    <col min="7432" max="7680" width="8.83203125" style="5" customWidth="1"/>
    <col min="7681" max="7681" width="7" style="5" customWidth="1"/>
    <col min="7682" max="7683" width="14" style="5" customWidth="1"/>
    <col min="7684" max="7686" width="35" style="5" customWidth="1"/>
    <col min="7687" max="7687" width="14" style="5" customWidth="1"/>
    <col min="7688" max="7936" width="8.83203125" style="5" customWidth="1"/>
    <col min="7937" max="7937" width="7" style="5" customWidth="1"/>
    <col min="7938" max="7939" width="14" style="5" customWidth="1"/>
    <col min="7940" max="7942" width="35" style="5" customWidth="1"/>
    <col min="7943" max="7943" width="14" style="5" customWidth="1"/>
    <col min="7944" max="8192" width="8.83203125" style="5" customWidth="1"/>
    <col min="8193" max="8193" width="7" style="5" customWidth="1"/>
    <col min="8194" max="8195" width="14" style="5" customWidth="1"/>
    <col min="8196" max="8198" width="35" style="5" customWidth="1"/>
    <col min="8199" max="8199" width="14" style="5" customWidth="1"/>
    <col min="8200" max="8448" width="8.83203125" style="5" customWidth="1"/>
    <col min="8449" max="8449" width="7" style="5" customWidth="1"/>
    <col min="8450" max="8451" width="14" style="5" customWidth="1"/>
    <col min="8452" max="8454" width="35" style="5" customWidth="1"/>
    <col min="8455" max="8455" width="14" style="5" customWidth="1"/>
    <col min="8456" max="8704" width="8.83203125" style="5" customWidth="1"/>
    <col min="8705" max="8705" width="7" style="5" customWidth="1"/>
    <col min="8706" max="8707" width="14" style="5" customWidth="1"/>
    <col min="8708" max="8710" width="35" style="5" customWidth="1"/>
    <col min="8711" max="8711" width="14" style="5" customWidth="1"/>
    <col min="8712" max="8960" width="8.83203125" style="5" customWidth="1"/>
    <col min="8961" max="8961" width="7" style="5" customWidth="1"/>
    <col min="8962" max="8963" width="14" style="5" customWidth="1"/>
    <col min="8964" max="8966" width="35" style="5" customWidth="1"/>
    <col min="8967" max="8967" width="14" style="5" customWidth="1"/>
    <col min="8968" max="9216" width="8.83203125" style="5" customWidth="1"/>
    <col min="9217" max="9217" width="7" style="5" customWidth="1"/>
    <col min="9218" max="9219" width="14" style="5" customWidth="1"/>
    <col min="9220" max="9222" width="35" style="5" customWidth="1"/>
    <col min="9223" max="9223" width="14" style="5" customWidth="1"/>
    <col min="9224" max="9472" width="8.83203125" style="5" customWidth="1"/>
    <col min="9473" max="9473" width="7" style="5" customWidth="1"/>
    <col min="9474" max="9475" width="14" style="5" customWidth="1"/>
    <col min="9476" max="9478" width="35" style="5" customWidth="1"/>
    <col min="9479" max="9479" width="14" style="5" customWidth="1"/>
    <col min="9480" max="9728" width="8.83203125" style="5" customWidth="1"/>
    <col min="9729" max="9729" width="7" style="5" customWidth="1"/>
    <col min="9730" max="9731" width="14" style="5" customWidth="1"/>
    <col min="9732" max="9734" width="35" style="5" customWidth="1"/>
    <col min="9735" max="9735" width="14" style="5" customWidth="1"/>
    <col min="9736" max="9984" width="8.83203125" style="5" customWidth="1"/>
    <col min="9985" max="9985" width="7" style="5" customWidth="1"/>
    <col min="9986" max="9987" width="14" style="5" customWidth="1"/>
    <col min="9988" max="9990" width="35" style="5" customWidth="1"/>
    <col min="9991" max="9991" width="14" style="5" customWidth="1"/>
    <col min="9992" max="10240" width="8.83203125" style="5" customWidth="1"/>
    <col min="10241" max="10241" width="7" style="5" customWidth="1"/>
    <col min="10242" max="10243" width="14" style="5" customWidth="1"/>
    <col min="10244" max="10246" width="35" style="5" customWidth="1"/>
    <col min="10247" max="10247" width="14" style="5" customWidth="1"/>
    <col min="10248" max="10496" width="8.83203125" style="5" customWidth="1"/>
    <col min="10497" max="10497" width="7" style="5" customWidth="1"/>
    <col min="10498" max="10499" width="14" style="5" customWidth="1"/>
    <col min="10500" max="10502" width="35" style="5" customWidth="1"/>
    <col min="10503" max="10503" width="14" style="5" customWidth="1"/>
    <col min="10504" max="10752" width="8.83203125" style="5" customWidth="1"/>
    <col min="10753" max="10753" width="7" style="5" customWidth="1"/>
    <col min="10754" max="10755" width="14" style="5" customWidth="1"/>
    <col min="10756" max="10758" width="35" style="5" customWidth="1"/>
    <col min="10759" max="10759" width="14" style="5" customWidth="1"/>
    <col min="10760" max="11008" width="8.83203125" style="5" customWidth="1"/>
    <col min="11009" max="11009" width="7" style="5" customWidth="1"/>
    <col min="11010" max="11011" width="14" style="5" customWidth="1"/>
    <col min="11012" max="11014" width="35" style="5" customWidth="1"/>
    <col min="11015" max="11015" width="14" style="5" customWidth="1"/>
    <col min="11016" max="11264" width="8.83203125" style="5" customWidth="1"/>
    <col min="11265" max="11265" width="7" style="5" customWidth="1"/>
    <col min="11266" max="11267" width="14" style="5" customWidth="1"/>
    <col min="11268" max="11270" width="35" style="5" customWidth="1"/>
    <col min="11271" max="11271" width="14" style="5" customWidth="1"/>
    <col min="11272" max="11520" width="8.83203125" style="5" customWidth="1"/>
    <col min="11521" max="11521" width="7" style="5" customWidth="1"/>
    <col min="11522" max="11523" width="14" style="5" customWidth="1"/>
    <col min="11524" max="11526" width="35" style="5" customWidth="1"/>
    <col min="11527" max="11527" width="14" style="5" customWidth="1"/>
    <col min="11528" max="11776" width="8.83203125" style="5" customWidth="1"/>
    <col min="11777" max="11777" width="7" style="5" customWidth="1"/>
    <col min="11778" max="11779" width="14" style="5" customWidth="1"/>
    <col min="11780" max="11782" width="35" style="5" customWidth="1"/>
    <col min="11783" max="11783" width="14" style="5" customWidth="1"/>
    <col min="11784" max="12032" width="8.83203125" style="5" customWidth="1"/>
    <col min="12033" max="12033" width="7" style="5" customWidth="1"/>
    <col min="12034" max="12035" width="14" style="5" customWidth="1"/>
    <col min="12036" max="12038" width="35" style="5" customWidth="1"/>
    <col min="12039" max="12039" width="14" style="5" customWidth="1"/>
    <col min="12040" max="12288" width="8.83203125" style="5" customWidth="1"/>
    <col min="12289" max="12289" width="7" style="5" customWidth="1"/>
    <col min="12290" max="12291" width="14" style="5" customWidth="1"/>
    <col min="12292" max="12294" width="35" style="5" customWidth="1"/>
    <col min="12295" max="12295" width="14" style="5" customWidth="1"/>
    <col min="12296" max="12544" width="8.83203125" style="5" customWidth="1"/>
    <col min="12545" max="12545" width="7" style="5" customWidth="1"/>
    <col min="12546" max="12547" width="14" style="5" customWidth="1"/>
    <col min="12548" max="12550" width="35" style="5" customWidth="1"/>
    <col min="12551" max="12551" width="14" style="5" customWidth="1"/>
    <col min="12552" max="12800" width="8.83203125" style="5" customWidth="1"/>
    <col min="12801" max="12801" width="7" style="5" customWidth="1"/>
    <col min="12802" max="12803" width="14" style="5" customWidth="1"/>
    <col min="12804" max="12806" width="35" style="5" customWidth="1"/>
    <col min="12807" max="12807" width="14" style="5" customWidth="1"/>
    <col min="12808" max="13056" width="8.83203125" style="5" customWidth="1"/>
    <col min="13057" max="13057" width="7" style="5" customWidth="1"/>
    <col min="13058" max="13059" width="14" style="5" customWidth="1"/>
    <col min="13060" max="13062" width="35" style="5" customWidth="1"/>
    <col min="13063" max="13063" width="14" style="5" customWidth="1"/>
    <col min="13064" max="13312" width="8.83203125" style="5" customWidth="1"/>
    <col min="13313" max="13313" width="7" style="5" customWidth="1"/>
    <col min="13314" max="13315" width="14" style="5" customWidth="1"/>
    <col min="13316" max="13318" width="35" style="5" customWidth="1"/>
    <col min="13319" max="13319" width="14" style="5" customWidth="1"/>
    <col min="13320" max="13568" width="8.83203125" style="5" customWidth="1"/>
    <col min="13569" max="13569" width="7" style="5" customWidth="1"/>
    <col min="13570" max="13571" width="14" style="5" customWidth="1"/>
    <col min="13572" max="13574" width="35" style="5" customWidth="1"/>
    <col min="13575" max="13575" width="14" style="5" customWidth="1"/>
    <col min="13576" max="13824" width="8.83203125" style="5" customWidth="1"/>
    <col min="13825" max="13825" width="7" style="5" customWidth="1"/>
    <col min="13826" max="13827" width="14" style="5" customWidth="1"/>
    <col min="13828" max="13830" width="35" style="5" customWidth="1"/>
    <col min="13831" max="13831" width="14" style="5" customWidth="1"/>
    <col min="13832" max="14080" width="8.83203125" style="5" customWidth="1"/>
    <col min="14081" max="14081" width="7" style="5" customWidth="1"/>
    <col min="14082" max="14083" width="14" style="5" customWidth="1"/>
    <col min="14084" max="14086" width="35" style="5" customWidth="1"/>
    <col min="14087" max="14087" width="14" style="5" customWidth="1"/>
    <col min="14088" max="14336" width="8.83203125" style="5" customWidth="1"/>
    <col min="14337" max="14337" width="7" style="5" customWidth="1"/>
    <col min="14338" max="14339" width="14" style="5" customWidth="1"/>
    <col min="14340" max="14342" width="35" style="5" customWidth="1"/>
    <col min="14343" max="14343" width="14" style="5" customWidth="1"/>
    <col min="14344" max="14592" width="8.83203125" style="5" customWidth="1"/>
    <col min="14593" max="14593" width="7" style="5" customWidth="1"/>
    <col min="14594" max="14595" width="14" style="5" customWidth="1"/>
    <col min="14596" max="14598" width="35" style="5" customWidth="1"/>
    <col min="14599" max="14599" width="14" style="5" customWidth="1"/>
    <col min="14600" max="14848" width="8.83203125" style="5" customWidth="1"/>
    <col min="14849" max="14849" width="7" style="5" customWidth="1"/>
    <col min="14850" max="14851" width="14" style="5" customWidth="1"/>
    <col min="14852" max="14854" width="35" style="5" customWidth="1"/>
    <col min="14855" max="14855" width="14" style="5" customWidth="1"/>
    <col min="14856" max="15104" width="8.83203125" style="5" customWidth="1"/>
    <col min="15105" max="15105" width="7" style="5" customWidth="1"/>
    <col min="15106" max="15107" width="14" style="5" customWidth="1"/>
    <col min="15108" max="15110" width="35" style="5" customWidth="1"/>
    <col min="15111" max="15111" width="14" style="5" customWidth="1"/>
    <col min="15112" max="15360" width="8.83203125" style="5" customWidth="1"/>
    <col min="15361" max="15361" width="7" style="5" customWidth="1"/>
    <col min="15362" max="15363" width="14" style="5" customWidth="1"/>
    <col min="15364" max="15366" width="35" style="5" customWidth="1"/>
    <col min="15367" max="15367" width="14" style="5" customWidth="1"/>
    <col min="15368" max="15616" width="8.83203125" style="5" customWidth="1"/>
    <col min="15617" max="15617" width="7" style="5" customWidth="1"/>
    <col min="15618" max="15619" width="14" style="5" customWidth="1"/>
    <col min="15620" max="15622" width="35" style="5" customWidth="1"/>
    <col min="15623" max="15623" width="14" style="5" customWidth="1"/>
    <col min="15624" max="15872" width="8.83203125" style="5" customWidth="1"/>
    <col min="15873" max="15873" width="7" style="5" customWidth="1"/>
    <col min="15874" max="15875" width="14" style="5" customWidth="1"/>
    <col min="15876" max="15878" width="35" style="5" customWidth="1"/>
    <col min="15879" max="15879" width="14" style="5" customWidth="1"/>
    <col min="15880" max="16128" width="8.83203125" style="5" customWidth="1"/>
    <col min="16129" max="16129" width="7" style="5" customWidth="1"/>
    <col min="16130" max="16131" width="14" style="5" customWidth="1"/>
    <col min="16132" max="16134" width="35" style="5" customWidth="1"/>
    <col min="16135" max="16135" width="14" style="5" customWidth="1"/>
    <col min="16136" max="16384" width="8.83203125" style="5" customWidth="1"/>
  </cols>
  <sheetData>
    <row r="1" spans="1:7" ht="25" customHeight="1" x14ac:dyDescent="0.2">
      <c r="A1" s="20" t="s">
        <v>189</v>
      </c>
      <c r="B1" s="21"/>
      <c r="C1" s="21"/>
      <c r="D1" s="21"/>
      <c r="E1" s="21"/>
      <c r="F1" s="21"/>
      <c r="G1" s="21"/>
    </row>
    <row r="2" spans="1:7" ht="26" customHeight="1" x14ac:dyDescent="0.15">
      <c r="A2" s="6" t="s">
        <v>2</v>
      </c>
      <c r="B2" s="6" t="s">
        <v>102</v>
      </c>
      <c r="C2" s="6" t="s">
        <v>103</v>
      </c>
      <c r="D2" s="6" t="s">
        <v>104</v>
      </c>
      <c r="E2" s="6" t="s">
        <v>105</v>
      </c>
      <c r="F2" s="6" t="s">
        <v>7</v>
      </c>
      <c r="G2" s="6" t="s">
        <v>106</v>
      </c>
    </row>
    <row r="3" spans="1:7" ht="60" customHeight="1" x14ac:dyDescent="0.15">
      <c r="A3" s="7">
        <v>1</v>
      </c>
      <c r="B3" s="7" t="s">
        <v>107</v>
      </c>
      <c r="C3" s="8" t="str">
        <f>HYPERLINK("https://portal.genego.com/cgi/entity_page.cgi?term=20&amp;id=-2123498703","MMP2")</f>
        <v>MMP2</v>
      </c>
      <c r="D3" s="7" t="s">
        <v>108</v>
      </c>
      <c r="E3" s="7" t="s">
        <v>109</v>
      </c>
      <c r="F3" s="7" t="s">
        <v>110</v>
      </c>
      <c r="G3" s="7" t="s">
        <v>101</v>
      </c>
    </row>
    <row r="4" spans="1:7" ht="60" customHeight="1" x14ac:dyDescent="0.15">
      <c r="A4" s="7">
        <v>2</v>
      </c>
      <c r="B4" s="7" t="s">
        <v>111</v>
      </c>
      <c r="C4" s="8" t="str">
        <f>HYPERLINK("https://portal.genego.com/cgi/entity_page.cgi?term=20&amp;id=-1748557536","MIR155")</f>
        <v>MIR155</v>
      </c>
      <c r="D4" s="7" t="s">
        <v>112</v>
      </c>
      <c r="E4" s="7" t="s">
        <v>113</v>
      </c>
      <c r="F4" s="7" t="s">
        <v>114</v>
      </c>
      <c r="G4" s="7" t="s">
        <v>101</v>
      </c>
    </row>
    <row r="5" spans="1:7" ht="60" customHeight="1" x14ac:dyDescent="0.15">
      <c r="A5" s="7">
        <v>3</v>
      </c>
      <c r="B5" s="7" t="s">
        <v>115</v>
      </c>
      <c r="C5" s="8" t="str">
        <f>HYPERLINK("https://portal.genego.com/cgi/entity_page.cgi?term=20&amp;id=-1596906781","TXN")</f>
        <v>TXN</v>
      </c>
      <c r="D5" s="7" t="s">
        <v>116</v>
      </c>
      <c r="E5" s="7" t="s">
        <v>117</v>
      </c>
      <c r="F5" s="7" t="s">
        <v>118</v>
      </c>
      <c r="G5" s="7" t="s">
        <v>101</v>
      </c>
    </row>
    <row r="6" spans="1:7" ht="60" customHeight="1" x14ac:dyDescent="0.15">
      <c r="A6" s="7">
        <v>4</v>
      </c>
      <c r="B6" s="7" t="s">
        <v>119</v>
      </c>
      <c r="C6" s="8" t="str">
        <f>HYPERLINK("https://portal.genego.com/cgi/entity_page.cgi?term=20&amp;id=-1212492138","IFNG")</f>
        <v>IFNG</v>
      </c>
      <c r="D6" s="7" t="s">
        <v>120</v>
      </c>
      <c r="E6" s="7" t="s">
        <v>121</v>
      </c>
      <c r="F6" s="7" t="s">
        <v>122</v>
      </c>
      <c r="G6" s="7" t="s">
        <v>101</v>
      </c>
    </row>
    <row r="7" spans="1:7" ht="60" customHeight="1" x14ac:dyDescent="0.15">
      <c r="A7" s="7">
        <v>5</v>
      </c>
      <c r="B7" s="7" t="s">
        <v>123</v>
      </c>
      <c r="C7" s="8" t="str">
        <f>HYPERLINK("https://portal.genego.com/cgi/entity_page.cgi?term=20&amp;id=-981525121","MIR146B")</f>
        <v>MIR146B</v>
      </c>
      <c r="D7" s="7" t="s">
        <v>124</v>
      </c>
      <c r="E7" s="7" t="s">
        <v>125</v>
      </c>
      <c r="F7" s="7" t="s">
        <v>114</v>
      </c>
      <c r="G7" s="7" t="s">
        <v>101</v>
      </c>
    </row>
    <row r="8" spans="1:7" ht="60" customHeight="1" x14ac:dyDescent="0.15">
      <c r="A8" s="7">
        <v>6</v>
      </c>
      <c r="B8" s="7" t="s">
        <v>126</v>
      </c>
      <c r="C8" s="8" t="str">
        <f>HYPERLINK("https://portal.genego.com/cgi/entity_page.cgi?term=20&amp;id=-793503070","CD69")</f>
        <v>CD69</v>
      </c>
      <c r="D8" s="7" t="s">
        <v>127</v>
      </c>
      <c r="E8" s="7" t="s">
        <v>128</v>
      </c>
      <c r="F8" s="7" t="s">
        <v>129</v>
      </c>
      <c r="G8" s="7" t="s">
        <v>101</v>
      </c>
    </row>
    <row r="9" spans="1:7" ht="60" customHeight="1" x14ac:dyDescent="0.15">
      <c r="A9" s="7">
        <v>7</v>
      </c>
      <c r="B9" s="7" t="s">
        <v>130</v>
      </c>
      <c r="C9" s="8" t="str">
        <f>HYPERLINK("https://portal.genego.com/cgi/entity_page.cgi?term=20&amp;id=-557394445","MIR146A")</f>
        <v>MIR146A</v>
      </c>
      <c r="D9" s="7" t="s">
        <v>131</v>
      </c>
      <c r="E9" s="7" t="s">
        <v>132</v>
      </c>
      <c r="F9" s="7" t="s">
        <v>133</v>
      </c>
      <c r="G9" s="7" t="s">
        <v>101</v>
      </c>
    </row>
    <row r="10" spans="1:7" ht="60" customHeight="1" x14ac:dyDescent="0.15">
      <c r="A10" s="7">
        <v>8</v>
      </c>
      <c r="B10" s="7" t="s">
        <v>134</v>
      </c>
      <c r="C10" s="8" t="str">
        <f>HYPERLINK("https://portal.genego.com/cgi/entity_page.cgi?term=20&amp;id=-537110579","CD274")</f>
        <v>CD274</v>
      </c>
      <c r="D10" s="7" t="s">
        <v>135</v>
      </c>
      <c r="E10" s="7" t="s">
        <v>136</v>
      </c>
      <c r="F10" s="7" t="s">
        <v>137</v>
      </c>
      <c r="G10" s="7" t="s">
        <v>101</v>
      </c>
    </row>
    <row r="11" spans="1:7" ht="60" customHeight="1" x14ac:dyDescent="0.15">
      <c r="A11" s="7">
        <v>9</v>
      </c>
      <c r="B11" s="7" t="s">
        <v>138</v>
      </c>
      <c r="C11" s="8" t="str">
        <f>HYPERLINK("https://portal.genego.com/cgi/entity_page.cgi?term=20&amp;id=-363217819","IFNGR1")</f>
        <v>IFNGR1</v>
      </c>
      <c r="D11" s="7" t="s">
        <v>139</v>
      </c>
      <c r="E11" s="7" t="s">
        <v>140</v>
      </c>
      <c r="F11" s="7" t="s">
        <v>141</v>
      </c>
      <c r="G11" s="7" t="s">
        <v>101</v>
      </c>
    </row>
    <row r="12" spans="1:7" ht="60" customHeight="1" x14ac:dyDescent="0.15">
      <c r="A12" s="7">
        <v>10</v>
      </c>
      <c r="B12" s="7" t="s">
        <v>142</v>
      </c>
      <c r="C12" s="8" t="str">
        <f>HYPERLINK("https://portal.genego.com/cgi/entity_page.cgi?term=20&amp;id=-117210674","MIR223")</f>
        <v>MIR223</v>
      </c>
      <c r="D12" s="7" t="s">
        <v>143</v>
      </c>
      <c r="E12" s="7" t="s">
        <v>144</v>
      </c>
      <c r="F12" s="7" t="s">
        <v>114</v>
      </c>
      <c r="G12" s="7" t="s">
        <v>101</v>
      </c>
    </row>
    <row r="13" spans="1:7" ht="60" customHeight="1" x14ac:dyDescent="0.15">
      <c r="A13" s="7">
        <v>11</v>
      </c>
      <c r="B13" s="7" t="s">
        <v>145</v>
      </c>
      <c r="C13" s="8" t="str">
        <f>HYPERLINK("https://portal.genego.com/cgi/entity_page.cgi?term=20&amp;id=371815402","IFNGR2")</f>
        <v>IFNGR2</v>
      </c>
      <c r="D13" s="7" t="s">
        <v>146</v>
      </c>
      <c r="E13" s="7" t="s">
        <v>147</v>
      </c>
      <c r="F13" s="7" t="s">
        <v>148</v>
      </c>
      <c r="G13" s="7" t="s">
        <v>101</v>
      </c>
    </row>
    <row r="14" spans="1:7" ht="60" customHeight="1" x14ac:dyDescent="0.15">
      <c r="A14" s="7">
        <v>12</v>
      </c>
      <c r="B14" s="7" t="s">
        <v>149</v>
      </c>
      <c r="C14" s="8" t="str">
        <f>HYPERLINK("https://portal.genego.com/cgi/entity_page.cgi?term=20&amp;id=521703105","CTLA4")</f>
        <v>CTLA4</v>
      </c>
      <c r="D14" s="7" t="s">
        <v>150</v>
      </c>
      <c r="E14" s="7" t="s">
        <v>151</v>
      </c>
      <c r="F14" s="7" t="s">
        <v>152</v>
      </c>
      <c r="G14" s="7" t="s">
        <v>101</v>
      </c>
    </row>
    <row r="15" spans="1:7" ht="60" customHeight="1" x14ac:dyDescent="0.15">
      <c r="A15" s="7">
        <v>13</v>
      </c>
      <c r="B15" s="7" t="s">
        <v>153</v>
      </c>
      <c r="C15" s="8" t="str">
        <f>HYPERLINK("https://portal.genego.com/cgi/entity_page.cgi?term=20&amp;id=551204485","RNASE3")</f>
        <v>RNASE3</v>
      </c>
      <c r="D15" s="7" t="s">
        <v>154</v>
      </c>
      <c r="E15" s="7" t="s">
        <v>155</v>
      </c>
      <c r="F15" s="7" t="s">
        <v>156</v>
      </c>
      <c r="G15" s="7" t="s">
        <v>101</v>
      </c>
    </row>
    <row r="16" spans="1:7" ht="60" customHeight="1" x14ac:dyDescent="0.15">
      <c r="A16" s="7">
        <v>14</v>
      </c>
      <c r="B16" s="7" t="s">
        <v>157</v>
      </c>
      <c r="C16" s="8" t="str">
        <f>HYPERLINK("https://portal.genego.com/cgi/entity_page.cgi?term=20&amp;id=841376480","CD44")</f>
        <v>CD44</v>
      </c>
      <c r="D16" s="7" t="s">
        <v>158</v>
      </c>
      <c r="E16" s="7" t="s">
        <v>159</v>
      </c>
      <c r="F16" s="7" t="s">
        <v>160</v>
      </c>
      <c r="G16" s="7" t="s">
        <v>101</v>
      </c>
    </row>
    <row r="17" spans="1:7" ht="60" customHeight="1" x14ac:dyDescent="0.15">
      <c r="A17" s="7">
        <v>15</v>
      </c>
      <c r="B17" s="7" t="s">
        <v>161</v>
      </c>
      <c r="C17" s="8" t="str">
        <f>HYPERLINK("https://portal.genego.com/cgi/entity_page.cgi?term=20&amp;id=971308478","HLA-DQB1")</f>
        <v>HLA-DQB1</v>
      </c>
      <c r="D17" s="7" t="s">
        <v>162</v>
      </c>
      <c r="E17" s="7" t="s">
        <v>163</v>
      </c>
      <c r="F17" s="7" t="s">
        <v>164</v>
      </c>
      <c r="G17" s="7" t="s">
        <v>101</v>
      </c>
    </row>
    <row r="18" spans="1:7" ht="60" customHeight="1" x14ac:dyDescent="0.15">
      <c r="A18" s="7">
        <v>16</v>
      </c>
      <c r="B18" s="7" t="s">
        <v>165</v>
      </c>
      <c r="C18" s="8" t="str">
        <f>HYPERLINK("https://portal.genego.com/cgi/entity_page.cgi?term=20&amp;id=1031602642","DAG1")</f>
        <v>DAG1</v>
      </c>
      <c r="D18" s="7" t="s">
        <v>166</v>
      </c>
      <c r="E18" s="7" t="s">
        <v>167</v>
      </c>
      <c r="F18" s="7" t="s">
        <v>168</v>
      </c>
      <c r="G18" s="7" t="s">
        <v>101</v>
      </c>
    </row>
    <row r="19" spans="1:7" ht="60" customHeight="1" x14ac:dyDescent="0.15">
      <c r="A19" s="7">
        <v>17</v>
      </c>
      <c r="B19" s="7" t="s">
        <v>169</v>
      </c>
      <c r="C19" s="8" t="str">
        <f>HYPERLINK("https://portal.genego.com/cgi/entity_page.cgi?term=20&amp;id=1390764486","MMP9")</f>
        <v>MMP9</v>
      </c>
      <c r="D19" s="7" t="s">
        <v>170</v>
      </c>
      <c r="E19" s="7" t="s">
        <v>171</v>
      </c>
      <c r="F19" s="7" t="s">
        <v>172</v>
      </c>
      <c r="G19" s="7" t="s">
        <v>101</v>
      </c>
    </row>
    <row r="20" spans="1:7" ht="60" customHeight="1" x14ac:dyDescent="0.15">
      <c r="A20" s="7">
        <v>18</v>
      </c>
      <c r="B20" s="7" t="s">
        <v>173</v>
      </c>
      <c r="C20" s="8" t="str">
        <f>HYPERLINK("https://portal.genego.com/cgi/entity_page.cgi?term=20&amp;id=1495439859","MBL2")</f>
        <v>MBL2</v>
      </c>
      <c r="D20" s="7" t="s">
        <v>174</v>
      </c>
      <c r="E20" s="7" t="s">
        <v>175</v>
      </c>
      <c r="F20" s="7" t="s">
        <v>176</v>
      </c>
      <c r="G20" s="7" t="s">
        <v>101</v>
      </c>
    </row>
    <row r="21" spans="1:7" ht="60" customHeight="1" x14ac:dyDescent="0.15">
      <c r="A21" s="7">
        <v>19</v>
      </c>
      <c r="B21" s="7" t="s">
        <v>177</v>
      </c>
      <c r="C21" s="8" t="str">
        <f>HYPERLINK("https://portal.genego.com/cgi/entity_page.cgi?term=20&amp;id=1797096388","PTPRC")</f>
        <v>PTPRC</v>
      </c>
      <c r="D21" s="7" t="s">
        <v>178</v>
      </c>
      <c r="E21" s="7" t="s">
        <v>179</v>
      </c>
      <c r="F21" s="7" t="s">
        <v>180</v>
      </c>
      <c r="G21" s="7" t="s">
        <v>101</v>
      </c>
    </row>
    <row r="22" spans="1:7" ht="15" x14ac:dyDescent="0.2">
      <c r="A22" s="22" t="s">
        <v>192</v>
      </c>
      <c r="B22" s="23"/>
      <c r="C22" s="23"/>
      <c r="D22" s="23"/>
      <c r="E22" s="23"/>
      <c r="F22" s="23"/>
      <c r="G22" s="23"/>
    </row>
  </sheetData>
  <autoFilter ref="A2:G2" xr:uid="{C1370FEB-1C7D-DA4C-BCBC-9640D12A1C2B}"/>
  <mergeCells count="2">
    <mergeCell ref="A1:G1"/>
    <mergeCell ref="A22:G22"/>
  </mergeCell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vt:lpstr>
      <vt:lpstr>Table S1</vt:lpstr>
      <vt:lpstr>Table S2</vt:lpstr>
      <vt:lpstr>'Table S1'!_FilterDatabase</vt:lpstr>
      <vt:lpstr>'Table S2'!_FilterDatabase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2021-09-17T15:48:22Z</cp:lastPrinted>
  <dcterms:created xsi:type="dcterms:W3CDTF">2021-06-15T22:31:30Z</dcterms:created>
  <dcterms:modified xsi:type="dcterms:W3CDTF">2021-10-14T09:11:48Z</dcterms:modified>
</cp:coreProperties>
</file>