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GC PC\1.MGC PRESTIGE\1.ADM - SOCIETE\1.MGC\2.Compta - Tréso\"/>
    </mc:Choice>
  </mc:AlternateContent>
  <xr:revisionPtr revIDLastSave="0" documentId="13_ncr:1_{61693EF5-A24A-4CFC-8504-9AB486A92D7F}" xr6:coauthVersionLast="47" xr6:coauthVersionMax="47" xr10:uidLastSave="{00000000-0000-0000-0000-000000000000}"/>
  <bookViews>
    <workbookView xWindow="-120" yWindow="-120" windowWidth="29040" windowHeight="15720" tabRatio="788" activeTab="8" xr2:uid="{F4F2ADB2-637C-4575-92ED-EA9E55674C8A}"/>
  </bookViews>
  <sheets>
    <sheet name="ENCAISSEMENT " sheetId="30" r:id="rId1"/>
    <sheet name="Flux de trésorerie - REEL BP" sheetId="1" r:id="rId2"/>
    <sheet name="01-2022 " sheetId="18" r:id="rId3"/>
    <sheet name="02-2022" sheetId="4" r:id="rId4"/>
    <sheet name="03-2022" sheetId="5" r:id="rId5"/>
    <sheet name="04-2022" sheetId="19" r:id="rId6"/>
    <sheet name="05-2022 " sheetId="26" r:id="rId7"/>
    <sheet name="06-2022" sheetId="21" r:id="rId8"/>
    <sheet name="07-2022" sheetId="22" r:id="rId9"/>
    <sheet name="08-2022" sheetId="32" r:id="rId10"/>
    <sheet name="09-2022" sheetId="33" r:id="rId11"/>
  </sheets>
  <externalReferences>
    <externalReference r:id="rId12"/>
  </externalReferences>
  <definedNames>
    <definedName name="Débutexercicecomptable" localSheetId="1">'Flux de trésorerie - REEL BP'!$B$2</definedName>
    <definedName name="Débutexercicecomptable">#REF!</definedName>
    <definedName name="_xlnm.Print_Titles" localSheetId="2">'01-2022 '!$A:$C</definedName>
    <definedName name="_xlnm.Print_Titles" localSheetId="3">'02-2022'!$A:$B</definedName>
    <definedName name="_xlnm.Print_Titles" localSheetId="4">'03-2022'!$A:$B</definedName>
    <definedName name="_xlnm.Print_Titles" localSheetId="5">'04-2022'!$A:$B</definedName>
    <definedName name="_xlnm.Print_Titles" localSheetId="6">'05-2022 '!$A:$B</definedName>
    <definedName name="_xlnm.Print_Titles" localSheetId="7">'06-2022'!$A:$B</definedName>
    <definedName name="_xlnm.Print_Titles" localSheetId="8">'07-2022'!$A:$B</definedName>
    <definedName name="_xlnm.Print_Titles" localSheetId="9">'08-2022'!$A:$B</definedName>
    <definedName name="_xlnm.Print_Titles" localSheetId="10">'09-2022'!$A:$B</definedName>
    <definedName name="_xlnm.Print_Titles" localSheetId="0">'ENCAISSEMENT '!$A:$A</definedName>
    <definedName name="Terminé" localSheetId="2">'01-2022 '!#REF!,'01-2022 '!#REF!,'01-2022 '!#REF!,'01-2022 '!$H$2:$H$90,'01-2022 '!#REF!,'01-2022 '!#REF!,'01-2022 '!#REF!,'01-2022 '!#REF!,'01-2022 '!#REF!,'01-2022 '!#REF!,'01-2022 '!#REF!,'01-2022 '!#REF!</definedName>
    <definedName name="Terminé" localSheetId="3">'02-2022'!#REF!,'02-2022'!#REF!,'02-2022'!#REF!,'02-2022'!#REF!,'02-2022'!$H$2:$H$96,'02-2022'!#REF!,'02-2022'!#REF!,'02-2022'!#REF!,'02-2022'!#REF!,'02-2022'!#REF!,'02-2022'!#REF!,'02-2022'!#REF!</definedName>
    <definedName name="Terminé" localSheetId="4">'03-2022'!#REF!,'03-2022'!#REF!,'03-2022'!#REF!,'03-2022'!#REF!,'03-2022'!$I$2:$I$114,'03-2022'!#REF!,'03-2022'!#REF!,'03-2022'!#REF!,'03-2022'!#REF!,'03-2022'!#REF!,'03-2022'!#REF!,'03-2022'!#REF!</definedName>
    <definedName name="Terminé" localSheetId="5">'04-2022'!#REF!,'04-2022'!#REF!,'04-2022'!#REF!,'04-2022'!#REF!,'04-2022'!$I$2:$I$109,'04-2022'!#REF!,'04-2022'!#REF!,'04-2022'!#REF!,'04-2022'!#REF!,'04-2022'!#REF!,'04-2022'!#REF!,'04-2022'!#REF!</definedName>
    <definedName name="Terminé" localSheetId="6">'05-2022 '!#REF!,'05-2022 '!#REF!,'05-2022 '!#REF!,'05-2022 '!#REF!,'05-2022 '!$I$2:$I$100,'05-2022 '!#REF!,'05-2022 '!#REF!,'05-2022 '!#REF!,'05-2022 '!#REF!,'05-2022 '!#REF!,'05-2022 '!#REF!,'05-2022 '!#REF!</definedName>
    <definedName name="Terminé" localSheetId="7">'06-2022'!#REF!,'06-2022'!#REF!,'06-2022'!#REF!,'06-2022'!#REF!,'06-2022'!$I$2:$I$97,'06-2022'!#REF!,'06-2022'!#REF!,'06-2022'!#REF!,'06-2022'!#REF!,'06-2022'!#REF!,'06-2022'!#REF!,'06-2022'!#REF!</definedName>
    <definedName name="Terminé" localSheetId="8">'07-2022'!#REF!,'07-2022'!#REF!,'07-2022'!#REF!,'07-2022'!#REF!,'07-2022'!$I$2:$I$106,'07-2022'!#REF!,'07-2022'!#REF!,'07-2022'!#REF!,'07-2022'!#REF!,'07-2022'!#REF!,'07-2022'!#REF!,'07-2022'!#REF!</definedName>
    <definedName name="Terminé" localSheetId="9">'08-2022'!#REF!,'08-2022'!#REF!,'08-2022'!#REF!,'08-2022'!#REF!,'08-2022'!$I$2:$I$99,'08-2022'!#REF!,'08-2022'!#REF!,'08-2022'!#REF!,'08-2022'!#REF!,'08-2022'!#REF!,'08-2022'!#REF!,'08-2022'!#REF!</definedName>
    <definedName name="Terminé" localSheetId="10">'09-2022'!#REF!,'09-2022'!#REF!,'09-2022'!#REF!,'09-2022'!#REF!,'09-2022'!$I$2:$I$99,'09-2022'!#REF!,'09-2022'!#REF!,'09-2022'!#REF!,'09-2022'!#REF!,'09-2022'!#REF!,'09-2022'!#REF!,'09-2022'!#REF!</definedName>
    <definedName name="Terminé" localSheetId="0">'ENCAISSEMENT '!#REF!,'ENCAISSEMENT '!#REF!,'ENCAISSEMENT '!#REF!,'ENCAISSEMENT '!#REF!,'ENCAISSEMENT '!#REF!,'ENCAISSEMENT '!#REF!,'ENCAISSEMENT '!#REF!,'ENCAISSEMENT '!#REF!,'ENCAISSEMENT '!#REF!,'ENCAISSEMENT '!#REF!,'ENCAISSEMENT '!#REF!,'ENCAISSEMENT '!#REF!</definedName>
    <definedName name="Terminé">#REF!,#REF!,#REF!,#REF!,#REF!,#REF!,#REF!,#REF!,#REF!,#REF!,#REF!,#REF!</definedName>
    <definedName name="Terminé_Aoû" localSheetId="2">'01-2022 '!#REF!</definedName>
    <definedName name="Terminé_Aoû" localSheetId="3">'02-2022'!#REF!</definedName>
    <definedName name="Terminé_Aoû" localSheetId="4">'03-2022'!#REF!</definedName>
    <definedName name="Terminé_Aoû" localSheetId="5">'04-2022'!#REF!</definedName>
    <definedName name="Terminé_Aoû" localSheetId="6">'05-2022 '!#REF!</definedName>
    <definedName name="Terminé_Aoû" localSheetId="7">'06-2022'!#REF!</definedName>
    <definedName name="Terminé_Aoû" localSheetId="8">'07-2022'!#REF!</definedName>
    <definedName name="Terminé_Aoû" localSheetId="9">'08-2022'!#REF!</definedName>
    <definedName name="Terminé_Aoû" localSheetId="10">'09-2022'!#REF!</definedName>
    <definedName name="Terminé_Aoû" localSheetId="0">'ENCAISSEMENT '!#REF!</definedName>
    <definedName name="Terminé_Aoû">#REF!</definedName>
    <definedName name="Terminé_Avr" localSheetId="2">'01-2022 '!$H$2:$H$90</definedName>
    <definedName name="Terminé_Avr" localSheetId="3">'02-2022'!#REF!</definedName>
    <definedName name="Terminé_Avr" localSheetId="4">'03-2022'!#REF!</definedName>
    <definedName name="Terminé_Avr" localSheetId="5">'04-2022'!#REF!</definedName>
    <definedName name="Terminé_Avr" localSheetId="6">'05-2022 '!#REF!</definedName>
    <definedName name="Terminé_Avr" localSheetId="7">'06-2022'!#REF!</definedName>
    <definedName name="Terminé_Avr" localSheetId="8">'07-2022'!#REF!</definedName>
    <definedName name="Terminé_Avr" localSheetId="9">'08-2022'!#REF!</definedName>
    <definedName name="Terminé_Avr" localSheetId="10">'09-2022'!#REF!</definedName>
    <definedName name="Terminé_Avr" localSheetId="0">'ENCAISSEMENT '!#REF!</definedName>
    <definedName name="Terminé_Avr">#REF!</definedName>
    <definedName name="Terminé_Déc" localSheetId="2">'01-2022 '!#REF!</definedName>
    <definedName name="Terminé_Déc" localSheetId="3">'02-2022'!#REF!</definedName>
    <definedName name="Terminé_Déc" localSheetId="4">'03-2022'!#REF!</definedName>
    <definedName name="Terminé_Déc" localSheetId="5">'04-2022'!#REF!</definedName>
    <definedName name="Terminé_Déc" localSheetId="6">'05-2022 '!#REF!</definedName>
    <definedName name="Terminé_Déc" localSheetId="7">'06-2022'!#REF!</definedName>
    <definedName name="Terminé_Déc" localSheetId="8">'07-2022'!#REF!</definedName>
    <definedName name="Terminé_Déc" localSheetId="9">'08-2022'!#REF!</definedName>
    <definedName name="Terminé_Déc" localSheetId="10">'09-2022'!#REF!</definedName>
    <definedName name="Terminé_Déc" localSheetId="0">'ENCAISSEMENT '!#REF!</definedName>
    <definedName name="Terminé_Déc">#REF!</definedName>
    <definedName name="Terminé_Fév" localSheetId="2">'01-2022 '!#REF!</definedName>
    <definedName name="Terminé_Fév" localSheetId="3">'02-2022'!#REF!</definedName>
    <definedName name="Terminé_Fév" localSheetId="4">'03-2022'!#REF!</definedName>
    <definedName name="Terminé_Fév" localSheetId="5">'04-2022'!#REF!</definedName>
    <definedName name="Terminé_Fév" localSheetId="6">'05-2022 '!#REF!</definedName>
    <definedName name="Terminé_Fév" localSheetId="7">'06-2022'!#REF!</definedName>
    <definedName name="Terminé_Fév" localSheetId="8">'07-2022'!#REF!</definedName>
    <definedName name="Terminé_Fév" localSheetId="9">'08-2022'!#REF!</definedName>
    <definedName name="Terminé_Fév" localSheetId="10">'09-2022'!#REF!</definedName>
    <definedName name="Terminé_Fév" localSheetId="0">'ENCAISSEMENT '!#REF!</definedName>
    <definedName name="Terminé_Fév">#REF!</definedName>
    <definedName name="Terminé_Jan" localSheetId="2">'01-2022 '!#REF!</definedName>
    <definedName name="Terminé_Jan" localSheetId="3">'02-2022'!#REF!</definedName>
    <definedName name="Terminé_Jan" localSheetId="4">'03-2022'!#REF!</definedName>
    <definedName name="Terminé_Jan" localSheetId="5">'04-2022'!#REF!</definedName>
    <definedName name="Terminé_Jan" localSheetId="6">'05-2022 '!#REF!</definedName>
    <definedName name="Terminé_Jan" localSheetId="7">'06-2022'!#REF!</definedName>
    <definedName name="Terminé_Jan" localSheetId="8">'07-2022'!#REF!</definedName>
    <definedName name="Terminé_Jan" localSheetId="9">'08-2022'!#REF!</definedName>
    <definedName name="Terminé_Jan" localSheetId="10">'09-2022'!#REF!</definedName>
    <definedName name="Terminé_Jan" localSheetId="0">'ENCAISSEMENT '!#REF!</definedName>
    <definedName name="Terminé_Jan">#REF!</definedName>
    <definedName name="Terminé_Juin" localSheetId="2">'01-2022 '!#REF!</definedName>
    <definedName name="Terminé_Juin" localSheetId="3">'02-2022'!#REF!</definedName>
    <definedName name="Terminé_Juin" localSheetId="4">'03-2022'!#REF!</definedName>
    <definedName name="Terminé_Juin" localSheetId="5">'04-2022'!#REF!</definedName>
    <definedName name="Terminé_Juin" localSheetId="6">'05-2022 '!#REF!</definedName>
    <definedName name="Terminé_Juin" localSheetId="7">'06-2022'!#REF!</definedName>
    <definedName name="Terminé_Juin" localSheetId="8">'07-2022'!#REF!</definedName>
    <definedName name="Terminé_Juin" localSheetId="9">'08-2022'!#REF!</definedName>
    <definedName name="Terminé_Juin" localSheetId="10">'09-2022'!#REF!</definedName>
    <definedName name="Terminé_Juin" localSheetId="0">'ENCAISSEMENT '!#REF!</definedName>
    <definedName name="Terminé_Juin">#REF!</definedName>
    <definedName name="Terminé_Jull" localSheetId="2">'01-2022 '!#REF!</definedName>
    <definedName name="Terminé_Jull" localSheetId="3">'02-2022'!#REF!</definedName>
    <definedName name="Terminé_Jull" localSheetId="4">'03-2022'!#REF!</definedName>
    <definedName name="Terminé_Jull" localSheetId="5">'04-2022'!#REF!</definedName>
    <definedName name="Terminé_Jull" localSheetId="6">'05-2022 '!#REF!</definedName>
    <definedName name="Terminé_Jull" localSheetId="7">'06-2022'!#REF!</definedName>
    <definedName name="Terminé_Jull" localSheetId="8">'07-2022'!#REF!</definedName>
    <definedName name="Terminé_Jull" localSheetId="9">'08-2022'!#REF!</definedName>
    <definedName name="Terminé_Jull" localSheetId="10">'09-2022'!#REF!</definedName>
    <definedName name="Terminé_Jull" localSheetId="0">'ENCAISSEMENT '!#REF!</definedName>
    <definedName name="Terminé_Jull">#REF!</definedName>
    <definedName name="Terminé_Mai" localSheetId="2">'01-2022 '!#REF!</definedName>
    <definedName name="Terminé_Mai" localSheetId="3">'02-2022'!$H$2:$H$96</definedName>
    <definedName name="Terminé_Mai" localSheetId="4">'03-2022'!$I$2:$I$114</definedName>
    <definedName name="Terminé_Mai" localSheetId="5">'04-2022'!$I$2:$I$109</definedName>
    <definedName name="Terminé_Mai" localSheetId="6">'05-2022 '!$I$2:$I$100</definedName>
    <definedName name="Terminé_Mai" localSheetId="7">'06-2022'!$I$2:$I$97</definedName>
    <definedName name="Terminé_Mai" localSheetId="8">'07-2022'!$I$2:$I$106</definedName>
    <definedName name="Terminé_Mai" localSheetId="9">'08-2022'!$I$2:$I$99</definedName>
    <definedName name="Terminé_Mai" localSheetId="10">'09-2022'!$I$2:$I$99</definedName>
    <definedName name="Terminé_Mai" localSheetId="0">'ENCAISSEMENT '!#REF!</definedName>
    <definedName name="Terminé_Mai">#REF!</definedName>
    <definedName name="Terminé_Mar" localSheetId="2">'01-2022 '!#REF!</definedName>
    <definedName name="Terminé_Mar" localSheetId="3">'02-2022'!#REF!</definedName>
    <definedName name="Terminé_Mar" localSheetId="4">'03-2022'!#REF!</definedName>
    <definedName name="Terminé_Mar" localSheetId="5">'04-2022'!#REF!</definedName>
    <definedName name="Terminé_Mar" localSheetId="6">'05-2022 '!#REF!</definedName>
    <definedName name="Terminé_Mar" localSheetId="7">'06-2022'!#REF!</definedName>
    <definedName name="Terminé_Mar" localSheetId="8">'07-2022'!#REF!</definedName>
    <definedName name="Terminé_Mar" localSheetId="9">'08-2022'!#REF!</definedName>
    <definedName name="Terminé_Mar" localSheetId="10">'09-2022'!#REF!</definedName>
    <definedName name="Terminé_Mar" localSheetId="0">'ENCAISSEMENT '!#REF!</definedName>
    <definedName name="Terminé_Mar">#REF!</definedName>
    <definedName name="Terminé_Nov" localSheetId="2">'01-2022 '!#REF!</definedName>
    <definedName name="Terminé_Nov" localSheetId="3">'02-2022'!#REF!</definedName>
    <definedName name="Terminé_Nov" localSheetId="4">'03-2022'!#REF!</definedName>
    <definedName name="Terminé_Nov" localSheetId="5">'04-2022'!#REF!</definedName>
    <definedName name="Terminé_Nov" localSheetId="6">'05-2022 '!#REF!</definedName>
    <definedName name="Terminé_Nov" localSheetId="7">'06-2022'!#REF!</definedName>
    <definedName name="Terminé_Nov" localSheetId="8">'07-2022'!#REF!</definedName>
    <definedName name="Terminé_Nov" localSheetId="9">'08-2022'!#REF!</definedName>
    <definedName name="Terminé_Nov" localSheetId="10">'09-2022'!#REF!</definedName>
    <definedName name="Terminé_Nov" localSheetId="0">'ENCAISSEMENT '!#REF!</definedName>
    <definedName name="Terminé_Nov">#REF!</definedName>
    <definedName name="Terminé_Oct" localSheetId="2">'01-2022 '!#REF!</definedName>
    <definedName name="Terminé_Oct" localSheetId="3">'02-2022'!#REF!</definedName>
    <definedName name="Terminé_Oct" localSheetId="4">'03-2022'!#REF!</definedName>
    <definedName name="Terminé_Oct" localSheetId="5">'04-2022'!#REF!</definedName>
    <definedName name="Terminé_Oct" localSheetId="6">'05-2022 '!#REF!</definedName>
    <definedName name="Terminé_Oct" localSheetId="7">'06-2022'!#REF!</definedName>
    <definedName name="Terminé_Oct" localSheetId="8">'07-2022'!#REF!</definedName>
    <definedName name="Terminé_Oct" localSheetId="9">'08-2022'!#REF!</definedName>
    <definedName name="Terminé_Oct" localSheetId="10">'09-2022'!#REF!</definedName>
    <definedName name="Terminé_Oct" localSheetId="0">'ENCAISSEMENT '!#REF!</definedName>
    <definedName name="Terminé_Oct">#REF!</definedName>
    <definedName name="Terminé_Sep" localSheetId="2">'01-2022 '!#REF!</definedName>
    <definedName name="Terminé_Sep" localSheetId="3">'02-2022'!#REF!</definedName>
    <definedName name="Terminé_Sep" localSheetId="4">'03-2022'!#REF!</definedName>
    <definedName name="Terminé_Sep" localSheetId="5">'04-2022'!#REF!</definedName>
    <definedName name="Terminé_Sep" localSheetId="6">'05-2022 '!#REF!</definedName>
    <definedName name="Terminé_Sep" localSheetId="7">'06-2022'!#REF!</definedName>
    <definedName name="Terminé_Sep" localSheetId="8">'07-2022'!#REF!</definedName>
    <definedName name="Terminé_Sep" localSheetId="9">'08-2022'!#REF!</definedName>
    <definedName name="Terminé_Sep" localSheetId="10">'09-2022'!#REF!</definedName>
    <definedName name="Terminé_Sep" localSheetId="0">'ENCAISSEMENT '!#REF!</definedName>
    <definedName name="Terminé_Sep">#REF!</definedName>
    <definedName name="_xlnm.Print_Area" localSheetId="2">'01-2022 '!$A$1:$H$90</definedName>
    <definedName name="_xlnm.Print_Area" localSheetId="3">'02-2022'!$A$1:$H$95</definedName>
    <definedName name="_xlnm.Print_Area" localSheetId="4">'03-2022'!$A$1:$I$114</definedName>
    <definedName name="_xlnm.Print_Area" localSheetId="5">'04-2022'!$A$1:$I$107</definedName>
    <definedName name="_xlnm.Print_Area" localSheetId="6">'05-2022 '!$A$1:$I$100</definedName>
    <definedName name="_xlnm.Print_Area" localSheetId="7">'06-2022'!$A$1:$I$97</definedName>
    <definedName name="_xlnm.Print_Area" localSheetId="8">'07-2022'!$A$1:$I$106</definedName>
    <definedName name="_xlnm.Print_Area" localSheetId="9">'08-2022'!$A$1:$I$99</definedName>
    <definedName name="_xlnm.Print_Area" localSheetId="10">'09-2022'!$A$1:$I$99</definedName>
    <definedName name="_xlnm.Print_Area" localSheetId="0">'ENCAISSEMENT '!$A$1:$G$28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22" l="1"/>
  <c r="H22" i="22"/>
  <c r="D74" i="22"/>
  <c r="J197" i="1"/>
  <c r="J11" i="1"/>
  <c r="J9" i="1"/>
  <c r="J90" i="1"/>
  <c r="J125" i="1"/>
  <c r="J128" i="1"/>
  <c r="J75" i="1"/>
  <c r="J135" i="1"/>
  <c r="J78" i="1"/>
  <c r="J122" i="1"/>
  <c r="J113" i="1"/>
  <c r="J156" i="1"/>
  <c r="J77" i="1"/>
  <c r="J69" i="1"/>
  <c r="J187" i="1"/>
  <c r="J191" i="1"/>
  <c r="J46" i="1"/>
  <c r="J70" i="1"/>
  <c r="J148" i="1"/>
  <c r="J124" i="1"/>
  <c r="H21" i="22"/>
  <c r="H20" i="22"/>
  <c r="H19" i="22"/>
  <c r="H18" i="22"/>
  <c r="H17" i="22"/>
  <c r="H16" i="22"/>
  <c r="H71" i="22"/>
  <c r="D51" i="22"/>
  <c r="H102" i="22"/>
  <c r="H39" i="22"/>
  <c r="H53" i="22"/>
  <c r="H62" i="22"/>
  <c r="H7" i="21"/>
  <c r="D99" i="33"/>
  <c r="H98" i="33"/>
  <c r="H97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99" i="33" s="1"/>
  <c r="H101" i="33" s="1"/>
  <c r="H68" i="33"/>
  <c r="H67" i="33"/>
  <c r="H66" i="33"/>
  <c r="H65" i="33"/>
  <c r="H64" i="33"/>
  <c r="H63" i="33"/>
  <c r="H62" i="33"/>
  <c r="H61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D42" i="33"/>
  <c r="D69" i="33" s="1"/>
  <c r="H41" i="33"/>
  <c r="H40" i="33"/>
  <c r="H39" i="33"/>
  <c r="H38" i="33"/>
  <c r="H37" i="33"/>
  <c r="H36" i="33"/>
  <c r="H35" i="33"/>
  <c r="H34" i="33"/>
  <c r="H33" i="33"/>
  <c r="H32" i="33"/>
  <c r="H31" i="33"/>
  <c r="H30" i="33"/>
  <c r="H29" i="33"/>
  <c r="H69" i="33" s="1"/>
  <c r="D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1" i="33"/>
  <c r="H10" i="33"/>
  <c r="H9" i="33"/>
  <c r="H8" i="33"/>
  <c r="H7" i="33"/>
  <c r="H6" i="33"/>
  <c r="H5" i="33"/>
  <c r="H4" i="33"/>
  <c r="H3" i="33"/>
  <c r="H2" i="33"/>
  <c r="H28" i="33" s="1"/>
  <c r="H74" i="32"/>
  <c r="H75" i="32"/>
  <c r="H76" i="32"/>
  <c r="H77" i="32"/>
  <c r="H78" i="32"/>
  <c r="H79" i="32"/>
  <c r="H64" i="32"/>
  <c r="H65" i="32"/>
  <c r="H66" i="32"/>
  <c r="H67" i="32"/>
  <c r="H68" i="32"/>
  <c r="D99" i="32"/>
  <c r="H98" i="32"/>
  <c r="H97" i="32"/>
  <c r="H95" i="32"/>
  <c r="H94" i="32"/>
  <c r="H93" i="32"/>
  <c r="H92" i="32"/>
  <c r="H91" i="32"/>
  <c r="H90" i="32"/>
  <c r="H89" i="32"/>
  <c r="H88" i="32"/>
  <c r="H87" i="32"/>
  <c r="H86" i="32"/>
  <c r="H85" i="32"/>
  <c r="H84" i="32"/>
  <c r="H83" i="32"/>
  <c r="H82" i="32"/>
  <c r="H81" i="32"/>
  <c r="H80" i="32"/>
  <c r="H73" i="32"/>
  <c r="H72" i="32"/>
  <c r="H71" i="32"/>
  <c r="H70" i="32"/>
  <c r="H63" i="32"/>
  <c r="H62" i="32"/>
  <c r="H58" i="32"/>
  <c r="H57" i="32"/>
  <c r="H56" i="32"/>
  <c r="H55" i="32"/>
  <c r="H54" i="32"/>
  <c r="H53" i="32"/>
  <c r="H52" i="32"/>
  <c r="H51" i="32"/>
  <c r="H50" i="32"/>
  <c r="H49" i="32"/>
  <c r="H48" i="32"/>
  <c r="H47" i="32"/>
  <c r="H46" i="32"/>
  <c r="H45" i="32"/>
  <c r="H44" i="32"/>
  <c r="H43" i="32"/>
  <c r="D42" i="32"/>
  <c r="D69" i="32" s="1"/>
  <c r="H41" i="32"/>
  <c r="H40" i="32"/>
  <c r="H39" i="32"/>
  <c r="H38" i="32"/>
  <c r="H37" i="32"/>
  <c r="H36" i="32"/>
  <c r="H35" i="32"/>
  <c r="H34" i="32"/>
  <c r="H33" i="32"/>
  <c r="H32" i="32"/>
  <c r="H31" i="32"/>
  <c r="H30" i="32"/>
  <c r="H29" i="32"/>
  <c r="D28" i="32"/>
  <c r="H27" i="32"/>
  <c r="H26" i="32"/>
  <c r="H25" i="32"/>
  <c r="H24" i="32"/>
  <c r="H23" i="32"/>
  <c r="H22" i="32"/>
  <c r="H21" i="32"/>
  <c r="H20" i="32"/>
  <c r="H19" i="32"/>
  <c r="H18" i="32"/>
  <c r="H17" i="32"/>
  <c r="H16" i="32"/>
  <c r="H15" i="32"/>
  <c r="H14" i="32"/>
  <c r="H13" i="32"/>
  <c r="H12" i="32"/>
  <c r="H11" i="32"/>
  <c r="H10" i="32"/>
  <c r="H9" i="32"/>
  <c r="H8" i="32"/>
  <c r="H7" i="32"/>
  <c r="H6" i="32"/>
  <c r="H5" i="32"/>
  <c r="H4" i="32"/>
  <c r="H3" i="32"/>
  <c r="H2" i="32"/>
  <c r="H65" i="21"/>
  <c r="H56" i="21"/>
  <c r="J163" i="1"/>
  <c r="J180" i="1"/>
  <c r="J139" i="1"/>
  <c r="J51" i="1"/>
  <c r="J33" i="1"/>
  <c r="C28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2" i="30"/>
  <c r="G11" i="30"/>
  <c r="G10" i="30"/>
  <c r="G9" i="30"/>
  <c r="G8" i="30"/>
  <c r="G7" i="30"/>
  <c r="G6" i="30"/>
  <c r="G5" i="30"/>
  <c r="G4" i="30"/>
  <c r="G3" i="30"/>
  <c r="G2" i="30"/>
  <c r="H77" i="22"/>
  <c r="H78" i="22"/>
  <c r="H79" i="22"/>
  <c r="H80" i="22"/>
  <c r="H82" i="22"/>
  <c r="H83" i="22"/>
  <c r="H84" i="22"/>
  <c r="H85" i="22"/>
  <c r="H86" i="22"/>
  <c r="H87" i="22"/>
  <c r="H72" i="21"/>
  <c r="H79" i="21"/>
  <c r="H92" i="21"/>
  <c r="H93" i="21"/>
  <c r="H94" i="21"/>
  <c r="H95" i="21"/>
  <c r="H76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67" i="22"/>
  <c r="H68" i="22"/>
  <c r="H69" i="22"/>
  <c r="H70" i="22"/>
  <c r="H38" i="22"/>
  <c r="H26" i="21"/>
  <c r="H25" i="21"/>
  <c r="H24" i="21"/>
  <c r="H23" i="21"/>
  <c r="H22" i="21"/>
  <c r="H21" i="21"/>
  <c r="H82" i="21"/>
  <c r="H4" i="21"/>
  <c r="H5" i="21"/>
  <c r="H6" i="21"/>
  <c r="H8" i="21"/>
  <c r="H9" i="21"/>
  <c r="H2" i="21"/>
  <c r="H10" i="21"/>
  <c r="H11" i="21"/>
  <c r="H12" i="21"/>
  <c r="H13" i="21"/>
  <c r="H14" i="21"/>
  <c r="H15" i="21"/>
  <c r="H16" i="21"/>
  <c r="H17" i="21"/>
  <c r="H18" i="21"/>
  <c r="H19" i="21"/>
  <c r="H20" i="21"/>
  <c r="H3" i="21"/>
  <c r="I90" i="1"/>
  <c r="I127" i="1"/>
  <c r="I128" i="1"/>
  <c r="I75" i="1"/>
  <c r="I130" i="1"/>
  <c r="I122" i="1"/>
  <c r="I47" i="1"/>
  <c r="I162" i="1"/>
  <c r="I76" i="1"/>
  <c r="I197" i="1"/>
  <c r="I135" i="1"/>
  <c r="I118" i="1"/>
  <c r="I77" i="1"/>
  <c r="I69" i="1"/>
  <c r="I46" i="1"/>
  <c r="I70" i="1"/>
  <c r="I160" i="1"/>
  <c r="I11" i="1"/>
  <c r="I9" i="1"/>
  <c r="H76" i="26"/>
  <c r="H31" i="26"/>
  <c r="H32" i="26"/>
  <c r="H99" i="19"/>
  <c r="H96" i="26"/>
  <c r="H54" i="21"/>
  <c r="H55" i="21"/>
  <c r="H93" i="19"/>
  <c r="H92" i="19"/>
  <c r="I51" i="1"/>
  <c r="I139" i="1"/>
  <c r="I78" i="1"/>
  <c r="H74" i="26"/>
  <c r="H75" i="26"/>
  <c r="H17" i="26"/>
  <c r="H34" i="26"/>
  <c r="H30" i="26"/>
  <c r="H53" i="26"/>
  <c r="H27" i="26"/>
  <c r="H26" i="26"/>
  <c r="H25" i="26"/>
  <c r="H60" i="26"/>
  <c r="H61" i="26"/>
  <c r="H56" i="26"/>
  <c r="H76" i="21"/>
  <c r="H75" i="21"/>
  <c r="H90" i="21"/>
  <c r="H89" i="21"/>
  <c r="H88" i="21"/>
  <c r="H74" i="21"/>
  <c r="H87" i="21"/>
  <c r="H78" i="21"/>
  <c r="H73" i="21"/>
  <c r="H81" i="21"/>
  <c r="H80" i="21"/>
  <c r="H86" i="21"/>
  <c r="H85" i="21"/>
  <c r="H84" i="21"/>
  <c r="H83" i="21"/>
  <c r="H77" i="21"/>
  <c r="H91" i="21"/>
  <c r="H71" i="21"/>
  <c r="H70" i="21"/>
  <c r="H69" i="21"/>
  <c r="H53" i="21"/>
  <c r="H61" i="21"/>
  <c r="H64" i="21"/>
  <c r="H60" i="21"/>
  <c r="H59" i="21"/>
  <c r="H58" i="21"/>
  <c r="H63" i="21"/>
  <c r="H62" i="21"/>
  <c r="H57" i="21"/>
  <c r="H51" i="21"/>
  <c r="H52" i="21"/>
  <c r="H50" i="21"/>
  <c r="H33" i="21"/>
  <c r="H49" i="21"/>
  <c r="H48" i="21"/>
  <c r="D47" i="21"/>
  <c r="H47" i="21" s="1"/>
  <c r="H46" i="21"/>
  <c r="H41" i="21"/>
  <c r="H40" i="21"/>
  <c r="H39" i="21"/>
  <c r="H38" i="21"/>
  <c r="H37" i="21"/>
  <c r="H36" i="21"/>
  <c r="H35" i="21"/>
  <c r="H44" i="21"/>
  <c r="H34" i="21"/>
  <c r="H43" i="21"/>
  <c r="H45" i="21"/>
  <c r="H42" i="21"/>
  <c r="H37" i="26"/>
  <c r="H71" i="26"/>
  <c r="H98" i="26"/>
  <c r="H99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7" i="26"/>
  <c r="D100" i="26"/>
  <c r="K3" i="26" s="1"/>
  <c r="H83" i="26"/>
  <c r="H82" i="26"/>
  <c r="H81" i="26"/>
  <c r="H73" i="26"/>
  <c r="H52" i="26"/>
  <c r="H72" i="26"/>
  <c r="H69" i="26"/>
  <c r="H68" i="26"/>
  <c r="H70" i="26"/>
  <c r="H67" i="26"/>
  <c r="H66" i="26"/>
  <c r="H65" i="26"/>
  <c r="H63" i="26"/>
  <c r="H62" i="26"/>
  <c r="H59" i="26"/>
  <c r="H58" i="26"/>
  <c r="H57" i="26"/>
  <c r="H55" i="26"/>
  <c r="H54" i="26"/>
  <c r="D49" i="26"/>
  <c r="D80" i="26" s="1"/>
  <c r="H51" i="26"/>
  <c r="H50" i="26"/>
  <c r="H64" i="26"/>
  <c r="H48" i="26"/>
  <c r="H47" i="26"/>
  <c r="H46" i="26"/>
  <c r="H45" i="26"/>
  <c r="H44" i="26"/>
  <c r="H43" i="26"/>
  <c r="H42" i="26"/>
  <c r="H41" i="26"/>
  <c r="H40" i="26"/>
  <c r="H39" i="26"/>
  <c r="H38" i="26"/>
  <c r="D36" i="26"/>
  <c r="K4" i="26" s="1"/>
  <c r="H33" i="26"/>
  <c r="H29" i="26"/>
  <c r="H28" i="26"/>
  <c r="H24" i="26"/>
  <c r="H23" i="26"/>
  <c r="H22" i="26"/>
  <c r="H21" i="26"/>
  <c r="H20" i="26"/>
  <c r="H19" i="26"/>
  <c r="H18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D106" i="22"/>
  <c r="K8" i="22" s="1"/>
  <c r="H105" i="22"/>
  <c r="H104" i="22"/>
  <c r="H66" i="22"/>
  <c r="H65" i="22"/>
  <c r="H64" i="22"/>
  <c r="H63" i="22"/>
  <c r="H61" i="22"/>
  <c r="H60" i="22"/>
  <c r="H59" i="22"/>
  <c r="H58" i="22"/>
  <c r="H57" i="22"/>
  <c r="H56" i="22"/>
  <c r="H55" i="22"/>
  <c r="H54" i="22"/>
  <c r="H52" i="22"/>
  <c r="H50" i="22"/>
  <c r="H49" i="22"/>
  <c r="H48" i="22"/>
  <c r="H47" i="22"/>
  <c r="H46" i="22"/>
  <c r="H45" i="22"/>
  <c r="H44" i="22"/>
  <c r="H43" i="22"/>
  <c r="H42" i="22"/>
  <c r="H41" i="22"/>
  <c r="H40" i="22"/>
  <c r="H37" i="22"/>
  <c r="D36" i="22"/>
  <c r="K10" i="22" s="1"/>
  <c r="H35" i="22"/>
  <c r="H34" i="22"/>
  <c r="H33" i="22"/>
  <c r="H32" i="22"/>
  <c r="H31" i="22"/>
  <c r="H30" i="22"/>
  <c r="H29" i="22"/>
  <c r="H28" i="22"/>
  <c r="H27" i="22"/>
  <c r="H26" i="22"/>
  <c r="H25" i="22"/>
  <c r="H24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D97" i="21"/>
  <c r="H96" i="21"/>
  <c r="D32" i="21"/>
  <c r="K11" i="21" s="1"/>
  <c r="H90" i="1"/>
  <c r="H97" i="1"/>
  <c r="H76" i="1"/>
  <c r="H11" i="1"/>
  <c r="H20" i="1"/>
  <c r="H51" i="1"/>
  <c r="H75" i="1"/>
  <c r="H9" i="1"/>
  <c r="H99" i="1"/>
  <c r="H77" i="1"/>
  <c r="H69" i="1"/>
  <c r="H197" i="1"/>
  <c r="H70" i="1"/>
  <c r="H46" i="1"/>
  <c r="H158" i="1"/>
  <c r="H142" i="1"/>
  <c r="H32" i="1"/>
  <c r="H27" i="1"/>
  <c r="H79" i="19"/>
  <c r="H78" i="19"/>
  <c r="H70" i="19"/>
  <c r="H71" i="19"/>
  <c r="H72" i="19"/>
  <c r="H77" i="19"/>
  <c r="H76" i="19"/>
  <c r="D108" i="22" l="1"/>
  <c r="D101" i="33"/>
  <c r="H99" i="32"/>
  <c r="D101" i="32"/>
  <c r="H28" i="32"/>
  <c r="H42" i="32"/>
  <c r="H69" i="32" s="1"/>
  <c r="G28" i="30"/>
  <c r="H106" i="22"/>
  <c r="K13" i="22"/>
  <c r="H51" i="22"/>
  <c r="H74" i="22" s="1"/>
  <c r="K24" i="22"/>
  <c r="H68" i="21"/>
  <c r="H36" i="26"/>
  <c r="D68" i="21"/>
  <c r="D99" i="21" s="1"/>
  <c r="H36" i="22"/>
  <c r="H32" i="21"/>
  <c r="H97" i="21"/>
  <c r="K10" i="26"/>
  <c r="H100" i="26"/>
  <c r="D102" i="26"/>
  <c r="K7" i="26"/>
  <c r="H49" i="26"/>
  <c r="H80" i="26" s="1"/>
  <c r="K14" i="21"/>
  <c r="K9" i="21"/>
  <c r="K17" i="21" s="1"/>
  <c r="H108" i="22" l="1"/>
  <c r="H99" i="21"/>
  <c r="H101" i="32"/>
  <c r="H74" i="19"/>
  <c r="H73" i="19"/>
  <c r="H57" i="19"/>
  <c r="H34" i="19"/>
  <c r="H33" i="19"/>
  <c r="H32" i="19"/>
  <c r="H31" i="19"/>
  <c r="H30" i="19"/>
  <c r="H88" i="19" l="1"/>
  <c r="G90" i="1"/>
  <c r="G182" i="1"/>
  <c r="G76" i="1"/>
  <c r="G162" i="1"/>
  <c r="G127" i="1"/>
  <c r="G128" i="1"/>
  <c r="G75" i="1"/>
  <c r="G122" i="1"/>
  <c r="G156" i="1"/>
  <c r="G118" i="1"/>
  <c r="G88" i="1"/>
  <c r="G30" i="1"/>
  <c r="G78" i="1"/>
  <c r="G9" i="1"/>
  <c r="G77" i="1"/>
  <c r="G197" i="1"/>
  <c r="G69" i="1"/>
  <c r="G70" i="1"/>
  <c r="G141" i="1"/>
  <c r="G83" i="1"/>
  <c r="G160" i="1"/>
  <c r="G158" i="1"/>
  <c r="H51" i="19"/>
  <c r="H60" i="19"/>
  <c r="H101" i="19"/>
  <c r="H102" i="19"/>
  <c r="H86" i="19"/>
  <c r="H105" i="19"/>
  <c r="H103" i="19"/>
  <c r="H104" i="19"/>
  <c r="H106" i="19"/>
  <c r="H107" i="19"/>
  <c r="H108" i="19"/>
  <c r="H38" i="19"/>
  <c r="D109" i="19"/>
  <c r="K8" i="19" s="1"/>
  <c r="H87" i="19"/>
  <c r="H100" i="19"/>
  <c r="H81" i="19"/>
  <c r="H85" i="19"/>
  <c r="H89" i="19"/>
  <c r="H98" i="19"/>
  <c r="H97" i="19"/>
  <c r="H96" i="19"/>
  <c r="H95" i="19"/>
  <c r="H94" i="19"/>
  <c r="H91" i="19"/>
  <c r="H90" i="19"/>
  <c r="H75" i="19"/>
  <c r="H61" i="19"/>
  <c r="H67" i="19"/>
  <c r="H50" i="19"/>
  <c r="H69" i="19"/>
  <c r="H55" i="19"/>
  <c r="H63" i="19"/>
  <c r="H68" i="19"/>
  <c r="H62" i="19"/>
  <c r="H66" i="19"/>
  <c r="H65" i="19"/>
  <c r="H64" i="19"/>
  <c r="H56" i="19"/>
  <c r="H54" i="19"/>
  <c r="H53" i="19"/>
  <c r="H39" i="19"/>
  <c r="H84" i="19"/>
  <c r="H83" i="19"/>
  <c r="H82" i="19"/>
  <c r="H47" i="19"/>
  <c r="D52" i="19"/>
  <c r="D80" i="19" s="1"/>
  <c r="H49" i="19"/>
  <c r="H59" i="19"/>
  <c r="H58" i="19"/>
  <c r="H48" i="19"/>
  <c r="H45" i="19"/>
  <c r="H44" i="19"/>
  <c r="H43" i="19"/>
  <c r="H42" i="19"/>
  <c r="H41" i="19"/>
  <c r="H40" i="19"/>
  <c r="H46" i="19"/>
  <c r="D37" i="19"/>
  <c r="K10" i="19" s="1"/>
  <c r="H36" i="19"/>
  <c r="H35" i="19"/>
  <c r="H29" i="19"/>
  <c r="H28" i="19"/>
  <c r="H27" i="19"/>
  <c r="H26" i="19"/>
  <c r="H25" i="19"/>
  <c r="H24" i="19"/>
  <c r="H23" i="19"/>
  <c r="H22" i="19"/>
  <c r="H11" i="19"/>
  <c r="H10" i="19"/>
  <c r="H21" i="19"/>
  <c r="H20" i="19"/>
  <c r="H19" i="19"/>
  <c r="H18" i="19"/>
  <c r="H17" i="19"/>
  <c r="H16" i="19"/>
  <c r="H15" i="19"/>
  <c r="H14" i="19"/>
  <c r="H13" i="19"/>
  <c r="H12" i="19"/>
  <c r="H9" i="19"/>
  <c r="H8" i="19"/>
  <c r="H7" i="19"/>
  <c r="H6" i="19"/>
  <c r="H5" i="19"/>
  <c r="H4" i="19"/>
  <c r="H3" i="19"/>
  <c r="H2" i="19"/>
  <c r="H23" i="5"/>
  <c r="H111" i="5"/>
  <c r="H112" i="5"/>
  <c r="H113" i="5"/>
  <c r="H109" i="19" l="1"/>
  <c r="H52" i="19"/>
  <c r="H80" i="19" s="1"/>
  <c r="D111" i="19"/>
  <c r="H37" i="19"/>
  <c r="K15" i="19"/>
  <c r="K12" i="19"/>
  <c r="H41" i="5"/>
  <c r="H110" i="5" l="1"/>
  <c r="H87" i="5"/>
  <c r="H86" i="5"/>
  <c r="H68" i="5"/>
  <c r="G136" i="1"/>
  <c r="G113" i="1"/>
  <c r="G46" i="1"/>
  <c r="G155" i="1"/>
  <c r="G167" i="1"/>
  <c r="G187" i="1"/>
  <c r="G20" i="1"/>
  <c r="R20" i="1" s="1"/>
  <c r="G31" i="1"/>
  <c r="H109" i="5"/>
  <c r="H38" i="5"/>
  <c r="H8" i="5"/>
  <c r="H78" i="5"/>
  <c r="H58" i="5"/>
  <c r="D55" i="5"/>
  <c r="H40" i="5"/>
  <c r="H37" i="5"/>
  <c r="H36" i="5"/>
  <c r="H35" i="5"/>
  <c r="H29" i="5"/>
  <c r="H28" i="5"/>
  <c r="H27" i="5"/>
  <c r="H108" i="5"/>
  <c r="H75" i="5"/>
  <c r="H76" i="5"/>
  <c r="H77" i="5"/>
  <c r="H79" i="5"/>
  <c r="H80" i="5"/>
  <c r="H81" i="5"/>
  <c r="H82" i="5"/>
  <c r="H83" i="5"/>
  <c r="H84" i="5"/>
  <c r="H74" i="5"/>
  <c r="H85" i="5"/>
  <c r="F128" i="1"/>
  <c r="F132" i="1"/>
  <c r="F160" i="1"/>
  <c r="F90" i="1"/>
  <c r="F122" i="1"/>
  <c r="F197" i="1"/>
  <c r="F168" i="1"/>
  <c r="F77" i="1"/>
  <c r="F70" i="1"/>
  <c r="F158" i="1"/>
  <c r="F146" i="1"/>
  <c r="F9" i="1"/>
  <c r="F11" i="1"/>
  <c r="F187" i="1"/>
  <c r="F113" i="1"/>
  <c r="F46" i="1"/>
  <c r="F142" i="1"/>
  <c r="F177" i="1"/>
  <c r="S20" i="1" l="1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9" i="5"/>
  <c r="H60" i="5"/>
  <c r="H61" i="5"/>
  <c r="H62" i="5"/>
  <c r="H63" i="5"/>
  <c r="H64" i="5"/>
  <c r="H65" i="5"/>
  <c r="H66" i="5"/>
  <c r="H67" i="5"/>
  <c r="H69" i="5"/>
  <c r="H70" i="5"/>
  <c r="H71" i="5"/>
  <c r="H72" i="5"/>
  <c r="H73" i="5"/>
  <c r="H88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43" i="5"/>
  <c r="H3" i="5"/>
  <c r="H4" i="5"/>
  <c r="H5" i="5"/>
  <c r="H6" i="5"/>
  <c r="H7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4" i="5"/>
  <c r="H25" i="5"/>
  <c r="H26" i="5"/>
  <c r="H30" i="5"/>
  <c r="H31" i="5"/>
  <c r="H32" i="5"/>
  <c r="H33" i="5"/>
  <c r="H34" i="5"/>
  <c r="H39" i="5"/>
  <c r="H2" i="5"/>
  <c r="D42" i="5"/>
  <c r="K12" i="5" s="1"/>
  <c r="D89" i="5"/>
  <c r="R148" i="1"/>
  <c r="R155" i="1"/>
  <c r="S148" i="1"/>
  <c r="R157" i="1"/>
  <c r="S157" i="1"/>
  <c r="H114" i="5" l="1"/>
  <c r="H89" i="5"/>
  <c r="H42" i="5"/>
  <c r="S155" i="1"/>
  <c r="D92" i="4"/>
  <c r="E90" i="1"/>
  <c r="E187" i="1"/>
  <c r="E180" i="1"/>
  <c r="E76" i="1"/>
  <c r="E128" i="1"/>
  <c r="E75" i="1"/>
  <c r="E122" i="1"/>
  <c r="E9" i="1"/>
  <c r="E168" i="1"/>
  <c r="E31" i="1"/>
  <c r="E139" i="1"/>
  <c r="E115" i="1"/>
  <c r="E69" i="1"/>
  <c r="E77" i="1"/>
  <c r="E197" i="1"/>
  <c r="E143" i="1"/>
  <c r="E70" i="1"/>
  <c r="E116" i="1"/>
  <c r="R116" i="1"/>
  <c r="S116" i="1"/>
  <c r="E113" i="1"/>
  <c r="E46" i="1"/>
  <c r="R150" i="1" l="1"/>
  <c r="S150" i="1"/>
  <c r="R99" i="1" l="1"/>
  <c r="S99" i="1"/>
  <c r="R166" i="1"/>
  <c r="S31" i="1"/>
  <c r="R46" i="1"/>
  <c r="E5" i="1"/>
  <c r="S166" i="1" l="1"/>
  <c r="R31" i="1"/>
  <c r="S46" i="1"/>
  <c r="D90" i="18" l="1"/>
  <c r="D40" i="18"/>
  <c r="D58" i="18" s="1"/>
  <c r="D30" i="18"/>
  <c r="D91" i="18" l="1"/>
  <c r="D114" i="5"/>
  <c r="D116" i="5" s="1"/>
  <c r="D66" i="4"/>
  <c r="D34" i="4"/>
  <c r="O12" i="1"/>
  <c r="K15" i="5" l="1"/>
  <c r="K9" i="5"/>
  <c r="K18" i="5" s="1"/>
  <c r="D97" i="4"/>
  <c r="S156" i="1"/>
  <c r="S59" i="1"/>
  <c r="S182" i="1"/>
  <c r="S17" i="1"/>
  <c r="S18" i="1"/>
  <c r="S22" i="1"/>
  <c r="S24" i="1"/>
  <c r="S25" i="1"/>
  <c r="S26" i="1"/>
  <c r="S27" i="1"/>
  <c r="S28" i="1"/>
  <c r="S29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7" i="1"/>
  <c r="S50" i="1"/>
  <c r="S51" i="1"/>
  <c r="S52" i="1"/>
  <c r="S55" i="1"/>
  <c r="S57" i="1"/>
  <c r="S58" i="1"/>
  <c r="S60" i="1"/>
  <c r="S61" i="1"/>
  <c r="S62" i="1"/>
  <c r="S65" i="1"/>
  <c r="S66" i="1"/>
  <c r="S67" i="1"/>
  <c r="S68" i="1"/>
  <c r="S71" i="1"/>
  <c r="S73" i="1"/>
  <c r="S78" i="1"/>
  <c r="S82" i="1"/>
  <c r="S85" i="1"/>
  <c r="S86" i="1"/>
  <c r="S89" i="1"/>
  <c r="S92" i="1"/>
  <c r="S94" i="1"/>
  <c r="S95" i="1"/>
  <c r="S98" i="1"/>
  <c r="S100" i="1"/>
  <c r="S101" i="1"/>
  <c r="S102" i="1"/>
  <c r="S105" i="1"/>
  <c r="S106" i="1"/>
  <c r="S107" i="1"/>
  <c r="S109" i="1"/>
  <c r="S110" i="1"/>
  <c r="S111" i="1"/>
  <c r="S112" i="1"/>
  <c r="S114" i="1"/>
  <c r="S115" i="1"/>
  <c r="S117" i="1"/>
  <c r="S124" i="1"/>
  <c r="S125" i="1"/>
  <c r="S131" i="1"/>
  <c r="S133" i="1"/>
  <c r="S135" i="1"/>
  <c r="S136" i="1"/>
  <c r="S140" i="1"/>
  <c r="S141" i="1"/>
  <c r="S142" i="1"/>
  <c r="S145" i="1"/>
  <c r="S147" i="1"/>
  <c r="S149" i="1"/>
  <c r="S152" i="1"/>
  <c r="S153" i="1"/>
  <c r="S154" i="1"/>
  <c r="S160" i="1"/>
  <c r="S162" i="1"/>
  <c r="S164" i="1"/>
  <c r="S165" i="1"/>
  <c r="S167" i="1"/>
  <c r="S169" i="1"/>
  <c r="S170" i="1"/>
  <c r="S172" i="1"/>
  <c r="S173" i="1"/>
  <c r="S174" i="1"/>
  <c r="S176" i="1"/>
  <c r="S177" i="1"/>
  <c r="S179" i="1"/>
  <c r="S180" i="1"/>
  <c r="S181" i="1"/>
  <c r="S183" i="1"/>
  <c r="S186" i="1"/>
  <c r="S188" i="1"/>
  <c r="S190" i="1"/>
  <c r="S192" i="1"/>
  <c r="S196" i="1"/>
  <c r="S198" i="1"/>
  <c r="S199" i="1"/>
  <c r="S202" i="1"/>
  <c r="S203" i="1"/>
  <c r="S204" i="1"/>
  <c r="R33" i="1"/>
  <c r="S161" i="1"/>
  <c r="R115" i="1"/>
  <c r="R119" i="1"/>
  <c r="R180" i="1"/>
  <c r="R78" i="1"/>
  <c r="R26" i="1"/>
  <c r="R117" i="1"/>
  <c r="R87" i="1"/>
  <c r="R141" i="1"/>
  <c r="R100" i="1"/>
  <c r="R101" i="1"/>
  <c r="R160" i="1"/>
  <c r="R97" i="1"/>
  <c r="R107" i="1"/>
  <c r="R167" i="1"/>
  <c r="R136" i="1"/>
  <c r="R147" i="1"/>
  <c r="R30" i="1"/>
  <c r="S63" i="1"/>
  <c r="R102" i="1"/>
  <c r="R108" i="1"/>
  <c r="S123" i="1"/>
  <c r="R176" i="1"/>
  <c r="S118" i="1"/>
  <c r="S104" i="1"/>
  <c r="S185" i="1"/>
  <c r="R137" i="1"/>
  <c r="R171" i="1"/>
  <c r="S143" i="1"/>
  <c r="S144" i="1"/>
  <c r="R178" i="1"/>
  <c r="S96" i="1"/>
  <c r="S151" i="1"/>
  <c r="R177" i="1"/>
  <c r="R82" i="1"/>
  <c r="R190" i="1"/>
  <c r="R188" i="1"/>
  <c r="R124" i="1"/>
  <c r="R135" i="1"/>
  <c r="R145" i="1"/>
  <c r="R172" i="1"/>
  <c r="S191" i="1"/>
  <c r="S91" i="1"/>
  <c r="R120" i="1"/>
  <c r="R184" i="1"/>
  <c r="S194" i="1"/>
  <c r="R27" i="1"/>
  <c r="R51" i="1"/>
  <c r="R52" i="1"/>
  <c r="R62" i="1"/>
  <c r="R80" i="1"/>
  <c r="R85" i="1"/>
  <c r="R92" i="1"/>
  <c r="R93" i="1"/>
  <c r="R142" i="1"/>
  <c r="R164" i="1"/>
  <c r="R165" i="1"/>
  <c r="R174" i="1"/>
  <c r="R202" i="1"/>
  <c r="R170" i="1"/>
  <c r="R111" i="1"/>
  <c r="R152" i="1"/>
  <c r="R58" i="1"/>
  <c r="R64" i="1"/>
  <c r="R89" i="1"/>
  <c r="R169" i="1"/>
  <c r="R32" i="1"/>
  <c r="R125" i="1"/>
  <c r="R131" i="1"/>
  <c r="R204" i="1"/>
  <c r="R112" i="1"/>
  <c r="S189" i="1"/>
  <c r="S159" i="1"/>
  <c r="S134" i="1"/>
  <c r="S88" i="1"/>
  <c r="S205" i="1"/>
  <c r="S163" i="1"/>
  <c r="S56" i="1"/>
  <c r="S53" i="1"/>
  <c r="S19" i="1"/>
  <c r="S21" i="1"/>
  <c r="S83" i="1"/>
  <c r="S138" i="1"/>
  <c r="S74" i="1"/>
  <c r="S81" i="1"/>
  <c r="R140" i="1"/>
  <c r="R25" i="1"/>
  <c r="R133" i="1"/>
  <c r="S132" i="1" l="1"/>
  <c r="S121" i="1"/>
  <c r="S84" i="1"/>
  <c r="S72" i="1"/>
  <c r="S127" i="1"/>
  <c r="S146" i="1"/>
  <c r="S126" i="1"/>
  <c r="S54" i="1"/>
  <c r="S90" i="1"/>
  <c r="S108" i="1"/>
  <c r="S130" i="1"/>
  <c r="R156" i="1"/>
  <c r="S113" i="1"/>
  <c r="S158" i="1"/>
  <c r="S175" i="1"/>
  <c r="S168" i="1"/>
  <c r="S97" i="1"/>
  <c r="S171" i="1"/>
  <c r="S201" i="1"/>
  <c r="S178" i="1"/>
  <c r="S87" i="1"/>
  <c r="S184" i="1"/>
  <c r="S137" i="1"/>
  <c r="S30" i="1"/>
  <c r="S120" i="1"/>
  <c r="S119" i="1"/>
  <c r="S197" i="1"/>
  <c r="R161" i="1"/>
  <c r="R175" i="1"/>
  <c r="J12" i="1"/>
  <c r="R151" i="1"/>
  <c r="R143" i="1"/>
  <c r="R144" i="1"/>
  <c r="R123" i="1"/>
  <c r="R205" i="1"/>
  <c r="R83" i="1"/>
  <c r="R53" i="1"/>
  <c r="R88" i="1"/>
  <c r="R146" i="1"/>
  <c r="R197" i="1"/>
  <c r="R159" i="1"/>
  <c r="R162" i="1"/>
  <c r="R21" i="1"/>
  <c r="R90" i="1"/>
  <c r="R43" i="1"/>
  <c r="R42" i="1"/>
  <c r="R41" i="1"/>
  <c r="R68" i="1"/>
  <c r="R134" i="1"/>
  <c r="R132" i="1"/>
  <c r="R189" i="1"/>
  <c r="R121" i="1"/>
  <c r="R71" i="1"/>
  <c r="R130" i="1"/>
  <c r="R72" i="1"/>
  <c r="R113" i="1"/>
  <c r="R106" i="1"/>
  <c r="R138" i="1"/>
  <c r="S75" i="1"/>
  <c r="S193" i="1"/>
  <c r="S103" i="1"/>
  <c r="S129" i="1"/>
  <c r="R17" i="1"/>
  <c r="R39" i="1"/>
  <c r="R40" i="1"/>
  <c r="R44" i="1"/>
  <c r="R49" i="1"/>
  <c r="R54" i="1"/>
  <c r="R56" i="1"/>
  <c r="R60" i="1"/>
  <c r="R65" i="1"/>
  <c r="R86" i="1"/>
  <c r="R104" i="1"/>
  <c r="R168" i="1"/>
  <c r="R179" i="1"/>
  <c r="R182" i="1"/>
  <c r="R186" i="1"/>
  <c r="R191" i="1"/>
  <c r="R198" i="1"/>
  <c r="R201" i="1"/>
  <c r="R199" i="1"/>
  <c r="R109" i="1"/>
  <c r="S195" i="1"/>
  <c r="S200" i="1"/>
  <c r="R84" i="1"/>
  <c r="S122" i="1"/>
  <c r="R81" i="1"/>
  <c r="R11" i="1"/>
  <c r="R194" i="1"/>
  <c r="R91" i="1"/>
  <c r="D212" i="1"/>
  <c r="R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D206" i="1"/>
  <c r="R192" i="1"/>
  <c r="R181" i="1"/>
  <c r="R185" i="1"/>
  <c r="R183" i="1"/>
  <c r="R154" i="1"/>
  <c r="R173" i="1"/>
  <c r="R153" i="1"/>
  <c r="R149" i="1"/>
  <c r="R105" i="1"/>
  <c r="R110" i="1"/>
  <c r="R94" i="1"/>
  <c r="R67" i="1"/>
  <c r="R66" i="1"/>
  <c r="R73" i="1"/>
  <c r="R63" i="1"/>
  <c r="R61" i="1"/>
  <c r="R59" i="1"/>
  <c r="R57" i="1"/>
  <c r="R55" i="1"/>
  <c r="R48" i="1"/>
  <c r="R47" i="1"/>
  <c r="R45" i="1"/>
  <c r="R38" i="1"/>
  <c r="R36" i="1"/>
  <c r="R35" i="1"/>
  <c r="R34" i="1"/>
  <c r="R29" i="1"/>
  <c r="R28" i="1"/>
  <c r="R24" i="1"/>
  <c r="R22" i="1"/>
  <c r="R19" i="1"/>
  <c r="R18" i="1"/>
  <c r="P12" i="1"/>
  <c r="N12" i="1"/>
  <c r="L12" i="1"/>
  <c r="K12" i="1"/>
  <c r="I12" i="1"/>
  <c r="H12" i="1"/>
  <c r="D12" i="1"/>
  <c r="D5" i="1"/>
  <c r="D13" i="1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P1" i="1"/>
  <c r="O1" i="1"/>
  <c r="N1" i="1"/>
  <c r="M1" i="1"/>
  <c r="L1" i="1"/>
  <c r="K1" i="1"/>
  <c r="J1" i="1"/>
  <c r="I1" i="1"/>
  <c r="H1" i="1"/>
  <c r="G1" i="1"/>
  <c r="F1" i="1"/>
  <c r="E1" i="1"/>
  <c r="S128" i="1" l="1"/>
  <c r="S69" i="1"/>
  <c r="S70" i="1"/>
  <c r="R76" i="1"/>
  <c r="S76" i="1"/>
  <c r="R187" i="1"/>
  <c r="S187" i="1"/>
  <c r="S77" i="1"/>
  <c r="R23" i="1"/>
  <c r="S23" i="1"/>
  <c r="R79" i="1"/>
  <c r="S79" i="1"/>
  <c r="R129" i="1"/>
  <c r="R103" i="1"/>
  <c r="R118" i="1"/>
  <c r="E12" i="1"/>
  <c r="R77" i="1"/>
  <c r="R10" i="1"/>
  <c r="G12" i="1"/>
  <c r="R75" i="1"/>
  <c r="F12" i="1"/>
  <c r="D214" i="1"/>
  <c r="E13" i="1" s="1"/>
  <c r="K206" i="1"/>
  <c r="O212" i="1"/>
  <c r="J206" i="1"/>
  <c r="R163" i="1"/>
  <c r="F206" i="1"/>
  <c r="P206" i="1"/>
  <c r="J212" i="1"/>
  <c r="R69" i="1"/>
  <c r="K212" i="1"/>
  <c r="E212" i="1"/>
  <c r="O206" i="1"/>
  <c r="R9" i="1"/>
  <c r="R50" i="1"/>
  <c r="R70" i="1"/>
  <c r="F212" i="1"/>
  <c r="N212" i="1"/>
  <c r="P212" i="1"/>
  <c r="E206" i="1"/>
  <c r="N206" i="1"/>
  <c r="R12" i="1" l="1"/>
  <c r="E214" i="1"/>
  <c r="F5" i="1" l="1"/>
  <c r="F4" i="1"/>
  <c r="F13" i="1" l="1"/>
  <c r="F214" i="1" s="1"/>
  <c r="G5" i="1" s="1"/>
  <c r="G4" i="1" l="1"/>
  <c r="G13" i="1" s="1"/>
  <c r="G212" i="1"/>
  <c r="R74" i="1"/>
  <c r="G206" i="1"/>
  <c r="G214" i="1" l="1"/>
  <c r="H5" i="1" s="1"/>
  <c r="H4" i="1" l="1"/>
  <c r="H13" i="1" s="1"/>
  <c r="I212" i="1" l="1"/>
  <c r="I206" i="1"/>
  <c r="H212" i="1"/>
  <c r="H214" i="1" s="1"/>
  <c r="R37" i="1"/>
  <c r="H206" i="1"/>
  <c r="I5" i="1" l="1"/>
  <c r="I4" i="1"/>
  <c r="I13" i="1" l="1"/>
  <c r="I214" i="1" s="1"/>
  <c r="J4" i="1" l="1"/>
  <c r="J13" i="1" s="1"/>
  <c r="J214" i="1" s="1"/>
  <c r="J5" i="1"/>
  <c r="K5" i="1" l="1"/>
  <c r="K4" i="1"/>
  <c r="K13" i="1" s="1"/>
  <c r="K214" i="1" s="1"/>
  <c r="L4" i="1" l="1"/>
  <c r="L13" i="1" s="1"/>
  <c r="L5" i="1"/>
  <c r="L212" i="1"/>
  <c r="R126" i="1"/>
  <c r="L206" i="1"/>
  <c r="L214" i="1" l="1"/>
  <c r="M4" i="1" s="1"/>
  <c r="M13" i="1" s="1"/>
  <c r="M5" i="1" l="1"/>
  <c r="M212" i="1"/>
  <c r="M214" i="1" s="1"/>
  <c r="R139" i="1"/>
  <c r="R212" i="1" s="1"/>
  <c r="R206" i="1"/>
  <c r="M206" i="1"/>
  <c r="S139" i="1"/>
  <c r="N5" i="1" l="1"/>
  <c r="N4" i="1"/>
  <c r="N13" i="1" s="1"/>
  <c r="N214" i="1" s="1"/>
  <c r="O4" i="1" l="1"/>
  <c r="O13" i="1" s="1"/>
  <c r="O214" i="1" s="1"/>
  <c r="O5" i="1"/>
  <c r="P5" i="1" l="1"/>
  <c r="R5" i="1" s="1"/>
  <c r="P4" i="1"/>
  <c r="P13" i="1" l="1"/>
  <c r="P214" i="1" s="1"/>
  <c r="R4" i="1"/>
  <c r="R13" i="1" s="1"/>
  <c r="R2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Marie-Julie Roulin</author>
    <author>Randa Ben Saada</author>
  </authors>
  <commentList>
    <comment ref="G11" authorId="0" shapeId="0" xr:uid="{9902578C-FB91-4C3B-98F6-A437D7CB95DC}">
      <text>
        <r>
          <rPr>
            <b/>
            <sz val="9"/>
            <color indexed="81"/>
            <rFont val="Tahoma"/>
            <family val="2"/>
          </rPr>
          <t>Marie-Julie Roulin:</t>
        </r>
        <r>
          <rPr>
            <sz val="9"/>
            <color indexed="81"/>
            <rFont val="Tahoma"/>
            <family val="2"/>
          </rPr>
          <t xml:space="preserve">
remboursement MANO MANO</t>
        </r>
      </text>
    </comment>
    <comment ref="H11" authorId="0" shapeId="0" xr:uid="{7848D4A4-F986-49D6-A128-71A92AF576D4}">
      <text>
        <r>
          <rPr>
            <b/>
            <sz val="9"/>
            <color indexed="81"/>
            <rFont val="Tahoma"/>
            <family val="2"/>
          </rPr>
          <t>Marie-Julie Roulin:</t>
        </r>
        <r>
          <rPr>
            <sz val="9"/>
            <color indexed="81"/>
            <rFont val="Tahoma"/>
            <family val="2"/>
          </rPr>
          <t xml:space="preserve">
1226,46=rembousement bnp lease
186 = annulation frais bancaire
le reste remboursement secu</t>
        </r>
      </text>
    </comment>
    <comment ref="J11" authorId="0" shapeId="0" xr:uid="{00A86682-25A5-4CD1-8B75-204B08629224}">
      <text>
        <r>
          <rPr>
            <b/>
            <sz val="9"/>
            <color indexed="81"/>
            <rFont val="Tahoma"/>
            <charset val="1"/>
          </rPr>
          <t>Marie-Julie Roulin:</t>
        </r>
        <r>
          <rPr>
            <sz val="9"/>
            <color indexed="81"/>
            <rFont val="Tahoma"/>
            <charset val="1"/>
          </rPr>
          <t xml:space="preserve">
2*30 000€ remboursement tva
13711 €
remboursement azur metal</t>
        </r>
      </text>
    </comment>
    <comment ref="F13" authorId="0" shapeId="0" xr:uid="{2D1E3F48-FB4F-4325-A4A7-B79F466B1FC1}">
      <text>
        <r>
          <rPr>
            <b/>
            <sz val="9"/>
            <color rgb="FF000000"/>
            <rFont val="Tahoma"/>
            <family val="2"/>
          </rPr>
          <t>Marie-Julie Roulin: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0,50 en moin d ecart </t>
        </r>
      </text>
    </comment>
    <comment ref="B49" authorId="1" shapeId="0" xr:uid="{B676CEB5-507F-406C-90FA-7F73201F3C6D}">
      <text>
        <r>
          <rPr>
            <b/>
            <sz val="9"/>
            <color indexed="81"/>
            <rFont val="Tahoma"/>
            <family val="2"/>
          </rPr>
          <t>Randa Ben Saada:</t>
        </r>
        <r>
          <rPr>
            <sz val="9"/>
            <color indexed="81"/>
            <rFont val="Tahoma"/>
            <family val="2"/>
          </rPr>
          <t xml:space="preserve">
645 : urssaf caisses mutuelles
631 : impot 
taxe et versement assimilé sur remunération 
</t>
        </r>
      </text>
    </comment>
    <comment ref="F58" authorId="0" shapeId="0" xr:uid="{10285327-AF9C-441B-A273-41419DFF6278}">
      <text>
        <r>
          <rPr>
            <b/>
            <sz val="9"/>
            <color rgb="FF000000"/>
            <rFont val="Tahoma"/>
            <family val="2"/>
          </rPr>
          <t>Marie-Julie Roulin: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TAXE D APPRENTISSAGE
</t>
        </r>
      </text>
    </comment>
    <comment ref="G58" authorId="0" shapeId="0" xr:uid="{C3DE728E-7142-4194-B8ED-BC33FA31A011}">
      <text>
        <r>
          <rPr>
            <b/>
            <sz val="9"/>
            <color indexed="81"/>
            <rFont val="Tahoma"/>
            <family val="2"/>
          </rPr>
          <t>Marie-Julie Roulin:</t>
        </r>
        <r>
          <rPr>
            <sz val="9"/>
            <color indexed="81"/>
            <rFont val="Tahoma"/>
            <family val="2"/>
          </rPr>
          <t xml:space="preserve">
TAXE D APPRENTISSAGE</t>
        </r>
      </text>
    </comment>
    <comment ref="B64" authorId="1" shapeId="0" xr:uid="{575D2534-AF0C-4A3A-81D9-7F7EBFF839B2}">
      <text>
        <r>
          <rPr>
            <b/>
            <sz val="9"/>
            <color indexed="81"/>
            <rFont val="Tahoma"/>
            <family val="2"/>
          </rPr>
          <t>Randa Ben Saada:</t>
        </r>
        <r>
          <rPr>
            <sz val="9"/>
            <color indexed="81"/>
            <rFont val="Tahoma"/>
            <family val="2"/>
          </rPr>
          <t xml:space="preserve">
conbustiles
produit entretien 
Fournitures de magasin</t>
        </r>
      </text>
    </comment>
    <comment ref="E81" authorId="0" shapeId="0" xr:uid="{76123522-1372-4242-A2FA-121AB326BE2C}">
      <text>
        <r>
          <rPr>
            <b/>
            <sz val="9"/>
            <color indexed="81"/>
            <rFont val="Tahoma"/>
            <family val="2"/>
          </rPr>
          <t>Marie-Julie Roulin:</t>
        </r>
        <r>
          <rPr>
            <sz val="9"/>
            <color indexed="81"/>
            <rFont val="Tahoma"/>
            <family val="2"/>
          </rPr>
          <t xml:space="preserve">
juritravail
</t>
        </r>
      </text>
    </comment>
    <comment ref="E83" authorId="0" shapeId="0" xr:uid="{0D7D282E-D802-4754-B164-59D737042D50}">
      <text>
        <r>
          <rPr>
            <b/>
            <sz val="9"/>
            <color indexed="81"/>
            <rFont val="Tahoma"/>
            <family val="2"/>
          </rPr>
          <t>Marie-Julie Roulin:</t>
        </r>
        <r>
          <rPr>
            <sz val="9"/>
            <color indexed="81"/>
            <rFont val="Tahoma"/>
            <family val="2"/>
          </rPr>
          <t xml:space="preserve">
we transfert</t>
        </r>
      </text>
    </comment>
    <comment ref="G83" authorId="0" shapeId="0" xr:uid="{7EA05EE8-C764-40C1-8049-BA05AA3508D7}">
      <text>
        <r>
          <rPr>
            <b/>
            <sz val="9"/>
            <color indexed="81"/>
            <rFont val="Tahoma"/>
            <family val="2"/>
          </rPr>
          <t>Marie-Julie Roulin:</t>
        </r>
        <r>
          <rPr>
            <sz val="9"/>
            <color indexed="81"/>
            <rFont val="Tahoma"/>
            <family val="2"/>
          </rPr>
          <t xml:space="preserve">
AUTODESK : 480
MIVROSOFT :99
</t>
        </r>
      </text>
    </comment>
    <comment ref="B93" authorId="1" shapeId="0" xr:uid="{4798FE07-3EA5-4BFF-8698-823BBFFBC9C5}">
      <text>
        <r>
          <rPr>
            <b/>
            <sz val="9"/>
            <color indexed="81"/>
            <rFont val="Tahoma"/>
            <family val="2"/>
          </rPr>
          <t>Randa Ben Saada:</t>
        </r>
        <r>
          <rPr>
            <sz val="9"/>
            <color indexed="81"/>
            <rFont val="Tahoma"/>
            <family val="2"/>
          </rPr>
          <t xml:space="preserve">
conbustiles
produit entretien 
Fournitures de magasin</t>
        </r>
      </text>
    </comment>
    <comment ref="E96" authorId="0" shapeId="0" xr:uid="{875656DB-AA9E-4B7C-9D9C-F6D6D9B30BCF}">
      <text>
        <r>
          <rPr>
            <b/>
            <sz val="9"/>
            <color indexed="81"/>
            <rFont val="Tahoma"/>
            <family val="2"/>
          </rPr>
          <t>Marie-Julie Roulin:</t>
        </r>
        <r>
          <rPr>
            <sz val="9"/>
            <color indexed="81"/>
            <rFont val="Tahoma"/>
            <family val="2"/>
          </rPr>
          <t xml:space="preserve">
8200 pena pavage</t>
        </r>
      </text>
    </comment>
    <comment ref="B113" authorId="1" shapeId="0" xr:uid="{D60B192A-7065-4B07-A6E1-126CA4D55153}">
      <text>
        <r>
          <rPr>
            <b/>
            <sz val="9"/>
            <color indexed="81"/>
            <rFont val="Tahoma"/>
            <family val="2"/>
          </rPr>
          <t>Randa Ben Saada:</t>
        </r>
        <r>
          <rPr>
            <sz val="9"/>
            <color indexed="81"/>
            <rFont val="Tahoma"/>
            <family val="2"/>
          </rPr>
          <t xml:space="preserve">
compte - 6211</t>
        </r>
      </text>
    </comment>
    <comment ref="F124" authorId="0" shapeId="0" xr:uid="{514D3FC8-BF5B-42F8-81AC-986723FCACF7}">
      <text>
        <r>
          <rPr>
            <b/>
            <sz val="9"/>
            <color rgb="FF000000"/>
            <rFont val="Tahoma"/>
            <family val="2"/>
          </rPr>
          <t>Marie-Julie Roulin: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jauffret : 381,78
</t>
        </r>
      </text>
    </comment>
    <comment ref="G124" authorId="0" shapeId="0" xr:uid="{8E52BC45-5CD1-47EB-A9E8-07F82DCC4DE0}">
      <text>
        <r>
          <rPr>
            <b/>
            <sz val="9"/>
            <color indexed="81"/>
            <rFont val="Tahoma"/>
            <family val="2"/>
          </rPr>
          <t>Marie-Julie Roulin:</t>
        </r>
        <r>
          <rPr>
            <sz val="9"/>
            <color indexed="81"/>
            <rFont val="Tahoma"/>
            <family val="2"/>
          </rPr>
          <t xml:space="preserve">
JEAUFFRET :886</t>
        </r>
      </text>
    </comment>
    <comment ref="H124" authorId="0" shapeId="0" xr:uid="{1E62220C-342E-49F6-843D-0E61440E934B}">
      <text>
        <r>
          <rPr>
            <b/>
            <sz val="9"/>
            <color indexed="81"/>
            <rFont val="Tahoma"/>
            <family val="2"/>
          </rPr>
          <t>Marie-Julie Roulin:</t>
        </r>
        <r>
          <rPr>
            <sz val="9"/>
            <color indexed="81"/>
            <rFont val="Tahoma"/>
            <family val="2"/>
          </rPr>
          <t xml:space="preserve">
1202,5 = jauffret
</t>
        </r>
      </text>
    </comment>
    <comment ref="E136" authorId="0" shapeId="0" xr:uid="{2189AF38-96B5-4D9B-AE97-D8FD11B09CC5}">
      <text>
        <r>
          <rPr>
            <b/>
            <sz val="9"/>
            <color indexed="81"/>
            <rFont val="Tahoma"/>
            <family val="2"/>
          </rPr>
          <t>Marie-Julie Roulin:</t>
        </r>
        <r>
          <rPr>
            <sz val="9"/>
            <color indexed="81"/>
            <rFont val="Tahoma"/>
            <family val="2"/>
          </rPr>
          <t xml:space="preserve">
CARRELAGE SG lilinni
</t>
        </r>
      </text>
    </comment>
    <comment ref="F142" authorId="0" shapeId="0" xr:uid="{3E9DE08C-1B88-42BF-BF40-CF9CA9D593FE}">
      <text>
        <r>
          <rPr>
            <b/>
            <sz val="9"/>
            <color rgb="FF000000"/>
            <rFont val="Tahoma"/>
            <family val="2"/>
          </rPr>
          <t>Marie-Julie Roulin: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bricoman : 13,55
</t>
        </r>
      </text>
    </comment>
    <comment ref="E168" authorId="0" shapeId="0" xr:uid="{7E28F5BA-FE74-444A-9769-80C41CF48392}">
      <text>
        <r>
          <rPr>
            <b/>
            <sz val="9"/>
            <color indexed="81"/>
            <rFont val="Tahoma"/>
            <family val="2"/>
          </rPr>
          <t>Marie-Julie Roulin:</t>
        </r>
        <r>
          <rPr>
            <sz val="9"/>
            <color indexed="81"/>
            <rFont val="Tahoma"/>
            <family val="2"/>
          </rPr>
          <t xml:space="preserve">
chq 2000€ ???
600€ LEE rosebay
410,54 PLOMBERIE</t>
        </r>
      </text>
    </comment>
    <comment ref="F168" authorId="0" shapeId="0" xr:uid="{8510398C-0355-4531-A6E6-19B64C8CE051}">
      <text>
        <r>
          <rPr>
            <b/>
            <sz val="9"/>
            <color rgb="FF000000"/>
            <rFont val="Tahoma"/>
            <family val="2"/>
          </rPr>
          <t>Marie-Julie Roulin: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machine café : 40,66
</t>
        </r>
        <r>
          <rPr>
            <sz val="9"/>
            <color rgb="FF000000"/>
            <rFont val="Tahoma"/>
            <family val="2"/>
          </rPr>
          <t xml:space="preserve">dlm : 1393,52
</t>
        </r>
        <r>
          <rPr>
            <sz val="9"/>
            <color rgb="FF000000"/>
            <rFont val="Tahoma"/>
            <family val="2"/>
          </rPr>
          <t xml:space="preserve">mano mano : 457,05
</t>
        </r>
        <r>
          <rPr>
            <sz val="9"/>
            <color rgb="FF000000"/>
            <rFont val="Tahoma"/>
            <family val="2"/>
          </rPr>
          <t xml:space="preserve">BLP CONCEPT : 1380
</t>
        </r>
      </text>
    </comment>
    <comment ref="G168" authorId="0" shapeId="0" xr:uid="{0D6D4004-481A-49C4-AD32-7FAD27625CFE}">
      <text>
        <r>
          <rPr>
            <b/>
            <sz val="9"/>
            <color indexed="81"/>
            <rFont val="Tahoma"/>
            <family val="2"/>
          </rPr>
          <t>Marie-Julie Roulin:</t>
        </r>
        <r>
          <rPr>
            <sz val="9"/>
            <color indexed="81"/>
            <rFont val="Tahoma"/>
            <family val="2"/>
          </rPr>
          <t xml:space="preserve">
PUM :213,61
</t>
        </r>
      </text>
    </comment>
    <comment ref="J168" authorId="0" shapeId="0" xr:uid="{12154F97-1E6E-4C62-BF18-5A43F5DE6692}">
      <text>
        <r>
          <rPr>
            <b/>
            <sz val="9"/>
            <color indexed="81"/>
            <rFont val="Tahoma"/>
            <charset val="1"/>
          </rPr>
          <t>Marie-Julie Roulin:</t>
        </r>
        <r>
          <rPr>
            <sz val="9"/>
            <color indexed="81"/>
            <rFont val="Tahoma"/>
            <charset val="1"/>
          </rPr>
          <t xml:space="preserve">
vir GMF : degat voiture villa d auree</t>
        </r>
      </text>
    </comment>
    <comment ref="F180" authorId="0" shapeId="0" xr:uid="{7E64489D-43EB-4B30-BEE9-1BC180A6E745}">
      <text>
        <r>
          <rPr>
            <b/>
            <sz val="9"/>
            <color rgb="FF000000"/>
            <rFont val="Tahoma"/>
            <family val="2"/>
          </rPr>
          <t>Marie-Julie Roulin: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declerck menage : 144,96
</t>
        </r>
      </text>
    </comment>
    <comment ref="E187" authorId="0" shapeId="0" xr:uid="{71A6499E-9354-44B5-BA60-E74AFFBF42C4}">
      <text>
        <r>
          <rPr>
            <b/>
            <sz val="9"/>
            <color rgb="FF000000"/>
            <rFont val="Tahoma"/>
            <family val="2"/>
          </rPr>
          <t>Marie-Julie Roulin: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31,15€DMTP
</t>
        </r>
        <r>
          <rPr>
            <sz val="9"/>
            <color rgb="FF000000"/>
            <rFont val="Tahoma"/>
            <family val="2"/>
          </rPr>
          <t xml:space="preserve">280,01€ IZ SOLUTY
</t>
        </r>
        <r>
          <rPr>
            <sz val="9"/>
            <color rgb="FF000000"/>
            <rFont val="Tahoma"/>
            <family val="2"/>
          </rPr>
          <t xml:space="preserve">86,4 JAUFFRET
</t>
        </r>
        <r>
          <rPr>
            <sz val="9"/>
            <color rgb="FF000000"/>
            <rFont val="Tahoma"/>
            <family val="2"/>
          </rPr>
          <t xml:space="preserve">CHQ 2200 ???
</t>
        </r>
        <r>
          <rPr>
            <sz val="9"/>
            <color rgb="FF000000"/>
            <rFont val="Tahoma"/>
            <family val="2"/>
          </rPr>
          <t xml:space="preserve">CHQ 1560 ???
</t>
        </r>
      </text>
    </comment>
    <comment ref="F187" authorId="0" shapeId="0" xr:uid="{D1B79210-1F45-41D4-AE85-913A211CB60E}">
      <text>
        <r>
          <rPr>
            <b/>
            <sz val="9"/>
            <color rgb="FF000000"/>
            <rFont val="Tahoma"/>
            <family val="2"/>
          </rPr>
          <t>Marie-Julie Roulin: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ztl soluty : 280,01
</t>
        </r>
        <r>
          <rPr>
            <sz val="9"/>
            <color rgb="FF000000"/>
            <rFont val="Tahoma"/>
            <family val="2"/>
          </rPr>
          <t xml:space="preserve">1596 : sefab
</t>
        </r>
        <r>
          <rPr>
            <sz val="9"/>
            <color rgb="FF000000"/>
            <rFont val="Tahoma"/>
            <family val="2"/>
          </rPr>
          <t>240 : TOPO CENTER</t>
        </r>
      </text>
    </comment>
    <comment ref="G187" authorId="0" shapeId="0" xr:uid="{316D69AE-E47D-45F7-8924-E7D65DAD624E}">
      <text>
        <r>
          <rPr>
            <b/>
            <sz val="9"/>
            <color indexed="81"/>
            <rFont val="Tahoma"/>
            <family val="2"/>
          </rPr>
          <t>Marie-Julie Roulin:</t>
        </r>
        <r>
          <rPr>
            <sz val="9"/>
            <color indexed="81"/>
            <rFont val="Tahoma"/>
            <family val="2"/>
          </rPr>
          <t xml:space="preserve">
EOGEO : 3960
</t>
        </r>
      </text>
    </comment>
    <comment ref="H187" authorId="0" shapeId="0" xr:uid="{F55DB253-26D9-402A-8219-454FD545B2DB}">
      <text>
        <r>
          <rPr>
            <b/>
            <sz val="9"/>
            <color indexed="81"/>
            <rFont val="Tahoma"/>
            <family val="2"/>
          </rPr>
          <t>Marie-Julie Roulin:</t>
        </r>
        <r>
          <rPr>
            <sz val="9"/>
            <color indexed="81"/>
            <rFont val="Tahoma"/>
            <family val="2"/>
          </rPr>
          <t xml:space="preserve">
61,08 = dmtp</t>
        </r>
      </text>
    </comment>
    <comment ref="I187" authorId="0" shapeId="0" xr:uid="{6835A2AC-31EF-4A12-ADC1-5ECAAACFF581}">
      <text>
        <r>
          <rPr>
            <b/>
            <sz val="9"/>
            <color indexed="81"/>
            <rFont val="Tahoma"/>
            <family val="2"/>
          </rPr>
          <t>Marie-Julie Roulin:</t>
        </r>
        <r>
          <rPr>
            <sz val="9"/>
            <color indexed="81"/>
            <rFont val="Tahoma"/>
            <family val="2"/>
          </rPr>
          <t xml:space="preserve">
360 sasu multi travaux </t>
        </r>
      </text>
    </comment>
    <comment ref="J187" authorId="0" shapeId="0" xr:uid="{B600C4AF-1EB3-4F06-811E-7EC0CBFF80A7}">
      <text>
        <r>
          <rPr>
            <b/>
            <sz val="9"/>
            <color indexed="81"/>
            <rFont val="Tahoma"/>
            <family val="2"/>
          </rPr>
          <t>Marie-Julie Roulin:</t>
        </r>
        <r>
          <rPr>
            <sz val="9"/>
            <color indexed="81"/>
            <rFont val="Tahoma"/>
            <family val="2"/>
          </rPr>
          <t xml:space="preserve">
CARF = 2000€
CARTE VISITE = 577,8
3000€ CHQ INCONNU
CHQ 3250€ ?????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Randa Ben Saada</author>
  </authors>
  <commentList>
    <comment ref="A2" authorId="0" shapeId="0" xr:uid="{D77331FA-749F-4E72-A6BC-3629FF3AA276}">
      <text>
        <r>
          <rPr>
            <b/>
            <sz val="9"/>
            <color indexed="81"/>
            <rFont val="Tahoma"/>
            <family val="2"/>
          </rPr>
          <t>Randa Ben Saada: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Marie-Julie Roulin</author>
  </authors>
  <commentList>
    <comment ref="B30" authorId="0" shapeId="0" xr:uid="{40C02BCE-D9D6-4173-9776-A81140316468}">
      <text>
        <r>
          <rPr>
            <b/>
            <sz val="9"/>
            <color indexed="81"/>
            <rFont val="Tahoma"/>
            <family val="2"/>
          </rPr>
          <t>Marie-Julie Roulin:</t>
        </r>
        <r>
          <rPr>
            <sz val="9"/>
            <color indexed="81"/>
            <rFont val="Tahoma"/>
            <family val="2"/>
          </rPr>
          <t xml:space="preserve">
PAIEMENT EN PLUSIEURS FOIS,
KAMAL DOIT ANNULER CETTE LCR , A VERIFIER</t>
        </r>
      </text>
    </comment>
    <comment ref="D74" authorId="0" shapeId="0" xr:uid="{7DC6BD09-1538-4F22-865B-91E3564C2CDA}">
      <text>
        <r>
          <rPr>
            <b/>
            <sz val="9"/>
            <color indexed="81"/>
            <rFont val="Tahoma"/>
            <family val="2"/>
          </rPr>
          <t>Marie-Julie Roulin:</t>
        </r>
        <r>
          <rPr>
            <sz val="9"/>
            <color indexed="81"/>
            <rFont val="Tahoma"/>
            <family val="2"/>
          </rPr>
          <t xml:space="preserve">
ATTENTION AVOIR DE 825,62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Marie-Julie Roulin</author>
  </authors>
  <commentList>
    <comment ref="D74" authorId="0" shapeId="0" xr:uid="{6E7E1920-2886-489E-894A-2BB4894A3BF6}">
      <text>
        <r>
          <rPr>
            <b/>
            <sz val="9"/>
            <color indexed="81"/>
            <rFont val="Tahoma"/>
            <family val="2"/>
          </rPr>
          <t>Marie-Julie Roulin:</t>
        </r>
        <r>
          <rPr>
            <sz val="9"/>
            <color indexed="81"/>
            <rFont val="Tahoma"/>
            <family val="2"/>
          </rPr>
          <t xml:space="preserve">
UN AVOIR DE CE MONTANT SERA ENVOYE POUR FACTURE D AVRIL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Marie-Julie Roulin</author>
  </authors>
  <commentList>
    <comment ref="D73" authorId="0" shapeId="0" xr:uid="{68D45ED9-799A-4DC4-8BDA-C1CBC40BA0E8}">
      <text>
        <r>
          <rPr>
            <b/>
            <sz val="9"/>
            <color indexed="81"/>
            <rFont val="Tahoma"/>
            <charset val="1"/>
          </rPr>
          <t>Marie-Julie Roulin:</t>
        </r>
        <r>
          <rPr>
            <sz val="9"/>
            <color indexed="81"/>
            <rFont val="Tahoma"/>
            <charset val="1"/>
          </rPr>
          <t xml:space="preserve">
DERNIER PRELEVEMENT</t>
        </r>
      </text>
    </comment>
    <comment ref="D92" authorId="0" shapeId="0" xr:uid="{797E7E00-66A5-4F78-BD3F-2EF41FAC923F}">
      <text>
        <r>
          <rPr>
            <b/>
            <sz val="9"/>
            <color indexed="81"/>
            <rFont val="Tahoma"/>
            <charset val="1"/>
          </rPr>
          <t>Marie-Julie Roulin:</t>
        </r>
        <r>
          <rPr>
            <sz val="9"/>
            <color indexed="81"/>
            <rFont val="Tahoma"/>
            <charset val="1"/>
          </rPr>
          <t xml:space="preserve">
10000€ DÉJÀ REGLE A K RENOV</t>
        </r>
      </text>
    </comment>
  </commentList>
</comments>
</file>

<file path=xl/sharedStrings.xml><?xml version="1.0" encoding="utf-8"?>
<sst xmlns="http://schemas.openxmlformats.org/spreadsheetml/2006/main" count="2333" uniqueCount="925">
  <si>
    <t>Début exercice comptable :</t>
  </si>
  <si>
    <t>(Pré) démarrage</t>
  </si>
  <si>
    <t>Total</t>
  </si>
  <si>
    <t>Estimation</t>
  </si>
  <si>
    <t>Estimation des éléments</t>
  </si>
  <si>
    <t xml:space="preserve">Trésorerie disponible  BP </t>
  </si>
  <si>
    <t xml:space="preserve">Trésorerie TOTAL disponible  </t>
  </si>
  <si>
    <t>Encaissements</t>
  </si>
  <si>
    <t>Virement tréso</t>
  </si>
  <si>
    <t xml:space="preserve">Clients </t>
  </si>
  <si>
    <t>Prêt/Autres apports de trésorerie</t>
  </si>
  <si>
    <t>Total de trésorerie disponible (avant décaissement)</t>
  </si>
  <si>
    <t>Décaissements</t>
  </si>
  <si>
    <t>CHARGES FIXES</t>
  </si>
  <si>
    <t xml:space="preserve">PRÊT </t>
  </si>
  <si>
    <t xml:space="preserve">Echeance </t>
  </si>
  <si>
    <t>Comptabilité et juridique</t>
  </si>
  <si>
    <t>LOCATIONS</t>
  </si>
  <si>
    <t xml:space="preserve">Location - Appart cagnes sur mer </t>
  </si>
  <si>
    <t xml:space="preserve">ASSURANCES </t>
  </si>
  <si>
    <t xml:space="preserve">Decennale &amp; RC </t>
  </si>
  <si>
    <t>Salaires Net Versés</t>
  </si>
  <si>
    <t xml:space="preserve">Charges sociales - PROBTP Retraite </t>
  </si>
  <si>
    <t>Charges sociales - PROBTP CNRO</t>
  </si>
  <si>
    <t xml:space="preserve">Charges sociales - PROBTP Prévoyance </t>
  </si>
  <si>
    <t>Charges sociales - URSSAF</t>
  </si>
  <si>
    <t xml:space="preserve">APRIL </t>
  </si>
  <si>
    <t>CIBTP</t>
  </si>
  <si>
    <t>DGFIP</t>
  </si>
  <si>
    <t>Réparations et entretien</t>
  </si>
  <si>
    <t xml:space="preserve">Gasoil - Total </t>
  </si>
  <si>
    <t>Transport</t>
  </si>
  <si>
    <t xml:space="preserve">Fournitures Bureau - Cadrillage </t>
  </si>
  <si>
    <t xml:space="preserve">Téléphone - FIXE SFR </t>
  </si>
  <si>
    <t xml:space="preserve">Télephone - Mobile </t>
  </si>
  <si>
    <t>EDF - Jean jaurès</t>
  </si>
  <si>
    <t>EDF - Bureau</t>
  </si>
  <si>
    <t>EDF - Cagnes</t>
  </si>
  <si>
    <t xml:space="preserve">AYAZ BAT </t>
  </si>
  <si>
    <t>BH TERRA</t>
  </si>
  <si>
    <t>LUXURY</t>
  </si>
  <si>
    <t xml:space="preserve">SPE - Echaff </t>
  </si>
  <si>
    <t xml:space="preserve">Lafarge Béton </t>
  </si>
  <si>
    <t>Balitrand</t>
  </si>
  <si>
    <t xml:space="preserve">Ciffreo </t>
  </si>
  <si>
    <t xml:space="preserve">RG Matériaux </t>
  </si>
  <si>
    <t xml:space="preserve">Vicat </t>
  </si>
  <si>
    <t xml:space="preserve">Kiloutou </t>
  </si>
  <si>
    <t>Easy Mat</t>
  </si>
  <si>
    <t xml:space="preserve">Divers </t>
  </si>
  <si>
    <t>Bureau études</t>
  </si>
  <si>
    <t>Cavem</t>
  </si>
  <si>
    <t xml:space="preserve">Nettoy vit - Rosebay </t>
  </si>
  <si>
    <t xml:space="preserve">Locapeint </t>
  </si>
  <si>
    <t xml:space="preserve">Armaconcept - Kharroubi </t>
  </si>
  <si>
    <t xml:space="preserve">Boulanger </t>
  </si>
  <si>
    <t xml:space="preserve">DIVERS </t>
  </si>
  <si>
    <t xml:space="preserve">Courses </t>
  </si>
  <si>
    <t xml:space="preserve">Carrefour </t>
  </si>
  <si>
    <t>LIDL</t>
  </si>
  <si>
    <t xml:space="preserve">Azur market </t>
  </si>
  <si>
    <t xml:space="preserve">Korda </t>
  </si>
  <si>
    <t>Décaissements (hors compte de résultat)</t>
  </si>
  <si>
    <t>Total des décaissements</t>
  </si>
  <si>
    <t>Position de trésorerie (fin de mois)</t>
  </si>
  <si>
    <t>Fournitures - Provence Bureautique - Calipage</t>
  </si>
  <si>
    <t xml:space="preserve">Peage - Ulyss - Escota </t>
  </si>
  <si>
    <t xml:space="preserve">LA POSTE </t>
  </si>
  <si>
    <t>Loc'Outillage</t>
  </si>
  <si>
    <t>Photomaton</t>
  </si>
  <si>
    <t>Infogreffe</t>
  </si>
  <si>
    <t>Castorama</t>
  </si>
  <si>
    <t>Marsiglia</t>
  </si>
  <si>
    <t>Bouygue</t>
  </si>
  <si>
    <t>Rent</t>
  </si>
  <si>
    <t>Ouest harmonie</t>
  </si>
  <si>
    <t>Boulangerie</t>
  </si>
  <si>
    <t>Avocat</t>
  </si>
  <si>
    <t>Amende</t>
  </si>
  <si>
    <t>Azur metal</t>
  </si>
  <si>
    <t>Reso</t>
  </si>
  <si>
    <t>Charges sociales - PROBTP -ADP-PRO</t>
  </si>
  <si>
    <t>Bureau vallée</t>
  </si>
  <si>
    <t>Point P</t>
  </si>
  <si>
    <t>Zolpan</t>
  </si>
  <si>
    <t>CMESE</t>
  </si>
  <si>
    <t>Frais virement internet</t>
  </si>
  <si>
    <t>Leroy Merlin</t>
  </si>
  <si>
    <t>Veolia</t>
  </si>
  <si>
    <t>Restaurant</t>
  </si>
  <si>
    <t>Carte Pro Btp</t>
  </si>
  <si>
    <t>Star Graffic</t>
  </si>
  <si>
    <t>AIST</t>
  </si>
  <si>
    <t>Cap couleur</t>
  </si>
  <si>
    <t>Infoburo</t>
  </si>
  <si>
    <t xml:space="preserve">Gaia Location </t>
  </si>
  <si>
    <t>Charges sociales - PROBTP  Formation</t>
  </si>
  <si>
    <t xml:space="preserve">logiciel informatique </t>
  </si>
  <si>
    <t>Adobe</t>
  </si>
  <si>
    <t>Impot</t>
  </si>
  <si>
    <t>Districlos var</t>
  </si>
  <si>
    <t>Catégorie</t>
  </si>
  <si>
    <t>Montant</t>
  </si>
  <si>
    <t>Date d’échéance</t>
  </si>
  <si>
    <t>Date de paiement</t>
  </si>
  <si>
    <t>Terminé</t>
  </si>
  <si>
    <t xml:space="preserve">CHARGES VARIABLES </t>
  </si>
  <si>
    <t xml:space="preserve">Location -  Matériel informatique </t>
  </si>
  <si>
    <t xml:space="preserve">Location - Depot </t>
  </si>
  <si>
    <t>Téléphone - iphone 11 pro max - CHUBB EUROPEEN</t>
  </si>
  <si>
    <t>Achat de marchandises - 607</t>
  </si>
  <si>
    <t>Achat de consommables 602</t>
  </si>
  <si>
    <t>Achat prestation service  &amp; étude 604</t>
  </si>
  <si>
    <t xml:space="preserve">Sous-traitant 604 </t>
  </si>
  <si>
    <t xml:space="preserve">Autres services extérieurs - 621 </t>
  </si>
  <si>
    <t>Matière première  601</t>
  </si>
  <si>
    <t xml:space="preserve">Personnel 641 - 645 -631 </t>
  </si>
  <si>
    <t xml:space="preserve">Publicité 623 </t>
  </si>
  <si>
    <t>Location Immo 6132</t>
  </si>
  <si>
    <t>Action/Gifi</t>
  </si>
  <si>
    <t>Turkish Market /Golf Orient/ Atlas</t>
  </si>
  <si>
    <t>Azur Plomberie</t>
  </si>
  <si>
    <t xml:space="preserve">LCR </t>
  </si>
  <si>
    <t xml:space="preserve">PRELEVEMENT </t>
  </si>
  <si>
    <t xml:space="preserve">A PAYER </t>
  </si>
  <si>
    <t xml:space="preserve">Achats divers </t>
  </si>
  <si>
    <t xml:space="preserve">TOTAL </t>
  </si>
  <si>
    <t>Chausson</t>
  </si>
  <si>
    <t>Sofovar</t>
  </si>
  <si>
    <t>ADI</t>
  </si>
  <si>
    <t>Lafarge granulat</t>
  </si>
  <si>
    <t>Prolians</t>
  </si>
  <si>
    <t>Materiaux</t>
  </si>
  <si>
    <t>Conforama</t>
  </si>
  <si>
    <t>Europavage</t>
  </si>
  <si>
    <t>Cofraloc</t>
  </si>
  <si>
    <t>Rexel</t>
  </si>
  <si>
    <t xml:space="preserve">Formation </t>
  </si>
  <si>
    <t>Manu utilitaire</t>
  </si>
  <si>
    <t xml:space="preserve">VAR INTERIM </t>
  </si>
  <si>
    <t>TOTAL</t>
  </si>
  <si>
    <t>Chantier</t>
  </si>
  <si>
    <t>N°FACTURE</t>
  </si>
  <si>
    <t xml:space="preserve">FOURNISSEURS </t>
  </si>
  <si>
    <t>Weldom</t>
  </si>
  <si>
    <t>STJL transport</t>
  </si>
  <si>
    <t>Mairie CASSIS</t>
  </si>
  <si>
    <t>Cotis platinium</t>
  </si>
  <si>
    <t xml:space="preserve">MONTANT </t>
  </si>
  <si>
    <t>Var Materiaux</t>
  </si>
  <si>
    <t>Terca</t>
  </si>
  <si>
    <t>Lopez tirage</t>
  </si>
  <si>
    <t>Evo nett</t>
  </si>
  <si>
    <t>Electro depot</t>
  </si>
  <si>
    <t>CPA</t>
  </si>
  <si>
    <t>Champeau</t>
  </si>
  <si>
    <t>Huissier</t>
  </si>
  <si>
    <t>Delta azur</t>
  </si>
  <si>
    <t>SPURGIN</t>
  </si>
  <si>
    <t>DEL PISTOIA</t>
  </si>
  <si>
    <t>Juritravfail</t>
  </si>
  <si>
    <t>OSS FACADE</t>
  </si>
  <si>
    <t>Ingenieurie et Structure</t>
  </si>
  <si>
    <t>FFN</t>
  </si>
  <si>
    <t>Cemex</t>
  </si>
  <si>
    <t>K RO Ceramique</t>
  </si>
  <si>
    <t>C C A</t>
  </si>
  <si>
    <t>IL BAT</t>
  </si>
  <si>
    <t>JC MAT</t>
  </si>
  <si>
    <t>KB DESIGN</t>
  </si>
  <si>
    <t>REA BAT</t>
  </si>
  <si>
    <t>Prefa 2000</t>
  </si>
  <si>
    <t>Pic</t>
  </si>
  <si>
    <t>Mediaco</t>
  </si>
  <si>
    <t>KP1</t>
  </si>
  <si>
    <t xml:space="preserve">INTER SERVICES VAROIS </t>
  </si>
  <si>
    <t>Spurgin</t>
  </si>
  <si>
    <t xml:space="preserve">Location - SCI OFFICE 2 M </t>
  </si>
  <si>
    <t xml:space="preserve">APAVE </t>
  </si>
  <si>
    <t>Location - Terrain stockage MOKRANE</t>
  </si>
  <si>
    <t>U0621110060</t>
  </si>
  <si>
    <t>FOURNISSEUR</t>
  </si>
  <si>
    <t>N° Facture</t>
  </si>
  <si>
    <t>CHANTIER</t>
  </si>
  <si>
    <t>Date d'échéance</t>
  </si>
  <si>
    <t xml:space="preserve">Date de paiement </t>
  </si>
  <si>
    <t>0825140</t>
  </si>
  <si>
    <t>0828129</t>
  </si>
  <si>
    <t>VILLA D AUREE</t>
  </si>
  <si>
    <t>0828540</t>
  </si>
  <si>
    <t>CCA</t>
  </si>
  <si>
    <t>2101747</t>
  </si>
  <si>
    <t>FC-U0621110090</t>
  </si>
  <si>
    <t xml:space="preserve">VILLA D'AUREE </t>
  </si>
  <si>
    <t>ALTRAD</t>
  </si>
  <si>
    <t>N°SA2111L108</t>
  </si>
  <si>
    <t>GENERALI</t>
  </si>
  <si>
    <t xml:space="preserve">AT 028 447 </t>
  </si>
  <si>
    <t>HABITATION</t>
  </si>
  <si>
    <t>AT 063 421</t>
  </si>
  <si>
    <t>AUTOMOBILE</t>
  </si>
  <si>
    <t>AT 096 205</t>
  </si>
  <si>
    <t>MINERVE</t>
  </si>
  <si>
    <t>85</t>
  </si>
  <si>
    <t>90</t>
  </si>
  <si>
    <t>91</t>
  </si>
  <si>
    <t>N°2101761</t>
  </si>
  <si>
    <t>SEFAB</t>
  </si>
  <si>
    <t xml:space="preserve">N°FA 560 -21 </t>
  </si>
  <si>
    <t>2101774</t>
  </si>
  <si>
    <t>DEL PISTOLA</t>
  </si>
  <si>
    <t>12/055</t>
  </si>
  <si>
    <t>0831660</t>
  </si>
  <si>
    <t>U0621120042</t>
  </si>
  <si>
    <t>CALIPAGE</t>
  </si>
  <si>
    <t>211200052</t>
  </si>
  <si>
    <t>VAR MAT</t>
  </si>
  <si>
    <t>18009808</t>
  </si>
  <si>
    <t>SIGMA BETON</t>
  </si>
  <si>
    <t>121025987</t>
  </si>
  <si>
    <t>VILLA DOREE</t>
  </si>
  <si>
    <t xml:space="preserve">POINT P </t>
  </si>
  <si>
    <t>301C1002316084</t>
  </si>
  <si>
    <t>AUPS</t>
  </si>
  <si>
    <t>301C1002316643</t>
  </si>
  <si>
    <t>CASSIS</t>
  </si>
  <si>
    <t>301C1002325559</t>
  </si>
  <si>
    <t>MAILLET-VION</t>
  </si>
  <si>
    <t>F2116513</t>
  </si>
  <si>
    <t>PROLIANS</t>
  </si>
  <si>
    <t>160844</t>
  </si>
  <si>
    <t>POINT S</t>
  </si>
  <si>
    <t>899100799</t>
  </si>
  <si>
    <t>LAFARGE BETON</t>
  </si>
  <si>
    <t>211215660</t>
  </si>
  <si>
    <t>211215661</t>
  </si>
  <si>
    <t>VALLIER</t>
  </si>
  <si>
    <t>211215662</t>
  </si>
  <si>
    <t>211215663</t>
  </si>
  <si>
    <t>MAILLET</t>
  </si>
  <si>
    <t>211215664</t>
  </si>
  <si>
    <t>ST AYGULF</t>
  </si>
  <si>
    <t>SA2112L103</t>
  </si>
  <si>
    <t>VICAT</t>
  </si>
  <si>
    <t>0504830446</t>
  </si>
  <si>
    <t>BONGINI</t>
  </si>
  <si>
    <t>EO GEO</t>
  </si>
  <si>
    <t>22-1375</t>
  </si>
  <si>
    <t xml:space="preserve">CCA </t>
  </si>
  <si>
    <t>2200048</t>
  </si>
  <si>
    <t>0837780</t>
  </si>
  <si>
    <t>LOGIC ETUDE EXPERTISE</t>
  </si>
  <si>
    <t>2018 LEE 126/12-103</t>
  </si>
  <si>
    <t>ROSEBAY</t>
  </si>
  <si>
    <t>CIFREO BONA</t>
  </si>
  <si>
    <t>406,333/12</t>
  </si>
  <si>
    <t xml:space="preserve">CIFFREO BONA </t>
  </si>
  <si>
    <t>409,333/12</t>
  </si>
  <si>
    <t>BALITRAND</t>
  </si>
  <si>
    <t>11264075</t>
  </si>
  <si>
    <t>11264076</t>
  </si>
  <si>
    <t>11264077</t>
  </si>
  <si>
    <t>STOCK</t>
  </si>
  <si>
    <t>11264078</t>
  </si>
  <si>
    <t xml:space="preserve">JC MAT </t>
  </si>
  <si>
    <t>00110139L</t>
  </si>
  <si>
    <t>COFRASUD</t>
  </si>
  <si>
    <t>AZUR METAL</t>
  </si>
  <si>
    <t>AMG LOCATION</t>
  </si>
  <si>
    <t>FA00011</t>
  </si>
  <si>
    <t>2112-046</t>
  </si>
  <si>
    <t xml:space="preserve">MAILLET </t>
  </si>
  <si>
    <t>2112-061</t>
  </si>
  <si>
    <t xml:space="preserve">VALLIER </t>
  </si>
  <si>
    <t>2112-029</t>
  </si>
  <si>
    <t>2112-069</t>
  </si>
  <si>
    <t>N°148894</t>
  </si>
  <si>
    <t xml:space="preserve">EDF </t>
  </si>
  <si>
    <t>N° 10142067557</t>
  </si>
  <si>
    <t xml:space="preserve">JEAN JAURES - FREJUS </t>
  </si>
  <si>
    <t>N° 148983</t>
  </si>
  <si>
    <t>0835730</t>
  </si>
  <si>
    <t>SFR</t>
  </si>
  <si>
    <t xml:space="preserve">GECECA </t>
  </si>
  <si>
    <t>2021/12-000167</t>
  </si>
  <si>
    <t xml:space="preserve">PGE </t>
  </si>
  <si>
    <t xml:space="preserve">N°12 </t>
  </si>
  <si>
    <t>CONTRAT 99-NA2L5Q</t>
  </si>
  <si>
    <t xml:space="preserve">IDENTICAR </t>
  </si>
  <si>
    <t>N°</t>
  </si>
  <si>
    <t>VOITURE SKODA</t>
  </si>
  <si>
    <t>URSSAF</t>
  </si>
  <si>
    <t xml:space="preserve">CIBTP </t>
  </si>
  <si>
    <t>OCTOBRE 2021</t>
  </si>
  <si>
    <t>BTP PREVOYANCE</t>
  </si>
  <si>
    <t>PRO BTP</t>
  </si>
  <si>
    <t>OK</t>
  </si>
  <si>
    <t xml:space="preserve">AR 601 510 </t>
  </si>
  <si>
    <t xml:space="preserve">AR 600 632 </t>
  </si>
  <si>
    <t>AR 743 728</t>
  </si>
  <si>
    <t xml:space="preserve">AR 600 631 </t>
  </si>
  <si>
    <t>CAVEM</t>
  </si>
  <si>
    <t>202200044</t>
  </si>
  <si>
    <t>ALPHA PRINT</t>
  </si>
  <si>
    <t>83125</t>
  </si>
  <si>
    <t>COPIE PHOTOCOPIEUSE</t>
  </si>
  <si>
    <t>471</t>
  </si>
  <si>
    <t>AXA</t>
  </si>
  <si>
    <t xml:space="preserve">BAT N°10769141904 </t>
  </si>
  <si>
    <t xml:space="preserve">AXA - DECENNALE </t>
  </si>
  <si>
    <t xml:space="preserve">N° 101 409 343 78 </t>
  </si>
  <si>
    <t xml:space="preserve">25 VALLON DES VAUX </t>
  </si>
  <si>
    <t>DECEMBRE 2021</t>
  </si>
  <si>
    <t xml:space="preserve">AR 935 830 </t>
  </si>
  <si>
    <t>25/01/20222</t>
  </si>
  <si>
    <t>INFO BURO ( de lage leasing )</t>
  </si>
  <si>
    <t>Identicar</t>
  </si>
  <si>
    <t>Location - Appart Fréjus  ( marchal )</t>
  </si>
  <si>
    <t>EDF</t>
  </si>
  <si>
    <t>10142735389</t>
  </si>
  <si>
    <t>CAGNES</t>
  </si>
  <si>
    <t>10142970680</t>
  </si>
  <si>
    <t>PUGET</t>
  </si>
  <si>
    <t>KILOUTOU</t>
  </si>
  <si>
    <t>28584242</t>
  </si>
  <si>
    <t>0843467</t>
  </si>
  <si>
    <t xml:space="preserve">AVOIR </t>
  </si>
  <si>
    <t>1-1AOLFZ1P4</t>
  </si>
  <si>
    <t>1660332281</t>
  </si>
  <si>
    <t>272E620,22,18000272</t>
  </si>
  <si>
    <t>SCI JBM</t>
  </si>
  <si>
    <t>01/055</t>
  </si>
  <si>
    <t>F2305720</t>
  </si>
  <si>
    <t>DE LAGE LANDEN</t>
  </si>
  <si>
    <t>850 1 22 0000238</t>
  </si>
  <si>
    <t>INFO BURO</t>
  </si>
  <si>
    <t>27/01</t>
  </si>
  <si>
    <t>TERCA</t>
  </si>
  <si>
    <t>2022024</t>
  </si>
  <si>
    <t>21/01</t>
  </si>
  <si>
    <t>BH TERRASSEMENT</t>
  </si>
  <si>
    <t>2022/01/007</t>
  </si>
  <si>
    <t xml:space="preserve">INTER SERVICE VAROIS </t>
  </si>
  <si>
    <t>2022/01/00111</t>
  </si>
  <si>
    <t xml:space="preserve">AIST </t>
  </si>
  <si>
    <t>EASYMAT</t>
  </si>
  <si>
    <t>N°21120137</t>
  </si>
  <si>
    <t>114</t>
  </si>
  <si>
    <t>THIERRY- VILLA D AUREE</t>
  </si>
  <si>
    <t>113</t>
  </si>
  <si>
    <t>106</t>
  </si>
  <si>
    <t>THIERRY - VILLA D AUREE</t>
  </si>
  <si>
    <t>105</t>
  </si>
  <si>
    <t>98</t>
  </si>
  <si>
    <t>97</t>
  </si>
  <si>
    <t xml:space="preserve">A REGLER </t>
  </si>
  <si>
    <t>ACOMPTE DE 472- villa rouge</t>
  </si>
  <si>
    <t>POINT P</t>
  </si>
  <si>
    <t>301C1002369228</t>
  </si>
  <si>
    <t>301C1002368593</t>
  </si>
  <si>
    <t>PACANIER</t>
  </si>
  <si>
    <t>10</t>
  </si>
  <si>
    <t>28626967</t>
  </si>
  <si>
    <t>2201061</t>
  </si>
  <si>
    <t>2201060</t>
  </si>
  <si>
    <t>120</t>
  </si>
  <si>
    <t>119</t>
  </si>
  <si>
    <t>KP 1</t>
  </si>
  <si>
    <t>DM FACADE</t>
  </si>
  <si>
    <t>Location - Bureau (SCI DYLAN )</t>
  </si>
  <si>
    <t>Location - Terrain stockage ( PACANIER )</t>
  </si>
  <si>
    <t xml:space="preserve">RG MATERIAUX </t>
  </si>
  <si>
    <t>0504831009</t>
  </si>
  <si>
    <t>WILLIAM CLOISON</t>
  </si>
  <si>
    <t>SIGMA</t>
  </si>
  <si>
    <t>25/01/2022</t>
  </si>
  <si>
    <t xml:space="preserve">RG MATRIAUX </t>
  </si>
  <si>
    <t>111295V</t>
  </si>
  <si>
    <t>110552L</t>
  </si>
  <si>
    <t>110968L</t>
  </si>
  <si>
    <t>F2404374</t>
  </si>
  <si>
    <t>2200179</t>
  </si>
  <si>
    <t>MARCHAL</t>
  </si>
  <si>
    <t>899100808</t>
  </si>
  <si>
    <t>0846552</t>
  </si>
  <si>
    <t>0840416</t>
  </si>
  <si>
    <t xml:space="preserve">AZUR METAL </t>
  </si>
  <si>
    <t>2201091</t>
  </si>
  <si>
    <t xml:space="preserve">SCI SIRENE </t>
  </si>
  <si>
    <t xml:space="preserve">EASY MAT </t>
  </si>
  <si>
    <t>22010122</t>
  </si>
  <si>
    <t>DIVERS CHANTIERS</t>
  </si>
  <si>
    <t>LOYER ARMAND</t>
  </si>
  <si>
    <t>02.2022</t>
  </si>
  <si>
    <t>TERRAIN</t>
  </si>
  <si>
    <t xml:space="preserve">ASSURANCE DECENALE </t>
  </si>
  <si>
    <t>220110857</t>
  </si>
  <si>
    <t>VION</t>
  </si>
  <si>
    <t>220110856</t>
  </si>
  <si>
    <t>COLLINE DE LA TOUR</t>
  </si>
  <si>
    <t>220110855</t>
  </si>
  <si>
    <t>220110854</t>
  </si>
  <si>
    <t>LA TOUR DE MARE</t>
  </si>
  <si>
    <t>20174902</t>
  </si>
  <si>
    <t>20174903</t>
  </si>
  <si>
    <t>20174904</t>
  </si>
  <si>
    <t>20174905</t>
  </si>
  <si>
    <t>LES ISSAMBRES</t>
  </si>
  <si>
    <t>20174906</t>
  </si>
  <si>
    <t>20174907</t>
  </si>
  <si>
    <t>PHONING</t>
  </si>
  <si>
    <t>CYRILLE GEOFFREY</t>
  </si>
  <si>
    <t>CIFFREO BONA</t>
  </si>
  <si>
    <t>411,787</t>
  </si>
  <si>
    <t>411,788</t>
  </si>
  <si>
    <t>411,789</t>
  </si>
  <si>
    <t>TOUR DE MARE</t>
  </si>
  <si>
    <t>417,342</t>
  </si>
  <si>
    <t>AGAY</t>
  </si>
  <si>
    <t>MANDELIEU</t>
  </si>
  <si>
    <t>417,343</t>
  </si>
  <si>
    <t>411,223</t>
  </si>
  <si>
    <t>411,224</t>
  </si>
  <si>
    <t>ULYS</t>
  </si>
  <si>
    <t>IA00216477</t>
  </si>
  <si>
    <t>SCI OFFICE 2 M</t>
  </si>
  <si>
    <t>LOYER NUREAU FREJUS</t>
  </si>
  <si>
    <t xml:space="preserve">LOYER APPRT FREJUS </t>
  </si>
  <si>
    <t xml:space="preserve">LOYER TERRAIN DE STOCKAGE </t>
  </si>
  <si>
    <t>31/12/2021</t>
  </si>
  <si>
    <t>GECECA</t>
  </si>
  <si>
    <t>2022/02-000170</t>
  </si>
  <si>
    <t>COMPTABLE</t>
  </si>
  <si>
    <t>1667336958</t>
  </si>
  <si>
    <t>1-HCXV2G79</t>
  </si>
  <si>
    <t>MATILD</t>
  </si>
  <si>
    <t>F186C940.22.18000366</t>
  </si>
  <si>
    <t xml:space="preserve">ALLOMAT </t>
  </si>
  <si>
    <t>523840</t>
  </si>
  <si>
    <t>526847</t>
  </si>
  <si>
    <t xml:space="preserve">LA CAVEM </t>
  </si>
  <si>
    <t>20220127</t>
  </si>
  <si>
    <t>PS 7238</t>
  </si>
  <si>
    <t>F2602461</t>
  </si>
  <si>
    <t>LOYER 02.2022</t>
  </si>
  <si>
    <t>CAGNES SUR MER</t>
  </si>
  <si>
    <t>RG MATERIAUX</t>
  </si>
  <si>
    <t>02/055</t>
  </si>
  <si>
    <t xml:space="preserve">DLL </t>
  </si>
  <si>
    <t>850 1 22 0002847</t>
  </si>
  <si>
    <t>LOCATION MATERIEL INFO</t>
  </si>
  <si>
    <t>2202000131</t>
  </si>
  <si>
    <t>Location - Terrain stockage (la croix)</t>
  </si>
  <si>
    <t>21 11- 055</t>
  </si>
  <si>
    <t>0853827</t>
  </si>
  <si>
    <t>PACA CERAM</t>
  </si>
  <si>
    <t>064</t>
  </si>
  <si>
    <t>02/405</t>
  </si>
  <si>
    <t>AVOIR -1500 VILLA D AUREE</t>
  </si>
  <si>
    <t>121027380</t>
  </si>
  <si>
    <t>INTER SERVICE</t>
  </si>
  <si>
    <t>2022/01/00289</t>
  </si>
  <si>
    <t>LOCAPEINT</t>
  </si>
  <si>
    <t>20128989</t>
  </si>
  <si>
    <t>10144716571</t>
  </si>
  <si>
    <t>LES MEISSUGUES</t>
  </si>
  <si>
    <t>28842156</t>
  </si>
  <si>
    <t>REPARATION</t>
  </si>
  <si>
    <t>28790980</t>
  </si>
  <si>
    <t>28779960</t>
  </si>
  <si>
    <t>SAS SG</t>
  </si>
  <si>
    <t>301C1002414966</t>
  </si>
  <si>
    <t>VION-MAILLET</t>
  </si>
  <si>
    <t>301C1002410255</t>
  </si>
  <si>
    <t>2022/03/011</t>
  </si>
  <si>
    <t>129</t>
  </si>
  <si>
    <t>130</t>
  </si>
  <si>
    <t>-</t>
  </si>
  <si>
    <t>21/02/202</t>
  </si>
  <si>
    <t xml:space="preserve">RESTE A PAYER </t>
  </si>
  <si>
    <t xml:space="preserve">RESTE LCR </t>
  </si>
  <si>
    <t xml:space="preserve">DM FAÇADE </t>
  </si>
  <si>
    <t xml:space="preserve">TOTAL RESTANT DU </t>
  </si>
  <si>
    <t>2202076</t>
  </si>
  <si>
    <t>2202074</t>
  </si>
  <si>
    <t>2202075</t>
  </si>
  <si>
    <t>SCI SIRENE VILLA  LES AGASSES - ST RAPH</t>
  </si>
  <si>
    <t xml:space="preserve">Règlement </t>
  </si>
  <si>
    <t xml:space="preserve">KRO CERAMIQUE </t>
  </si>
  <si>
    <t>008837</t>
  </si>
  <si>
    <t xml:space="preserve">VILLA ROUGE </t>
  </si>
  <si>
    <t>05855802</t>
  </si>
  <si>
    <t>2200284</t>
  </si>
  <si>
    <t>899100841</t>
  </si>
  <si>
    <t>Restant dû</t>
  </si>
  <si>
    <t>RESTE PRELEVEMENT</t>
  </si>
  <si>
    <t>F2677726</t>
  </si>
  <si>
    <t>422899/02</t>
  </si>
  <si>
    <t>CARRE DES VIGNES</t>
  </si>
  <si>
    <t>424637/02</t>
  </si>
  <si>
    <t>418202/02</t>
  </si>
  <si>
    <t>418841/02</t>
  </si>
  <si>
    <t>424112/02</t>
  </si>
  <si>
    <t>419678/02</t>
  </si>
  <si>
    <t>418838/02</t>
  </si>
  <si>
    <t>418839/02</t>
  </si>
  <si>
    <t>418840/02</t>
  </si>
  <si>
    <t>418842/02</t>
  </si>
  <si>
    <t>TERRAIN STOCKAGE</t>
  </si>
  <si>
    <t>SCI PACANIER</t>
  </si>
  <si>
    <t>00111973L</t>
  </si>
  <si>
    <t>00112544L</t>
  </si>
  <si>
    <t>DOS SANTOS</t>
  </si>
  <si>
    <t>27</t>
  </si>
  <si>
    <t>PUM</t>
  </si>
  <si>
    <t>30144352 / 30171061</t>
  </si>
  <si>
    <t>20285858</t>
  </si>
  <si>
    <t>20285859</t>
  </si>
  <si>
    <t>20285860</t>
  </si>
  <si>
    <t>20285861</t>
  </si>
  <si>
    <t>20285862</t>
  </si>
  <si>
    <t>20285863</t>
  </si>
  <si>
    <t>20285864</t>
  </si>
  <si>
    <t>220214894</t>
  </si>
  <si>
    <t>220214896</t>
  </si>
  <si>
    <t>220214891</t>
  </si>
  <si>
    <t>220214897</t>
  </si>
  <si>
    <t>220214895</t>
  </si>
  <si>
    <t>220214892</t>
  </si>
  <si>
    <t>220214893</t>
  </si>
  <si>
    <t xml:space="preserve">CHUBB EUROPEAN </t>
  </si>
  <si>
    <t>ASSURANCE TEL</t>
  </si>
  <si>
    <t>XZ33</t>
  </si>
  <si>
    <t>JURITRAVAIL</t>
  </si>
  <si>
    <t xml:space="preserve">HUBERT </t>
  </si>
  <si>
    <t xml:space="preserve">LOYER FREJUS </t>
  </si>
  <si>
    <t>SCI DYLAN ETHAN</t>
  </si>
  <si>
    <t xml:space="preserve">LOYER PUGET </t>
  </si>
  <si>
    <t xml:space="preserve">INFO BURO </t>
  </si>
  <si>
    <t xml:space="preserve">BUREAUTIQUE </t>
  </si>
  <si>
    <t xml:space="preserve">SCI PACANIER </t>
  </si>
  <si>
    <t>100FAC-22031371</t>
  </si>
  <si>
    <t>150501</t>
  </si>
  <si>
    <t>30066627</t>
  </si>
  <si>
    <t>2022-0013</t>
  </si>
  <si>
    <t xml:space="preserve">ARMAND </t>
  </si>
  <si>
    <t xml:space="preserve">RELEVE FEVRIER </t>
  </si>
  <si>
    <t>MATI'ILD</t>
  </si>
  <si>
    <t>28862884</t>
  </si>
  <si>
    <t xml:space="preserve">SEQUIER </t>
  </si>
  <si>
    <t>ROQUEBRUNE - BOULEVARD</t>
  </si>
  <si>
    <t xml:space="preserve">STOCK </t>
  </si>
  <si>
    <t>148</t>
  </si>
  <si>
    <t>VILLA D AUREE - THIERRY</t>
  </si>
  <si>
    <t>147</t>
  </si>
  <si>
    <t>2022099</t>
  </si>
  <si>
    <t>VILLA DAUREE</t>
  </si>
  <si>
    <t>28939102</t>
  </si>
  <si>
    <t>28905632</t>
  </si>
  <si>
    <t>28939080</t>
  </si>
  <si>
    <t>28939093</t>
  </si>
  <si>
    <t>F186C940,22,18000750</t>
  </si>
  <si>
    <t>F183C940,22,18000751</t>
  </si>
  <si>
    <t>Frais bancaire</t>
  </si>
  <si>
    <t>Location-materiel  supp LOCAM  INFO BURO</t>
  </si>
  <si>
    <t>ALLO MAT</t>
  </si>
  <si>
    <t>F2869514</t>
  </si>
  <si>
    <t>850 1 22 00006649</t>
  </si>
  <si>
    <t>2200349</t>
  </si>
  <si>
    <t>157</t>
  </si>
  <si>
    <t>156</t>
  </si>
  <si>
    <t>0862838</t>
  </si>
  <si>
    <t>5078137</t>
  </si>
  <si>
    <t xml:space="preserve">LOPEZ </t>
  </si>
  <si>
    <t>2022-0097</t>
  </si>
  <si>
    <t xml:space="preserve">INTERSERVICE </t>
  </si>
  <si>
    <t>2022/01/00315</t>
  </si>
  <si>
    <t xml:space="preserve">AMG LOCATION </t>
  </si>
  <si>
    <t xml:space="preserve">FA 000164 </t>
  </si>
  <si>
    <t xml:space="preserve">GRUE MAILLET </t>
  </si>
  <si>
    <t xml:space="preserve">MB </t>
  </si>
  <si>
    <t>2021-011-</t>
  </si>
  <si>
    <t>VILLA AGATHA</t>
  </si>
  <si>
    <t>2200365</t>
  </si>
  <si>
    <t>116</t>
  </si>
  <si>
    <t>000302</t>
  </si>
  <si>
    <t>000320</t>
  </si>
  <si>
    <t xml:space="preserve">DE LAGE </t>
  </si>
  <si>
    <t xml:space="preserve">CAISSE DES CONGES </t>
  </si>
  <si>
    <t xml:space="preserve">MINERVE </t>
  </si>
  <si>
    <t>ECH 28/02</t>
  </si>
  <si>
    <t>CHANTIERS</t>
  </si>
  <si>
    <t xml:space="preserve">OFFICE 2 M </t>
  </si>
  <si>
    <t>ECH 04/04/2022</t>
  </si>
  <si>
    <t>BUREAU FREJUS</t>
  </si>
  <si>
    <t xml:space="preserve">CHAMPEAU </t>
  </si>
  <si>
    <t xml:space="preserve">LA TRINITE </t>
  </si>
  <si>
    <t xml:space="preserve">COFRASUD </t>
  </si>
  <si>
    <t xml:space="preserve">MULTI-TRAVAUX </t>
  </si>
  <si>
    <t>NETTOYAGE APPRT CAGNES SUR MER</t>
  </si>
  <si>
    <t>VILLA D'AUREE  - THIERRY</t>
  </si>
  <si>
    <t xml:space="preserve">DEL PISTOLA </t>
  </si>
  <si>
    <t>03/55</t>
  </si>
  <si>
    <t xml:space="preserve">PENAPAVAGE </t>
  </si>
  <si>
    <t>0865929</t>
  </si>
  <si>
    <t>83194</t>
  </si>
  <si>
    <t>COPIE</t>
  </si>
  <si>
    <t>F2A45549</t>
  </si>
  <si>
    <t>29058201</t>
  </si>
  <si>
    <t>29011642</t>
  </si>
  <si>
    <t>301C1002459997</t>
  </si>
  <si>
    <t>899100865</t>
  </si>
  <si>
    <t>LOPES EDMILSON</t>
  </si>
  <si>
    <r>
      <t xml:space="preserve">Véhicule - Peugeot  Boxer -BC-402-         </t>
    </r>
    <r>
      <rPr>
        <b/>
        <sz val="14"/>
        <color theme="6" tint="-0.249977111117893"/>
        <rFont val="Calibri"/>
        <family val="2"/>
        <scheme val="minor"/>
      </rPr>
      <t xml:space="preserve">  </t>
    </r>
    <r>
      <rPr>
        <b/>
        <sz val="14"/>
        <color theme="9"/>
        <rFont val="Calibri"/>
        <family val="2"/>
        <scheme val="minor"/>
      </rPr>
      <t>AT063431</t>
    </r>
  </si>
  <si>
    <r>
      <t xml:space="preserve">Véhicule - Fiat DUCATO - CC-426-RW-     </t>
    </r>
    <r>
      <rPr>
        <b/>
        <sz val="14"/>
        <color theme="6" tint="-0.249977111117893"/>
        <rFont val="Calibri"/>
        <family val="2"/>
        <scheme val="minor"/>
      </rPr>
      <t xml:space="preserve"> </t>
    </r>
    <r>
      <rPr>
        <b/>
        <sz val="14"/>
        <color theme="9"/>
        <rFont val="Calibri"/>
        <family val="2"/>
        <scheme val="minor"/>
      </rPr>
      <t>AR600632</t>
    </r>
  </si>
  <si>
    <r>
      <t>Véhicule - Iveco Benne - BV-943-RZ -</t>
    </r>
    <r>
      <rPr>
        <sz val="14"/>
        <color theme="9"/>
        <rFont val="Calibri"/>
        <family val="2"/>
        <scheme val="minor"/>
      </rPr>
      <t xml:space="preserve">       </t>
    </r>
    <r>
      <rPr>
        <b/>
        <sz val="14"/>
        <color theme="9"/>
        <rFont val="Calibri"/>
        <family val="2"/>
        <scheme val="minor"/>
      </rPr>
      <t>AR601510</t>
    </r>
  </si>
  <si>
    <r>
      <t xml:space="preserve">Véhicule - Renault CLIO - FL-481-PA -     </t>
    </r>
    <r>
      <rPr>
        <b/>
        <sz val="14"/>
        <color theme="6" tint="-0.249977111117893"/>
        <rFont val="Calibri"/>
        <family val="2"/>
        <scheme val="minor"/>
      </rPr>
      <t xml:space="preserve"> </t>
    </r>
    <r>
      <rPr>
        <b/>
        <sz val="14"/>
        <color theme="9"/>
        <rFont val="Calibri"/>
        <family val="2"/>
        <scheme val="minor"/>
      </rPr>
      <t>AR743728</t>
    </r>
  </si>
  <si>
    <r>
      <t xml:space="preserve">Generali  - </t>
    </r>
    <r>
      <rPr>
        <b/>
        <sz val="14"/>
        <color theme="9"/>
        <rFont val="Calibri"/>
        <family val="2"/>
        <scheme val="minor"/>
      </rPr>
      <t>AT096205</t>
    </r>
  </si>
  <si>
    <r>
      <t>Generali -</t>
    </r>
    <r>
      <rPr>
        <b/>
        <sz val="14"/>
        <color theme="6" tint="-0.249977111117893"/>
        <rFont val="Calibri"/>
        <family val="2"/>
        <scheme val="minor"/>
      </rPr>
      <t xml:space="preserve"> </t>
    </r>
    <r>
      <rPr>
        <b/>
        <sz val="14"/>
        <color theme="9"/>
        <rFont val="Calibri"/>
        <family val="2"/>
        <scheme val="minor"/>
      </rPr>
      <t>AR935830</t>
    </r>
  </si>
  <si>
    <r>
      <t>Generali  -</t>
    </r>
    <r>
      <rPr>
        <b/>
        <sz val="14"/>
        <color theme="6" tint="-0.249977111117893"/>
        <rFont val="Calibri"/>
        <family val="2"/>
        <scheme val="minor"/>
      </rPr>
      <t xml:space="preserve"> </t>
    </r>
    <r>
      <rPr>
        <b/>
        <sz val="14"/>
        <color theme="9"/>
        <rFont val="Calibri"/>
        <family val="2"/>
        <scheme val="minor"/>
      </rPr>
      <t>AT 028 447</t>
    </r>
    <r>
      <rPr>
        <sz val="14"/>
        <color theme="9"/>
        <rFont val="Calibri"/>
        <family val="2"/>
        <scheme val="minor"/>
      </rPr>
      <t xml:space="preserve"> - BUREAU PUGET </t>
    </r>
  </si>
  <si>
    <r>
      <t xml:space="preserve">Assurance annuel bureau  - </t>
    </r>
    <r>
      <rPr>
        <b/>
        <sz val="14"/>
        <color theme="9"/>
        <rFont val="Calibri"/>
        <family val="2"/>
        <scheme val="minor"/>
      </rPr>
      <t>AR903785</t>
    </r>
  </si>
  <si>
    <r>
      <t xml:space="preserve">Véhicule - Berlingo- BB-579-WE -    </t>
    </r>
    <r>
      <rPr>
        <sz val="14"/>
        <color theme="9"/>
        <rFont val="Calibri"/>
        <family val="2"/>
        <scheme val="minor"/>
      </rPr>
      <t>AR600631</t>
    </r>
  </si>
  <si>
    <t>Onyx mediterranée - MAT ILD</t>
  </si>
  <si>
    <t>0504831852</t>
  </si>
  <si>
    <t>SEQUIER</t>
  </si>
  <si>
    <t>0504831851</t>
  </si>
  <si>
    <t>2203061</t>
  </si>
  <si>
    <t>2203060</t>
  </si>
  <si>
    <t>426,258</t>
  </si>
  <si>
    <t>429,726</t>
  </si>
  <si>
    <t>426,260</t>
  </si>
  <si>
    <t>BESSE</t>
  </si>
  <si>
    <t>426,259</t>
  </si>
  <si>
    <t>425,579</t>
  </si>
  <si>
    <t>VILLA ROUGE</t>
  </si>
  <si>
    <t>425,577</t>
  </si>
  <si>
    <t>3006910</t>
  </si>
  <si>
    <t>3006909</t>
  </si>
  <si>
    <t>170</t>
  </si>
  <si>
    <t>169</t>
  </si>
  <si>
    <t>JCMAT</t>
  </si>
  <si>
    <t>00113876L</t>
  </si>
  <si>
    <t>00113691L</t>
  </si>
  <si>
    <t>1280037</t>
  </si>
  <si>
    <t>AVOIR AIST</t>
  </si>
  <si>
    <t>MAT ILD</t>
  </si>
  <si>
    <t>F186C940,22,18001593</t>
  </si>
  <si>
    <t xml:space="preserve">MAT ILD </t>
  </si>
  <si>
    <t>F186C940,18001592</t>
  </si>
  <si>
    <t>432,631/03</t>
  </si>
  <si>
    <t>AVOIR</t>
  </si>
  <si>
    <t>20397841</t>
  </si>
  <si>
    <t>20397842</t>
  </si>
  <si>
    <t>20397843</t>
  </si>
  <si>
    <t>20397844</t>
  </si>
  <si>
    <t>20397845</t>
  </si>
  <si>
    <t>ST RAPH</t>
  </si>
  <si>
    <t>20397846</t>
  </si>
  <si>
    <t>LES TERRES DE CLAVIERS</t>
  </si>
  <si>
    <t>DLM</t>
  </si>
  <si>
    <t>151002191</t>
  </si>
  <si>
    <t>LOCATION CAMION</t>
  </si>
  <si>
    <t>LAFARGE</t>
  </si>
  <si>
    <t>220316682</t>
  </si>
  <si>
    <t>220316683</t>
  </si>
  <si>
    <t>220316684</t>
  </si>
  <si>
    <t>220316685</t>
  </si>
  <si>
    <t>220316686</t>
  </si>
  <si>
    <t>220316687</t>
  </si>
  <si>
    <t>220316688</t>
  </si>
  <si>
    <t>220316689</t>
  </si>
  <si>
    <t>220316690</t>
  </si>
  <si>
    <t xml:space="preserve">RUE DU ROCHER PUGET </t>
  </si>
  <si>
    <t>CHEMIN DES ALLIES</t>
  </si>
  <si>
    <t>CHEMIN DE CLAVIER</t>
  </si>
  <si>
    <t>ALLES DES PINS PARASOLE JUANS LES PÏNS</t>
  </si>
  <si>
    <t>1TRM 2022</t>
  </si>
  <si>
    <t xml:space="preserve">SKODA </t>
  </si>
  <si>
    <t>1282351</t>
  </si>
  <si>
    <t>22030152</t>
  </si>
  <si>
    <t>22030153</t>
  </si>
  <si>
    <t>22030154</t>
  </si>
  <si>
    <t>RECONDITIONNEMENT BUNGALOW</t>
  </si>
  <si>
    <t>LOCATION MARS 2022</t>
  </si>
  <si>
    <t>F2C46534</t>
  </si>
  <si>
    <t>10147610617</t>
  </si>
  <si>
    <t>J JAURES</t>
  </si>
  <si>
    <t>COTISATION NOUVEAUX SALARIES</t>
  </si>
  <si>
    <t>432.631/03</t>
  </si>
  <si>
    <t>DIVERS</t>
  </si>
  <si>
    <t>MATIL'D</t>
  </si>
  <si>
    <t>22,18001592</t>
  </si>
  <si>
    <t>22.18001593</t>
  </si>
  <si>
    <t xml:space="preserve">SFR FIXE ADSL </t>
  </si>
  <si>
    <t>1-1A0LF</t>
  </si>
  <si>
    <t>25/04/2022</t>
  </si>
  <si>
    <t>GAZOIL</t>
  </si>
  <si>
    <t xml:space="preserve">RETRAITE </t>
  </si>
  <si>
    <t xml:space="preserve">FIXE BUREAU FREJUS </t>
  </si>
  <si>
    <t>04/055</t>
  </si>
  <si>
    <t>121028999</t>
  </si>
  <si>
    <t xml:space="preserve">PEAGE </t>
  </si>
  <si>
    <t>INTER SERVICES VAROIS</t>
  </si>
  <si>
    <t>2022/01/00450</t>
  </si>
  <si>
    <t xml:space="preserve">VILLA D AUREE </t>
  </si>
  <si>
    <t>301C1002514694</t>
  </si>
  <si>
    <t>301C1002519299</t>
  </si>
  <si>
    <t>30510430</t>
  </si>
  <si>
    <t>FA161</t>
  </si>
  <si>
    <t>899100886</t>
  </si>
  <si>
    <t>10148559524</t>
  </si>
  <si>
    <t>JEAN JAURES</t>
  </si>
  <si>
    <t xml:space="preserve">STATONNEMENT </t>
  </si>
  <si>
    <t>ALLEMAND</t>
  </si>
  <si>
    <t>0504832344</t>
  </si>
  <si>
    <t>0504832343</t>
  </si>
  <si>
    <t>20409440</t>
  </si>
  <si>
    <t>20409441</t>
  </si>
  <si>
    <t>20409442</t>
  </si>
  <si>
    <t>20409443</t>
  </si>
  <si>
    <t>LCR</t>
  </si>
  <si>
    <t>PRO BTP PREVOYANCE</t>
  </si>
  <si>
    <t xml:space="preserve">BTP RETRAITE </t>
  </si>
  <si>
    <t xml:space="preserve">ADOBE </t>
  </si>
  <si>
    <t xml:space="preserve">ADOBE READER </t>
  </si>
  <si>
    <t xml:space="preserve">QUAI LES MEISSUGUES </t>
  </si>
  <si>
    <t>NOUVEAU SALARIE</t>
  </si>
  <si>
    <t>VILLA CHARASSE</t>
  </si>
  <si>
    <t>FA000303</t>
  </si>
  <si>
    <t>114453L</t>
  </si>
  <si>
    <t>114869L</t>
  </si>
  <si>
    <t>220423324</t>
  </si>
  <si>
    <t>220423325</t>
  </si>
  <si>
    <t>220423326</t>
  </si>
  <si>
    <t>220423327</t>
  </si>
  <si>
    <t>3007206</t>
  </si>
  <si>
    <t>433 474</t>
  </si>
  <si>
    <t>433 475</t>
  </si>
  <si>
    <t>433 476</t>
  </si>
  <si>
    <t>434 980</t>
  </si>
  <si>
    <t>437 376</t>
  </si>
  <si>
    <t>GARY   MIMET</t>
  </si>
  <si>
    <t>151002345</t>
  </si>
  <si>
    <t>IVECO BENNE</t>
  </si>
  <si>
    <t xml:space="preserve">CITYLINK </t>
  </si>
  <si>
    <t xml:space="preserve">FAC N° 2022290 </t>
  </si>
  <si>
    <t xml:space="preserve">CARTE VISITE </t>
  </si>
  <si>
    <t>22-04- 053</t>
  </si>
  <si>
    <t>31/03/2022</t>
  </si>
  <si>
    <t>18002409</t>
  </si>
  <si>
    <t>P S 49969</t>
  </si>
  <si>
    <t>EASY MAT</t>
  </si>
  <si>
    <t>AVOIR 22040014</t>
  </si>
  <si>
    <t>22040143</t>
  </si>
  <si>
    <t xml:space="preserve">MATIL'D </t>
  </si>
  <si>
    <t>N° 18002634</t>
  </si>
  <si>
    <t>N°18002633</t>
  </si>
  <si>
    <t>VILLA D'AUREE</t>
  </si>
  <si>
    <t>175</t>
  </si>
  <si>
    <t>176</t>
  </si>
  <si>
    <t>195</t>
  </si>
  <si>
    <t>196</t>
  </si>
  <si>
    <t xml:space="preserve">F2677726 </t>
  </si>
  <si>
    <t>850 1 22 00010235</t>
  </si>
  <si>
    <t>511</t>
  </si>
  <si>
    <t xml:space="preserve">512 </t>
  </si>
  <si>
    <t>544</t>
  </si>
  <si>
    <t>05/055</t>
  </si>
  <si>
    <t>14269</t>
  </si>
  <si>
    <t>COMPTEUR PHOTOCOPIE</t>
  </si>
  <si>
    <t>FA204</t>
  </si>
  <si>
    <t>899100908</t>
  </si>
  <si>
    <t>18003334</t>
  </si>
  <si>
    <t>18003335</t>
  </si>
  <si>
    <t>3007517</t>
  </si>
  <si>
    <t>0504832842</t>
  </si>
  <si>
    <t>0504832843</t>
  </si>
  <si>
    <t>CHARASSE</t>
  </si>
  <si>
    <t>115782L</t>
  </si>
  <si>
    <t>CIFFREO</t>
  </si>
  <si>
    <t>447,711</t>
  </si>
  <si>
    <t>440,886</t>
  </si>
  <si>
    <t>441,509</t>
  </si>
  <si>
    <t>441,510</t>
  </si>
  <si>
    <t>442,446</t>
  </si>
  <si>
    <t>20520964</t>
  </si>
  <si>
    <t>20520965</t>
  </si>
  <si>
    <t>20520966</t>
  </si>
  <si>
    <t>20520967</t>
  </si>
  <si>
    <t>20520968</t>
  </si>
  <si>
    <t>CHAUSSURE</t>
  </si>
  <si>
    <t>SEQUIET</t>
  </si>
  <si>
    <t>20520969</t>
  </si>
  <si>
    <t>COFFRET</t>
  </si>
  <si>
    <t>Cotis rythmo- Cotis platinum</t>
  </si>
  <si>
    <t>2207076</t>
  </si>
  <si>
    <t>JA HOLDING</t>
  </si>
  <si>
    <t xml:space="preserve">SG CARRELAGE </t>
  </si>
  <si>
    <t xml:space="preserve">SOUS TRAITANCE CARRELAGE </t>
  </si>
  <si>
    <t>2022-32</t>
  </si>
  <si>
    <t>2022-33</t>
  </si>
  <si>
    <t>2022-35</t>
  </si>
  <si>
    <t>CARCES</t>
  </si>
  <si>
    <t>2022-</t>
  </si>
  <si>
    <t>220518695</t>
  </si>
  <si>
    <t>220518696</t>
  </si>
  <si>
    <t>220518697</t>
  </si>
  <si>
    <t>220518698</t>
  </si>
  <si>
    <t>220518699</t>
  </si>
  <si>
    <t>220518700</t>
  </si>
  <si>
    <t xml:space="preserve">VION </t>
  </si>
  <si>
    <t>2205-057</t>
  </si>
  <si>
    <t xml:space="preserve">SARL CIN </t>
  </si>
  <si>
    <t xml:space="preserve">PREVOYANCE </t>
  </si>
  <si>
    <t>2205-056</t>
  </si>
  <si>
    <t>IE00213689</t>
  </si>
  <si>
    <t>1700285942</t>
  </si>
  <si>
    <t>FIXZ BUREAU PUGET</t>
  </si>
  <si>
    <t>FA000483</t>
  </si>
  <si>
    <t xml:space="preserve">MAILLET - GRUE </t>
  </si>
  <si>
    <t xml:space="preserve">GMF </t>
  </si>
  <si>
    <t>006.249.595P</t>
  </si>
  <si>
    <t xml:space="preserve">VILLA D'AUREE  - MERCEDEZ </t>
  </si>
  <si>
    <t xml:space="preserve">AMENDE </t>
  </si>
  <si>
    <t>EG-937-WX</t>
  </si>
  <si>
    <t xml:space="preserve">ECH 31/05 </t>
  </si>
  <si>
    <t xml:space="preserve">CHANTIERS </t>
  </si>
  <si>
    <t xml:space="preserve">CLIENT </t>
  </si>
  <si>
    <t xml:space="preserve">ROSEBAY </t>
  </si>
  <si>
    <t xml:space="preserve">MILAAN </t>
  </si>
  <si>
    <t xml:space="preserve">COQUARD </t>
  </si>
  <si>
    <t>132</t>
  </si>
  <si>
    <t>136</t>
  </si>
  <si>
    <t>177</t>
  </si>
  <si>
    <t>178</t>
  </si>
  <si>
    <t>189</t>
  </si>
  <si>
    <t>179</t>
  </si>
  <si>
    <t>CDC IMMO</t>
  </si>
  <si>
    <t>257</t>
  </si>
  <si>
    <t xml:space="preserve">HOTEL CASSIS </t>
  </si>
  <si>
    <t>GARAFFA</t>
  </si>
  <si>
    <t>167</t>
  </si>
  <si>
    <t>LILLINI</t>
  </si>
  <si>
    <t>307</t>
  </si>
  <si>
    <t>333</t>
  </si>
  <si>
    <t xml:space="preserve">MMB </t>
  </si>
  <si>
    <t>352</t>
  </si>
  <si>
    <t>353</t>
  </si>
  <si>
    <t>358</t>
  </si>
  <si>
    <t xml:space="preserve">VILLA D'AUREE - CARRELAGE </t>
  </si>
  <si>
    <t xml:space="preserve">VILLA D'AUREE -  GO </t>
  </si>
  <si>
    <t>359</t>
  </si>
  <si>
    <t xml:space="preserve">LES BASTIDES </t>
  </si>
  <si>
    <t>361</t>
  </si>
  <si>
    <t xml:space="preserve">SALAIRE </t>
  </si>
  <si>
    <t>PENAPAVAGE</t>
  </si>
  <si>
    <t>2022-39</t>
  </si>
  <si>
    <t>1701555478</t>
  </si>
  <si>
    <t>30751147</t>
  </si>
  <si>
    <t>K.RENOV</t>
  </si>
  <si>
    <t>2022-40</t>
  </si>
  <si>
    <t>10151464034</t>
  </si>
  <si>
    <t>PEREZ</t>
  </si>
  <si>
    <t>INTERSERVICES</t>
  </si>
  <si>
    <t>664</t>
  </si>
  <si>
    <t>MENAGE VILLA D AUREE</t>
  </si>
  <si>
    <t>IDEAL FACADE</t>
  </si>
  <si>
    <t>1-116</t>
  </si>
  <si>
    <t>FACADE VILLA D AUREE</t>
  </si>
  <si>
    <t>BOUGADOUHA</t>
  </si>
  <si>
    <t>60005</t>
  </si>
  <si>
    <t xml:space="preserve">DECHET MANDELIEU </t>
  </si>
  <si>
    <t>06/202</t>
  </si>
  <si>
    <t>3007152</t>
  </si>
  <si>
    <t>10151976995</t>
  </si>
  <si>
    <t xml:space="preserve">BUREAU PUGET </t>
  </si>
  <si>
    <t>85012200014369</t>
  </si>
  <si>
    <t>212</t>
  </si>
  <si>
    <t>287</t>
  </si>
  <si>
    <t>2206000134</t>
  </si>
  <si>
    <t>2121/1007</t>
  </si>
  <si>
    <t>CARRELAGE VILLA D AUREE</t>
  </si>
  <si>
    <t>AT 063 431</t>
  </si>
  <si>
    <t>18004036</t>
  </si>
  <si>
    <t>18004037</t>
  </si>
  <si>
    <t>0504833584</t>
  </si>
  <si>
    <t>899100928</t>
  </si>
  <si>
    <t>IF00213074</t>
  </si>
  <si>
    <t>1289820</t>
  </si>
  <si>
    <t>3007794</t>
  </si>
  <si>
    <t>453,029</t>
  </si>
  <si>
    <t xml:space="preserve">PRO G MAT </t>
  </si>
  <si>
    <t>14363</t>
  </si>
  <si>
    <t>32630</t>
  </si>
  <si>
    <t>32631</t>
  </si>
  <si>
    <t>32632</t>
  </si>
  <si>
    <t>32633</t>
  </si>
  <si>
    <t>32634</t>
  </si>
  <si>
    <t>32635</t>
  </si>
  <si>
    <t>450,185</t>
  </si>
  <si>
    <t>449,189</t>
  </si>
  <si>
    <t>449,188</t>
  </si>
  <si>
    <t>449,187</t>
  </si>
  <si>
    <t>449,186</t>
  </si>
  <si>
    <t>449,185</t>
  </si>
  <si>
    <t>449,184</t>
  </si>
  <si>
    <t>448,546</t>
  </si>
  <si>
    <t>TOTAL DCR</t>
  </si>
  <si>
    <t>SAS PRO G MAT</t>
  </si>
  <si>
    <t>INGENIERIE 84</t>
  </si>
  <si>
    <t>UR CERAM</t>
  </si>
  <si>
    <t>IDEAL</t>
  </si>
  <si>
    <t xml:space="preserve">DLM </t>
  </si>
  <si>
    <t>2206067</t>
  </si>
  <si>
    <t>2206068</t>
  </si>
  <si>
    <t>22060162</t>
  </si>
  <si>
    <t>00117437L</t>
  </si>
  <si>
    <t>220623041</t>
  </si>
  <si>
    <t>220623042</t>
  </si>
  <si>
    <t>220623043</t>
  </si>
  <si>
    <t>220623044</t>
  </si>
  <si>
    <t>220623045</t>
  </si>
  <si>
    <t>220623046</t>
  </si>
  <si>
    <t>ROBERT</t>
  </si>
  <si>
    <t xml:space="preserve">COTE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</si>
</sst>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mmm"/>
    <numFmt numFmtId="165" formatCode="0_);\-0_)"/>
    <numFmt numFmtId="166" formatCode="_-* #,##0.0_-;\-* #,##0.0_-;_-* &quot;-&quot;??_-;_-@_-"/>
    <numFmt numFmtId="167" formatCode="#,##0.00\ &quot;€&quot;"/>
  </numFmts>
  <fonts count="114" x14ac:knownFonts="1">
    <font>
      <sz val="10"/>
      <color theme="1" tint="0.149967955565050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4"/>
      <color theme="1" tint="0.14975432599871821"/>
      <name val="Calibri Light"/>
      <family val="2"/>
      <scheme val="major"/>
    </font>
    <font>
      <sz val="9"/>
      <color theme="1" tint="0.14999847407452621"/>
      <name val="Calibri"/>
      <family val="2"/>
      <scheme val="minor"/>
    </font>
    <font>
      <sz val="18"/>
      <color theme="1" tint="0.14996795556505021"/>
      <name val="Calibri Light"/>
      <family val="2"/>
      <scheme val="major"/>
    </font>
    <font>
      <b/>
      <sz val="12"/>
      <color theme="1" tint="0.14999847407452621"/>
      <name val="Calibri Light"/>
      <family val="2"/>
      <scheme val="major"/>
    </font>
    <font>
      <b/>
      <sz val="12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b/>
      <i/>
      <strike/>
      <condense/>
      <extend/>
      <outline/>
      <shadow/>
      <sz val="10"/>
      <color theme="1" tint="0.14996795556505021"/>
      <name val="Calibri"/>
      <family val="2"/>
      <scheme val="minor"/>
    </font>
    <font>
      <sz val="10"/>
      <color theme="6" tint="-0.249977111117893"/>
      <name val="Calibri"/>
      <family val="2"/>
      <scheme val="minor"/>
    </font>
    <font>
      <b/>
      <i/>
      <strike/>
      <condense/>
      <extend/>
      <outline/>
      <shadow/>
      <sz val="10"/>
      <color theme="6" tint="-0.24997711111789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i/>
      <strike/>
      <condense/>
      <extend/>
      <outline/>
      <shadow/>
      <sz val="10"/>
      <color theme="5" tint="-0.249977111117893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 tint="0.14996795556505021"/>
      <name val="Calibri"/>
      <family val="2"/>
      <scheme val="minor"/>
    </font>
    <font>
      <b/>
      <i/>
      <strike/>
      <condense/>
      <extend/>
      <outline/>
      <shadow/>
      <sz val="10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4" tint="-0.24994659260841701"/>
      <name val="Corbel"/>
      <family val="2"/>
    </font>
    <font>
      <b/>
      <sz val="12"/>
      <color theme="0"/>
      <name val="Calibri Light"/>
      <family val="4"/>
      <scheme val="major"/>
    </font>
    <font>
      <b/>
      <sz val="12"/>
      <color theme="0"/>
      <name val="Calibri"/>
      <family val="2"/>
      <charset val="238"/>
      <scheme val="minor"/>
    </font>
    <font>
      <sz val="10"/>
      <color theme="4" tint="-0.24994659260841701"/>
      <name val="Book Antiqua"/>
      <family val="1"/>
    </font>
    <font>
      <b/>
      <sz val="12"/>
      <color theme="0"/>
      <name val="Book Antiqua"/>
      <family val="1"/>
    </font>
    <font>
      <sz val="12"/>
      <color theme="4" tint="-0.24994659260841701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sz val="10"/>
      <name val="Book Antiqua"/>
      <family val="1"/>
    </font>
    <font>
      <b/>
      <sz val="15"/>
      <color theme="4" tint="-0.24994659260841701"/>
      <name val="Book Antiqua"/>
      <family val="1"/>
    </font>
    <font>
      <b/>
      <i/>
      <strike/>
      <condense/>
      <extend/>
      <outline/>
      <shadow/>
      <sz val="10"/>
      <color theme="5" tint="-0.249977111117893"/>
      <name val="Calibri"/>
      <family val="2"/>
      <scheme val="minor"/>
    </font>
    <font>
      <b/>
      <sz val="12"/>
      <color theme="4" tint="-0.24994659260841701"/>
      <name val="Book Antiqua"/>
      <family val="1"/>
    </font>
    <font>
      <b/>
      <sz val="14"/>
      <name val="Book Antiqua"/>
      <family val="1"/>
    </font>
    <font>
      <sz val="10"/>
      <color theme="3"/>
      <name val="Book Antiqua"/>
      <family val="1"/>
    </font>
    <font>
      <b/>
      <sz val="14"/>
      <color theme="4" tint="-0.24994659260841701"/>
      <name val="Corbel"/>
      <family val="2"/>
    </font>
    <font>
      <b/>
      <sz val="10"/>
      <color theme="4" tint="-0.24994659260841701"/>
      <name val="Book Antiqua"/>
      <family val="1"/>
    </font>
    <font>
      <b/>
      <sz val="12"/>
      <color theme="4" tint="-0.249977111117893"/>
      <name val="Book Antiqua"/>
      <family val="1"/>
    </font>
    <font>
      <b/>
      <sz val="10"/>
      <color theme="4" tint="-0.249977111117893"/>
      <name val="Book Antiqua"/>
      <family val="1"/>
    </font>
    <font>
      <b/>
      <sz val="12"/>
      <color theme="5"/>
      <name val="Book Antiqua"/>
      <family val="1"/>
    </font>
    <font>
      <b/>
      <sz val="15"/>
      <color theme="5"/>
      <name val="Book Antiqua"/>
      <family val="1"/>
    </font>
    <font>
      <b/>
      <sz val="10"/>
      <color theme="5"/>
      <name val="Book Antiqua"/>
      <family val="1"/>
    </font>
    <font>
      <b/>
      <i/>
      <strike/>
      <condense/>
      <extend/>
      <outline/>
      <shadow/>
      <sz val="10"/>
      <color theme="5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4"/>
      <color rgb="FFFF0000"/>
      <name val="Corbel"/>
      <family val="2"/>
    </font>
    <font>
      <b/>
      <sz val="12"/>
      <color rgb="FFFF0000"/>
      <name val="Book Antiqua"/>
      <family val="1"/>
    </font>
    <font>
      <sz val="10"/>
      <color rgb="FFFF0000"/>
      <name val="Book Antiqua"/>
      <family val="1"/>
    </font>
    <font>
      <sz val="10"/>
      <name val="Calibri"/>
      <family val="2"/>
      <scheme val="minor"/>
    </font>
    <font>
      <b/>
      <i/>
      <strike/>
      <condense/>
      <extend/>
      <outline/>
      <shadow/>
      <sz val="10"/>
      <color theme="5" tint="-0.249977111117893"/>
      <name val="Calibri"/>
      <family val="2"/>
      <scheme val="minor"/>
    </font>
    <font>
      <b/>
      <sz val="12"/>
      <color theme="5" tint="-0.499984740745262"/>
      <name val="Book Antiqua"/>
      <family val="1"/>
    </font>
    <font>
      <sz val="14"/>
      <name val="Book Antiqua"/>
      <family val="1"/>
    </font>
    <font>
      <sz val="14"/>
      <color rgb="FFC00000"/>
      <name val="Book Antiqua"/>
      <family val="1"/>
    </font>
    <font>
      <b/>
      <sz val="15"/>
      <color rgb="FFFF0000"/>
      <name val="Book Antiqua"/>
      <family val="1"/>
    </font>
    <font>
      <b/>
      <i/>
      <strike/>
      <condense/>
      <extend/>
      <outline/>
      <shadow/>
      <sz val="10"/>
      <color theme="5" tint="-0.249977111117893"/>
      <name val="Calibri"/>
      <family val="2"/>
      <scheme val="minor"/>
    </font>
    <font>
      <sz val="12"/>
      <color rgb="FFFF0000"/>
      <name val="Book Antiqua"/>
      <family val="1"/>
    </font>
    <font>
      <sz val="14"/>
      <color rgb="FFFF0000"/>
      <name val="Book Antiqua"/>
      <family val="1"/>
    </font>
    <font>
      <b/>
      <sz val="12"/>
      <color theme="9" tint="-0.249977111117893"/>
      <name val="Book Antiqua"/>
      <family val="1"/>
    </font>
    <font>
      <sz val="12"/>
      <color theme="9" tint="-0.249977111117893"/>
      <name val="Book Antiqua"/>
      <family val="1"/>
    </font>
    <font>
      <sz val="14"/>
      <color theme="9" tint="-0.249977111117893"/>
      <name val="Book Antiqua"/>
      <family val="1"/>
    </font>
    <font>
      <sz val="10"/>
      <color theme="9" tint="-0.249977111117893"/>
      <name val="Book Antiqua"/>
      <family val="1"/>
    </font>
    <font>
      <b/>
      <i/>
      <strike/>
      <condense/>
      <extend/>
      <outline/>
      <shadow/>
      <sz val="10"/>
      <color theme="5" tint="-0.249977111117893"/>
      <name val="Calibri"/>
      <family val="2"/>
      <scheme val="minor"/>
    </font>
    <font>
      <b/>
      <sz val="14"/>
      <color theme="9" tint="-0.499984740745262"/>
      <name val="Book Antiqua"/>
      <family val="1"/>
    </font>
    <font>
      <sz val="12"/>
      <color theme="9" tint="-0.499984740745262"/>
      <name val="Book Antiqua"/>
      <family val="1"/>
    </font>
    <font>
      <b/>
      <sz val="14"/>
      <color theme="9" tint="-0.499984740745262"/>
      <name val="Corbel"/>
      <family val="2"/>
    </font>
    <font>
      <sz val="10"/>
      <color theme="5"/>
      <name val="Calibri"/>
      <family val="2"/>
      <scheme val="minor"/>
    </font>
    <font>
      <b/>
      <sz val="16"/>
      <name val="Book Antiqua"/>
      <family val="1"/>
    </font>
    <font>
      <b/>
      <sz val="18"/>
      <name val="Book Antiqua"/>
      <family val="1"/>
    </font>
    <font>
      <b/>
      <sz val="22"/>
      <name val="Book Antiqua"/>
      <family val="1"/>
    </font>
    <font>
      <b/>
      <sz val="36"/>
      <name val="Book Antiqua"/>
      <family val="1"/>
    </font>
    <font>
      <b/>
      <sz val="14"/>
      <color rgb="FFFF0000"/>
      <name val="Book Antiqua"/>
      <family val="1"/>
    </font>
    <font>
      <b/>
      <sz val="16"/>
      <color rgb="FFFF0000"/>
      <name val="Book Antiqua"/>
      <family val="1"/>
    </font>
    <font>
      <b/>
      <i/>
      <strike/>
      <condense/>
      <extend/>
      <outline/>
      <shadow/>
      <sz val="10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b/>
      <i/>
      <strike/>
      <condense/>
      <extend/>
      <outline/>
      <shadow/>
      <sz val="10"/>
      <color theme="5" tint="-0.249977111117893"/>
      <name val="Calibri"/>
      <family val="2"/>
      <scheme val="minor"/>
    </font>
    <font>
      <b/>
      <sz val="12"/>
      <color theme="5" tint="-0.249977111117893"/>
      <name val="Book Antiqua"/>
      <family val="1"/>
    </font>
    <font>
      <b/>
      <i/>
      <strike/>
      <condense/>
      <extend/>
      <outline/>
      <shadow/>
      <sz val="10"/>
      <color theme="5" tint="-0.249977111117893"/>
      <name val="Calibri"/>
      <family val="2"/>
      <scheme val="minor"/>
    </font>
    <font>
      <b/>
      <sz val="18"/>
      <color theme="4" tint="-0.249977111117893"/>
      <name val="Book Antiqua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u val="singleAccounting"/>
      <sz val="10"/>
      <color theme="5" tint="-0.249977111117893"/>
      <name val="Calibri"/>
      <family val="2"/>
      <scheme val="minor"/>
    </font>
    <font>
      <b/>
      <sz val="16"/>
      <color theme="9" tint="-0.249977111117893"/>
      <name val="Book Antiqua"/>
      <family val="1"/>
    </font>
    <font>
      <b/>
      <i/>
      <strike/>
      <condense/>
      <extend/>
      <outline/>
      <shadow/>
      <sz val="10"/>
      <color theme="5" tint="-0.249977111117893"/>
      <name val="Calibri"/>
      <family val="2"/>
      <scheme val="minor"/>
    </font>
    <font>
      <b/>
      <sz val="16"/>
      <color theme="4"/>
      <name val="Book Antiqua"/>
      <family val="1"/>
    </font>
    <font>
      <sz val="16"/>
      <color theme="4"/>
      <name val="Book Antiqua"/>
      <family val="1"/>
    </font>
    <font>
      <b/>
      <sz val="12"/>
      <color theme="9" tint="-0.499984740745262"/>
      <name val="Book Antiqua"/>
      <family val="1"/>
    </font>
    <font>
      <sz val="10"/>
      <color theme="9" tint="-0.499984740745262"/>
      <name val="Book Antiqua"/>
      <family val="1"/>
    </font>
    <font>
      <b/>
      <sz val="12"/>
      <color rgb="FF7030A0"/>
      <name val="Book Antiqua"/>
      <family val="1"/>
    </font>
    <font>
      <sz val="10"/>
      <color rgb="FF7030A0"/>
      <name val="Book Antiqua"/>
      <family val="1"/>
    </font>
    <font>
      <sz val="12"/>
      <color rgb="FF7030A0"/>
      <name val="Book Antiqua"/>
      <family val="1"/>
    </font>
    <font>
      <b/>
      <sz val="14"/>
      <color rgb="FF7030A0"/>
      <name val="Corbel"/>
      <family val="2"/>
    </font>
    <font>
      <sz val="14"/>
      <color theme="1" tint="0.14999847407452621"/>
      <name val="Calibri"/>
      <family val="2"/>
      <scheme val="minor"/>
    </font>
    <font>
      <sz val="14"/>
      <color theme="1" tint="0.1499679555650502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outline/>
      <shadow/>
      <sz val="14"/>
      <color theme="4"/>
      <name val="Calibri"/>
      <family val="2"/>
      <scheme val="minor"/>
    </font>
    <font>
      <b/>
      <outline/>
      <shadow/>
      <sz val="14"/>
      <color theme="6" tint="-0.249977111117893"/>
      <name val="Calibri"/>
      <family val="2"/>
      <scheme val="minor"/>
    </font>
    <font>
      <sz val="14"/>
      <color theme="6" tint="-0.249977111117893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4"/>
      <color theme="9"/>
      <name val="Calibri"/>
      <family val="2"/>
      <scheme val="minor"/>
    </font>
    <font>
      <b/>
      <outline/>
      <shadow/>
      <sz val="14"/>
      <color theme="5"/>
      <name val="Calibri"/>
      <family val="2"/>
      <scheme val="minor"/>
    </font>
    <font>
      <sz val="14"/>
      <color theme="6" tint="-0.499984740745262"/>
      <name val="Calibri"/>
      <family val="2"/>
      <scheme val="minor"/>
    </font>
    <font>
      <sz val="14"/>
      <color theme="6"/>
      <name val="Calibri"/>
      <family val="2"/>
      <scheme val="minor"/>
    </font>
    <font>
      <sz val="14"/>
      <color theme="9" tint="-0.499984740745262"/>
      <name val="Book Antiqua"/>
      <family val="1"/>
    </font>
    <font>
      <b/>
      <sz val="14"/>
      <color theme="5"/>
      <name val="Book Antiqua"/>
      <family val="1"/>
    </font>
    <font>
      <b/>
      <sz val="13"/>
      <color rgb="FFFF0000"/>
      <name val="Book Antiqua"/>
      <family val="1"/>
    </font>
    <font>
      <sz val="13"/>
      <color rgb="FFFF0000"/>
      <name val="Book Antiqua"/>
      <family val="1"/>
    </font>
    <font>
      <b/>
      <sz val="13"/>
      <color rgb="FFFF0000"/>
      <name val="Corbel"/>
      <family val="2"/>
    </font>
    <font>
      <b/>
      <sz val="10"/>
      <color theme="5" tint="-0.249977111117893"/>
      <name val="Calibri"/>
      <family val="2"/>
      <scheme val="minor"/>
    </font>
    <font>
      <b/>
      <sz val="18"/>
      <color rgb="FFFF0000"/>
      <name val="Book Antiqua"/>
      <family val="1"/>
    </font>
    <font>
      <b/>
      <sz val="15"/>
      <color theme="9" tint="-0.499984740745262"/>
      <name val="Book Antiqua"/>
      <family val="1"/>
    </font>
    <font>
      <sz val="15"/>
      <color theme="9" tint="-0.499984740745262"/>
      <name val="Book Antiqua"/>
      <family val="1"/>
    </font>
    <font>
      <b/>
      <sz val="15"/>
      <color theme="9" tint="-0.499984740745262"/>
      <name val="Corbe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3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/>
      </top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dotted">
        <color theme="0" tint="-0.34998626667073579"/>
      </right>
      <top/>
      <bottom style="medium">
        <color theme="4" tint="0.39994506668294322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ck">
        <color theme="0"/>
      </bottom>
      <diagonal/>
    </border>
    <border>
      <left style="dotted">
        <color theme="0" tint="-0.34998626667073579"/>
      </left>
      <right/>
      <top style="thin">
        <color theme="0"/>
      </top>
      <bottom style="thin">
        <color theme="0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34998626667073579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thin">
        <color theme="0" tint="-0.34998626667073579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34998626667073579"/>
      </left>
      <right style="dotted">
        <color theme="0" tint="-0.249977111117893"/>
      </right>
      <top style="thin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thin">
        <color theme="0" tint="-0.34998626667073579"/>
      </top>
      <bottom style="dotted">
        <color theme="0" tint="-0.249977111117893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34998626667073579"/>
      </right>
      <top/>
      <bottom/>
      <diagonal/>
    </border>
    <border>
      <left/>
      <right style="dotted">
        <color theme="0" tint="-0.249977111117893"/>
      </right>
      <top style="dotted">
        <color theme="0" tint="-0.249977111117893"/>
      </top>
      <bottom style="thin">
        <color theme="0" tint="-0.34998626667073579"/>
      </bottom>
      <diagonal/>
    </border>
    <border>
      <left/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/>
      <right style="dotted">
        <color theme="0" tint="-0.249977111117893"/>
      </right>
      <top style="thin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/>
      <diagonal/>
    </border>
    <border>
      <left/>
      <right style="dotted">
        <color theme="0" tint="-0.249977111117893"/>
      </right>
      <top style="dotted">
        <color theme="0" tint="-0.249977111117893"/>
      </top>
      <bottom/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/>
      <diagonal/>
    </border>
    <border>
      <left/>
      <right style="dotted">
        <color theme="0" tint="-0.249977111117893"/>
      </right>
      <top/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/>
      <bottom/>
      <diagonal/>
    </border>
    <border>
      <left/>
      <right style="dotted">
        <color theme="0" tint="-0.249977111117893"/>
      </right>
      <top/>
      <bottom/>
      <diagonal/>
    </border>
    <border>
      <left style="thin">
        <color theme="0" tint="-0.34998626667073579"/>
      </left>
      <right style="dotted">
        <color theme="0" tint="-0.249977111117893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34998626667073579"/>
      </left>
      <right style="dotted">
        <color theme="0" tint="-0.249977111117893"/>
      </right>
      <top/>
      <bottom style="thin">
        <color auto="1"/>
      </bottom>
      <diagonal/>
    </border>
    <border>
      <left/>
      <right style="dotted">
        <color theme="0" tint="-0.249977111117893"/>
      </right>
      <top/>
      <bottom style="thin">
        <color auto="1"/>
      </bottom>
      <diagonal/>
    </border>
    <border>
      <left style="dotted">
        <color theme="0" tint="-0.249977111117893"/>
      </left>
      <right style="dotted">
        <color theme="0" tint="-0.249977111117893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thin">
        <color indexed="64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thin">
        <color indexed="64"/>
      </bottom>
      <diagonal/>
    </border>
    <border>
      <left style="dotted">
        <color theme="0" tint="-0.249977111117893"/>
      </left>
      <right style="dotted">
        <color theme="0" tint="-0.249977111117893"/>
      </right>
      <top/>
      <bottom style="thin">
        <color theme="0" tint="-0.34998626667073579"/>
      </bottom>
      <diagonal/>
    </border>
    <border>
      <left/>
      <right style="dotted">
        <color theme="0" tint="-0.249977111117893"/>
      </right>
      <top style="dotted">
        <color theme="0" tint="-0.249977111117893"/>
      </top>
      <bottom style="thin">
        <color indexed="64"/>
      </bottom>
      <diagonal/>
    </border>
    <border>
      <left style="thin">
        <color theme="0" tint="-0.34998626667073579"/>
      </left>
      <right style="dotted">
        <color theme="0" tint="-0.249977111117893"/>
      </right>
      <top/>
      <bottom style="double">
        <color indexed="64"/>
      </bottom>
      <diagonal/>
    </border>
    <border>
      <left style="thin">
        <color theme="0" tint="-0.34998626667073579"/>
      </left>
      <right/>
      <top/>
      <bottom style="double">
        <color indexed="64"/>
      </bottom>
      <diagonal/>
    </border>
    <border>
      <left/>
      <right style="dotted">
        <color theme="0" tint="-0.249977111117893"/>
      </right>
      <top/>
      <bottom style="double">
        <color indexed="64"/>
      </bottom>
      <diagonal/>
    </border>
    <border>
      <left style="dotted">
        <color theme="0" tint="-0.249977111117893"/>
      </left>
      <right style="dotted">
        <color theme="0" tint="-0.249977111117893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/>
      </top>
      <bottom/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/>
      <diagonal/>
    </border>
    <border>
      <left/>
      <right/>
      <top style="dotted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dashed">
        <color theme="0" tint="-0.249977111117893"/>
      </right>
      <top style="thin">
        <color theme="0"/>
      </top>
      <bottom style="dotted">
        <color theme="0" tint="-0.249977111117893"/>
      </bottom>
      <diagonal/>
    </border>
    <border>
      <left style="dashed">
        <color theme="0" tint="-0.249977111117893"/>
      </left>
      <right style="dashed">
        <color theme="0" tint="-0.249977111117893"/>
      </right>
      <top style="thin">
        <color theme="0"/>
      </top>
      <bottom style="dotted">
        <color theme="0" tint="-0.249977111117893"/>
      </bottom>
      <diagonal/>
    </border>
    <border>
      <left style="dashed">
        <color theme="0" tint="-0.249977111117893"/>
      </left>
      <right style="thin">
        <color theme="0" tint="-0.249977111117893"/>
      </right>
      <top style="thin">
        <color theme="0"/>
      </top>
      <bottom style="dotted">
        <color theme="0" tint="-0.249977111117893"/>
      </bottom>
      <diagonal/>
    </border>
    <border>
      <left style="thin">
        <color theme="0" tint="-0.249977111117893"/>
      </left>
      <right style="dashed">
        <color theme="0" tint="-0.249977111117893"/>
      </right>
      <top/>
      <bottom style="dotted">
        <color theme="0" tint="-0.249977111117893"/>
      </bottom>
      <diagonal/>
    </border>
    <border>
      <left style="dashed">
        <color theme="0" tint="-0.249977111117893"/>
      </left>
      <right style="dashed">
        <color theme="0" tint="-0.249977111117893"/>
      </right>
      <top/>
      <bottom style="dotted">
        <color theme="0" tint="-0.249977111117893"/>
      </bottom>
      <diagonal/>
    </border>
    <border>
      <left style="dashed">
        <color theme="0" tint="-0.249977111117893"/>
      </left>
      <right style="thin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ashed">
        <color theme="0" tint="-0.249977111117893"/>
      </left>
      <right style="dash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249977111117893"/>
      </left>
      <right style="dash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ashed">
        <color theme="0" tint="-0.249977111117893"/>
      </left>
      <right style="dashed">
        <color theme="0" tint="-0.249977111117893"/>
      </right>
      <top style="dotted">
        <color theme="0" tint="-0.249977111117893"/>
      </top>
      <bottom/>
      <diagonal/>
    </border>
    <border>
      <left style="thin">
        <color theme="0" tint="-0.249977111117893"/>
      </left>
      <right style="dashed">
        <color theme="0" tint="-0.249977111117893"/>
      </right>
      <top/>
      <bottom/>
      <diagonal/>
    </border>
    <border>
      <left style="dashed">
        <color theme="0" tint="-0.249977111117893"/>
      </left>
      <right style="dashed">
        <color theme="0" tint="-0.249977111117893"/>
      </right>
      <top/>
      <bottom/>
      <diagonal/>
    </border>
    <border>
      <left style="thin">
        <color theme="0" tint="-0.249977111117893"/>
      </left>
      <right style="dashed">
        <color theme="0" tint="-0.249977111117893"/>
      </right>
      <top/>
      <bottom style="double">
        <color indexed="64"/>
      </bottom>
      <diagonal/>
    </border>
    <border>
      <left style="dashed">
        <color theme="0" tint="-0.249977111117893"/>
      </left>
      <right style="dashed">
        <color theme="0" tint="-0.249977111117893"/>
      </right>
      <top/>
      <bottom style="double">
        <color indexed="64"/>
      </bottom>
      <diagonal/>
    </border>
    <border>
      <left style="dashed">
        <color theme="0" tint="-0.249977111117893"/>
      </left>
      <right style="thin">
        <color theme="0" tint="-0.249977111117893"/>
      </right>
      <top/>
      <bottom style="double">
        <color indexed="64"/>
      </bottom>
      <diagonal/>
    </border>
    <border>
      <left style="dashed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dashed">
        <color theme="0" tint="-0.249977111117893"/>
      </right>
      <top/>
      <bottom style="thin">
        <color theme="0" tint="-0.34998626667073579"/>
      </bottom>
      <diagonal/>
    </border>
    <border>
      <left style="dashed">
        <color theme="0" tint="-0.249977111117893"/>
      </left>
      <right style="thin">
        <color theme="0" tint="-0.249977111117893"/>
      </right>
      <top/>
      <bottom style="dotted">
        <color theme="0" tint="-0.249977111117893"/>
      </bottom>
      <diagonal/>
    </border>
    <border>
      <left style="thin">
        <color theme="0" tint="-0.249977111117893"/>
      </left>
      <right style="dashed">
        <color theme="0" tint="-0.249977111117893"/>
      </right>
      <top style="dotted">
        <color theme="0" tint="-0.249977111117893"/>
      </top>
      <bottom/>
      <diagonal/>
    </border>
    <border>
      <left style="thin">
        <color theme="0" tint="-0.249977111117893"/>
      </left>
      <right style="dashed">
        <color theme="0" tint="-0.249977111117893"/>
      </right>
      <top style="dotted">
        <color theme="0" tint="-0.249977111117893"/>
      </top>
      <bottom style="thin">
        <color auto="1"/>
      </bottom>
      <diagonal/>
    </border>
    <border>
      <left style="dashed">
        <color theme="0" tint="-0.249977111117893"/>
      </left>
      <right style="dashed">
        <color theme="0" tint="-0.249977111117893"/>
      </right>
      <top style="dotted">
        <color theme="0" tint="-0.249977111117893"/>
      </top>
      <bottom style="thin">
        <color auto="1"/>
      </bottom>
      <diagonal/>
    </border>
    <border>
      <left style="dashed">
        <color theme="0" tint="-0.249977111117893"/>
      </left>
      <right style="thin">
        <color theme="0" tint="-0.249977111117893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164" fontId="4" fillId="0" borderId="1">
      <alignment horizontal="right" vertical="center" wrapText="1" indent="1"/>
    </xf>
    <xf numFmtId="165" fontId="7" fillId="3" borderId="6" applyFont="0" applyAlignment="0">
      <alignment vertical="center"/>
    </xf>
    <xf numFmtId="43" fontId="16" fillId="0" borderId="0" applyFont="0" applyFill="0" applyBorder="0" applyAlignment="0" applyProtection="0"/>
    <xf numFmtId="0" fontId="18" fillId="6" borderId="0" applyNumberFormat="0" applyBorder="0" applyAlignment="0" applyProtection="0"/>
    <xf numFmtId="0" fontId="19" fillId="0" borderId="0"/>
    <xf numFmtId="0" fontId="20" fillId="7" borderId="12" applyNumberFormat="0" applyProtection="0">
      <alignment horizontal="left" vertical="center" indent="1"/>
    </xf>
    <xf numFmtId="0" fontId="21" fillId="7" borderId="12" applyNumberFormat="0" applyProtection="0">
      <alignment horizontal="center" vertical="center"/>
    </xf>
  </cellStyleXfs>
  <cellXfs count="528">
    <xf numFmtId="0" fontId="0" fillId="0" borderId="0" xfId="0">
      <alignment vertical="center"/>
    </xf>
    <xf numFmtId="43" fontId="0" fillId="0" borderId="0" xfId="3" applyFont="1" applyAlignment="1">
      <alignment horizontal="right" vertical="center"/>
    </xf>
    <xf numFmtId="43" fontId="0" fillId="0" borderId="0" xfId="3" applyFont="1" applyAlignment="1">
      <alignment vertical="center"/>
    </xf>
    <xf numFmtId="43" fontId="7" fillId="0" borderId="3" xfId="3" applyFont="1" applyBorder="1" applyAlignment="1">
      <alignment horizontal="right" wrapText="1" indent="1"/>
    </xf>
    <xf numFmtId="43" fontId="3" fillId="0" borderId="0" xfId="3" applyFont="1" applyAlignment="1">
      <alignment horizontal="right" wrapText="1" indent="1"/>
    </xf>
    <xf numFmtId="43" fontId="7" fillId="0" borderId="6" xfId="3" applyFont="1" applyBorder="1" applyAlignment="1">
      <alignment horizontal="right" vertical="center"/>
    </xf>
    <xf numFmtId="43" fontId="3" fillId="0" borderId="6" xfId="3" applyFont="1" applyBorder="1" applyAlignment="1">
      <alignment horizontal="right" vertical="center"/>
    </xf>
    <xf numFmtId="43" fontId="7" fillId="0" borderId="0" xfId="3" applyFont="1" applyAlignment="1">
      <alignment horizontal="right" vertical="center"/>
    </xf>
    <xf numFmtId="43" fontId="3" fillId="3" borderId="6" xfId="3" applyFont="1" applyFill="1" applyBorder="1" applyAlignment="1">
      <alignment vertical="center"/>
    </xf>
    <xf numFmtId="43" fontId="9" fillId="4" borderId="0" xfId="3" applyFont="1" applyFill="1" applyAlignment="1">
      <alignment horizontal="right" vertical="center"/>
    </xf>
    <xf numFmtId="43" fontId="7" fillId="3" borderId="6" xfId="3" applyFont="1" applyFill="1" applyBorder="1" applyAlignment="1">
      <alignment vertical="center"/>
    </xf>
    <xf numFmtId="43" fontId="11" fillId="0" borderId="0" xfId="3" applyFont="1" applyFill="1" applyAlignment="1">
      <alignment horizontal="right" vertical="center"/>
    </xf>
    <xf numFmtId="43" fontId="0" fillId="2" borderId="0" xfId="3" applyFont="1" applyFill="1" applyAlignment="1">
      <alignment vertical="center"/>
    </xf>
    <xf numFmtId="43" fontId="1" fillId="0" borderId="5" xfId="3" applyFont="1" applyBorder="1" applyAlignment="1"/>
    <xf numFmtId="43" fontId="0" fillId="2" borderId="4" xfId="3" applyFont="1" applyFill="1" applyBorder="1" applyAlignment="1">
      <alignment vertical="center"/>
    </xf>
    <xf numFmtId="43" fontId="7" fillId="2" borderId="9" xfId="3" applyFont="1" applyFill="1" applyBorder="1" applyAlignment="1">
      <alignment vertical="center"/>
    </xf>
    <xf numFmtId="43" fontId="0" fillId="0" borderId="6" xfId="3" applyFont="1" applyBorder="1" applyAlignment="1">
      <alignment vertical="center"/>
    </xf>
    <xf numFmtId="43" fontId="11" fillId="5" borderId="0" xfId="3" applyFont="1" applyFill="1" applyAlignment="1">
      <alignment horizontal="right" vertical="center"/>
    </xf>
    <xf numFmtId="43" fontId="3" fillId="0" borderId="1" xfId="3" applyFont="1" applyBorder="1" applyAlignment="1">
      <alignment horizontal="right" wrapText="1" indent="1"/>
    </xf>
    <xf numFmtId="43" fontId="3" fillId="2" borderId="2" xfId="3" applyFont="1" applyFill="1" applyBorder="1" applyAlignment="1">
      <alignment horizontal="right" wrapText="1" indent="1"/>
    </xf>
    <xf numFmtId="43" fontId="7" fillId="0" borderId="0" xfId="3" applyFont="1" applyAlignment="1">
      <alignment horizontal="right" wrapText="1" indent="1"/>
    </xf>
    <xf numFmtId="43" fontId="3" fillId="2" borderId="4" xfId="3" applyFont="1" applyFill="1" applyBorder="1" applyAlignment="1">
      <alignment horizontal="right" wrapText="1" indent="1"/>
    </xf>
    <xf numFmtId="43" fontId="7" fillId="2" borderId="2" xfId="3" applyFont="1" applyFill="1" applyBorder="1" applyAlignment="1">
      <alignment horizontal="right"/>
    </xf>
    <xf numFmtId="43" fontId="1" fillId="0" borderId="6" xfId="3" applyFont="1" applyBorder="1" applyAlignment="1">
      <alignment vertical="center"/>
    </xf>
    <xf numFmtId="43" fontId="7" fillId="2" borderId="4" xfId="3" applyFont="1" applyFill="1" applyBorder="1" applyAlignment="1">
      <alignment horizontal="right"/>
    </xf>
    <xf numFmtId="43" fontId="1" fillId="0" borderId="0" xfId="3" applyFont="1" applyAlignment="1">
      <alignment vertical="center"/>
    </xf>
    <xf numFmtId="43" fontId="0" fillId="2" borderId="7" xfId="3" applyFont="1" applyFill="1" applyBorder="1" applyAlignment="1">
      <alignment vertical="center"/>
    </xf>
    <xf numFmtId="43" fontId="8" fillId="0" borderId="4" xfId="3" applyFont="1" applyBorder="1" applyAlignment="1">
      <alignment vertical="center"/>
    </xf>
    <xf numFmtId="43" fontId="9" fillId="2" borderId="4" xfId="3" applyFont="1" applyFill="1" applyBorder="1" applyAlignment="1">
      <alignment vertical="center"/>
    </xf>
    <xf numFmtId="43" fontId="10" fillId="2" borderId="4" xfId="3" applyFont="1" applyFill="1" applyBorder="1" applyAlignment="1">
      <alignment vertical="center"/>
    </xf>
    <xf numFmtId="43" fontId="9" fillId="0" borderId="0" xfId="3" applyFont="1" applyAlignment="1">
      <alignment vertical="center"/>
    </xf>
    <xf numFmtId="43" fontId="9" fillId="0" borderId="0" xfId="3" applyFont="1" applyAlignment="1">
      <alignment horizontal="right" vertical="center"/>
    </xf>
    <xf numFmtId="43" fontId="10" fillId="0" borderId="4" xfId="3" applyFont="1" applyBorder="1" applyAlignment="1">
      <alignment vertical="center"/>
    </xf>
    <xf numFmtId="43" fontId="11" fillId="2" borderId="4" xfId="3" applyFont="1" applyFill="1" applyBorder="1" applyAlignment="1">
      <alignment vertical="center"/>
    </xf>
    <xf numFmtId="43" fontId="12" fillId="2" borderId="4" xfId="3" applyFont="1" applyFill="1" applyBorder="1" applyAlignment="1">
      <alignment vertical="center"/>
    </xf>
    <xf numFmtId="43" fontId="11" fillId="0" borderId="0" xfId="3" applyFont="1" applyFill="1" applyAlignment="1">
      <alignment vertical="center"/>
    </xf>
    <xf numFmtId="43" fontId="0" fillId="0" borderId="0" xfId="3" applyFont="1" applyFill="1" applyAlignment="1">
      <alignment vertical="center"/>
    </xf>
    <xf numFmtId="43" fontId="9" fillId="0" borderId="0" xfId="3" applyFont="1" applyFill="1" applyAlignment="1">
      <alignment horizontal="right" vertical="center"/>
    </xf>
    <xf numFmtId="43" fontId="9" fillId="5" borderId="0" xfId="3" applyFont="1" applyFill="1" applyAlignment="1">
      <alignment horizontal="right" vertical="center"/>
    </xf>
    <xf numFmtId="43" fontId="0" fillId="4" borderId="0" xfId="3" applyFont="1" applyFill="1" applyAlignment="1">
      <alignment horizontal="right" vertical="center"/>
    </xf>
    <xf numFmtId="43" fontId="11" fillId="4" borderId="0" xfId="3" applyFont="1" applyFill="1" applyAlignment="1">
      <alignment horizontal="right" vertical="center"/>
    </xf>
    <xf numFmtId="43" fontId="11" fillId="0" borderId="0" xfId="3" applyFont="1" applyAlignment="1">
      <alignment vertical="center"/>
    </xf>
    <xf numFmtId="43" fontId="11" fillId="0" borderId="0" xfId="3" applyFont="1" applyAlignment="1">
      <alignment horizontal="right" vertical="center"/>
    </xf>
    <xf numFmtId="43" fontId="8" fillId="2" borderId="4" xfId="3" applyFont="1" applyFill="1" applyBorder="1" applyAlignment="1">
      <alignment vertical="center"/>
    </xf>
    <xf numFmtId="43" fontId="13" fillId="0" borderId="0" xfId="3" applyFont="1" applyAlignment="1">
      <alignment horizontal="right" vertical="center"/>
    </xf>
    <xf numFmtId="43" fontId="12" fillId="0" borderId="4" xfId="3" applyFont="1" applyBorder="1" applyAlignment="1">
      <alignment vertical="center"/>
    </xf>
    <xf numFmtId="43" fontId="0" fillId="0" borderId="0" xfId="3" applyFont="1" applyAlignment="1"/>
    <xf numFmtId="43" fontId="17" fillId="2" borderId="4" xfId="3" applyFont="1" applyFill="1" applyBorder="1" applyAlignment="1">
      <alignment vertical="center"/>
    </xf>
    <xf numFmtId="43" fontId="11" fillId="5" borderId="0" xfId="3" applyFont="1" applyFill="1" applyAlignment="1">
      <alignment horizontal="left" vertical="center" indent="1"/>
    </xf>
    <xf numFmtId="43" fontId="18" fillId="6" borderId="0" xfId="4" applyNumberFormat="1" applyAlignment="1">
      <alignment horizontal="right" vertical="center"/>
    </xf>
    <xf numFmtId="43" fontId="11" fillId="5" borderId="11" xfId="3" applyNumberFormat="1" applyFont="1" applyFill="1" applyBorder="1" applyAlignment="1">
      <alignment horizontal="right" vertical="center"/>
    </xf>
    <xf numFmtId="43" fontId="0" fillId="2" borderId="4" xfId="0" applyNumberFormat="1" applyFont="1" applyFill="1" applyBorder="1" applyAlignment="1">
      <alignment vertical="center"/>
    </xf>
    <xf numFmtId="43" fontId="0" fillId="0" borderId="0" xfId="0" applyNumberFormat="1" applyFont="1" applyAlignment="1">
      <alignment vertical="center"/>
    </xf>
    <xf numFmtId="43" fontId="11" fillId="8" borderId="0" xfId="3" applyFont="1" applyFill="1" applyAlignment="1">
      <alignment horizontal="right" vertical="center"/>
    </xf>
    <xf numFmtId="43" fontId="17" fillId="8" borderId="4" xfId="3" applyFont="1" applyFill="1" applyBorder="1" applyAlignment="1">
      <alignment vertical="center"/>
    </xf>
    <xf numFmtId="43" fontId="11" fillId="8" borderId="0" xfId="3" applyFont="1" applyFill="1" applyAlignment="1">
      <alignment vertical="center"/>
    </xf>
    <xf numFmtId="43" fontId="11" fillId="0" borderId="4" xfId="3" applyFont="1" applyFill="1" applyBorder="1" applyAlignment="1">
      <alignment vertical="center"/>
    </xf>
    <xf numFmtId="0" fontId="22" fillId="0" borderId="0" xfId="5" applyFont="1" applyAlignment="1">
      <alignment wrapText="1"/>
    </xf>
    <xf numFmtId="0" fontId="22" fillId="0" borderId="0" xfId="5" applyFont="1"/>
    <xf numFmtId="0" fontId="22" fillId="0" borderId="0" xfId="5" applyFont="1" applyAlignment="1">
      <alignment horizontal="right"/>
    </xf>
    <xf numFmtId="0" fontId="24" fillId="0" borderId="0" xfId="5" applyFont="1"/>
    <xf numFmtId="0" fontId="23" fillId="7" borderId="12" xfId="6" applyFont="1" applyAlignment="1">
      <alignment horizontal="right" vertical="center" indent="1"/>
    </xf>
    <xf numFmtId="49" fontId="26" fillId="0" borderId="14" xfId="5" applyNumberFormat="1" applyFont="1" applyBorder="1"/>
    <xf numFmtId="44" fontId="26" fillId="0" borderId="14" xfId="5" applyNumberFormat="1" applyFont="1" applyBorder="1"/>
    <xf numFmtId="14" fontId="26" fillId="0" borderId="15" xfId="5" applyNumberFormat="1" applyFont="1" applyBorder="1" applyAlignment="1">
      <alignment horizontal="right"/>
    </xf>
    <xf numFmtId="49" fontId="26" fillId="0" borderId="16" xfId="5" applyNumberFormat="1" applyFont="1" applyBorder="1"/>
    <xf numFmtId="44" fontId="26" fillId="0" borderId="16" xfId="5" applyNumberFormat="1" applyFont="1" applyBorder="1"/>
    <xf numFmtId="14" fontId="26" fillId="0" borderId="17" xfId="5" applyNumberFormat="1" applyFont="1" applyBorder="1" applyAlignment="1">
      <alignment horizontal="right"/>
    </xf>
    <xf numFmtId="14" fontId="26" fillId="0" borderId="17" xfId="5" applyNumberFormat="1" applyFont="1" applyBorder="1" applyAlignment="1">
      <alignment horizontal="center"/>
    </xf>
    <xf numFmtId="49" fontId="26" fillId="0" borderId="19" xfId="5" applyNumberFormat="1" applyFont="1" applyBorder="1"/>
    <xf numFmtId="44" fontId="26" fillId="0" borderId="19" xfId="5" applyNumberFormat="1" applyFont="1" applyBorder="1"/>
    <xf numFmtId="14" fontId="26" fillId="0" borderId="20" xfId="5" applyNumberFormat="1" applyFont="1" applyBorder="1" applyAlignment="1">
      <alignment horizontal="right"/>
    </xf>
    <xf numFmtId="49" fontId="26" fillId="0" borderId="22" xfId="5" applyNumberFormat="1" applyFont="1" applyBorder="1"/>
    <xf numFmtId="44" fontId="26" fillId="0" borderId="22" xfId="5" applyNumberFormat="1" applyFont="1" applyBorder="1"/>
    <xf numFmtId="14" fontId="26" fillId="0" borderId="23" xfId="5" applyNumberFormat="1" applyFont="1" applyBorder="1" applyAlignment="1">
      <alignment horizontal="right"/>
    </xf>
    <xf numFmtId="0" fontId="28" fillId="0" borderId="0" xfId="5" applyFont="1" applyAlignment="1">
      <alignment wrapText="1"/>
    </xf>
    <xf numFmtId="0" fontId="28" fillId="0" borderId="0" xfId="5" applyFont="1"/>
    <xf numFmtId="166" fontId="11" fillId="5" borderId="0" xfId="3" applyNumberFormat="1" applyFont="1" applyFill="1" applyAlignment="1">
      <alignment horizontal="right" vertical="center"/>
    </xf>
    <xf numFmtId="43" fontId="11" fillId="5" borderId="0" xfId="3" applyNumberFormat="1" applyFont="1" applyFill="1" applyAlignment="1">
      <alignment horizontal="right" vertical="center"/>
    </xf>
    <xf numFmtId="43" fontId="11" fillId="0" borderId="0" xfId="3" applyNumberFormat="1" applyFont="1" applyFill="1" applyAlignment="1">
      <alignment horizontal="right" vertical="center"/>
    </xf>
    <xf numFmtId="43" fontId="29" fillId="2" borderId="4" xfId="3" applyFont="1" applyFill="1" applyBorder="1" applyAlignment="1">
      <alignment vertical="center"/>
    </xf>
    <xf numFmtId="0" fontId="23" fillId="7" borderId="12" xfId="6" applyFont="1">
      <alignment horizontal="left" vertical="center" indent="1"/>
    </xf>
    <xf numFmtId="0" fontId="22" fillId="0" borderId="0" xfId="5" applyFont="1" applyAlignment="1">
      <alignment horizontal="center"/>
    </xf>
    <xf numFmtId="0" fontId="22" fillId="0" borderId="0" xfId="5" applyFont="1" applyAlignment="1">
      <alignment horizontal="center" vertical="center"/>
    </xf>
    <xf numFmtId="44" fontId="30" fillId="0" borderId="0" xfId="5" applyNumberFormat="1" applyFont="1" applyAlignment="1">
      <alignment horizontal="center" vertical="center"/>
    </xf>
    <xf numFmtId="44" fontId="30" fillId="0" borderId="0" xfId="5" applyNumberFormat="1" applyFont="1"/>
    <xf numFmtId="14" fontId="31" fillId="0" borderId="20" xfId="5" applyNumberFormat="1" applyFont="1" applyBorder="1"/>
    <xf numFmtId="44" fontId="32" fillId="0" borderId="26" xfId="5" applyNumberFormat="1" applyFont="1" applyBorder="1" applyAlignment="1">
      <alignment horizontal="center" vertical="center"/>
    </xf>
    <xf numFmtId="0" fontId="33" fillId="0" borderId="17" xfId="5" applyFont="1" applyBorder="1" applyAlignment="1">
      <alignment horizontal="center"/>
    </xf>
    <xf numFmtId="44" fontId="32" fillId="0" borderId="27" xfId="5" applyNumberFormat="1" applyFont="1" applyBorder="1" applyAlignment="1">
      <alignment horizontal="center" vertical="center"/>
    </xf>
    <xf numFmtId="44" fontId="32" fillId="0" borderId="28" xfId="5" applyNumberFormat="1" applyFont="1" applyBorder="1" applyAlignment="1">
      <alignment horizontal="center" vertical="center"/>
    </xf>
    <xf numFmtId="0" fontId="33" fillId="0" borderId="29" xfId="5" applyFont="1" applyBorder="1" applyAlignment="1">
      <alignment horizontal="center"/>
    </xf>
    <xf numFmtId="14" fontId="26" fillId="0" borderId="29" xfId="5" applyNumberFormat="1" applyFont="1" applyBorder="1" applyAlignment="1">
      <alignment horizontal="right"/>
    </xf>
    <xf numFmtId="44" fontId="32" fillId="0" borderId="30" xfId="5" applyNumberFormat="1" applyFont="1" applyBorder="1" applyAlignment="1">
      <alignment horizontal="center" vertical="center"/>
    </xf>
    <xf numFmtId="49" fontId="26" fillId="0" borderId="31" xfId="5" applyNumberFormat="1" applyFont="1" applyBorder="1"/>
    <xf numFmtId="44" fontId="26" fillId="0" borderId="31" xfId="5" applyNumberFormat="1" applyFont="1" applyBorder="1"/>
    <xf numFmtId="44" fontId="32" fillId="0" borderId="32" xfId="5" applyNumberFormat="1" applyFont="1" applyBorder="1" applyAlignment="1">
      <alignment horizontal="center" vertical="center"/>
    </xf>
    <xf numFmtId="44" fontId="32" fillId="0" borderId="34" xfId="5" applyNumberFormat="1" applyFont="1" applyBorder="1" applyAlignment="1">
      <alignment horizontal="center" vertical="center"/>
    </xf>
    <xf numFmtId="0" fontId="23" fillId="7" borderId="36" xfId="7" applyFont="1" applyBorder="1">
      <alignment horizontal="center" vertical="center"/>
    </xf>
    <xf numFmtId="0" fontId="23" fillId="7" borderId="12" xfId="6" applyFont="1" applyAlignment="1">
      <alignment horizontal="center" vertical="center"/>
    </xf>
    <xf numFmtId="43" fontId="13" fillId="0" borderId="0" xfId="3" applyFont="1" applyFill="1" applyAlignment="1">
      <alignment horizontal="right" vertical="center"/>
    </xf>
    <xf numFmtId="44" fontId="32" fillId="0" borderId="30" xfId="5" applyNumberFormat="1" applyFont="1" applyBorder="1" applyAlignment="1">
      <alignment horizontal="center" vertical="center" wrapText="1"/>
    </xf>
    <xf numFmtId="49" fontId="25" fillId="0" borderId="16" xfId="5" applyNumberFormat="1" applyFont="1" applyBorder="1" applyAlignment="1">
      <alignment vertical="center"/>
    </xf>
    <xf numFmtId="49" fontId="25" fillId="0" borderId="31" xfId="5" applyNumberFormat="1" applyFont="1" applyBorder="1" applyAlignment="1">
      <alignment vertical="center"/>
    </xf>
    <xf numFmtId="0" fontId="28" fillId="0" borderId="0" xfId="5" applyFont="1" applyAlignment="1">
      <alignment vertical="center"/>
    </xf>
    <xf numFmtId="0" fontId="34" fillId="0" borderId="0" xfId="5" applyFont="1" applyAlignment="1">
      <alignment vertical="center"/>
    </xf>
    <xf numFmtId="0" fontId="23" fillId="7" borderId="12" xfId="6" applyFont="1" applyAlignment="1">
      <alignment horizontal="right" vertical="center"/>
    </xf>
    <xf numFmtId="0" fontId="23" fillId="7" borderId="36" xfId="7" applyFont="1" applyBorder="1" applyAlignment="1">
      <alignment horizontal="center" vertical="center"/>
    </xf>
    <xf numFmtId="14" fontId="26" fillId="0" borderId="15" xfId="5" applyNumberFormat="1" applyFont="1" applyBorder="1" applyAlignment="1">
      <alignment horizontal="right" vertical="center"/>
    </xf>
    <xf numFmtId="0" fontId="33" fillId="0" borderId="17" xfId="5" applyFont="1" applyBorder="1" applyAlignment="1">
      <alignment horizontal="center" vertical="center"/>
    </xf>
    <xf numFmtId="44" fontId="35" fillId="0" borderId="16" xfId="5" applyNumberFormat="1" applyFont="1" applyBorder="1" applyAlignment="1">
      <alignment vertical="center"/>
    </xf>
    <xf numFmtId="14" fontId="26" fillId="0" borderId="17" xfId="5" applyNumberFormat="1" applyFont="1" applyBorder="1" applyAlignment="1">
      <alignment horizontal="right" vertical="center"/>
    </xf>
    <xf numFmtId="0" fontId="33" fillId="0" borderId="29" xfId="5" applyFont="1" applyBorder="1" applyAlignment="1">
      <alignment horizontal="center" vertical="center"/>
    </xf>
    <xf numFmtId="0" fontId="25" fillId="10" borderId="13" xfId="5" applyFont="1" applyFill="1" applyBorder="1" applyAlignment="1">
      <alignment horizontal="left" vertical="center" textRotation="136" wrapText="1"/>
    </xf>
    <xf numFmtId="44" fontId="35" fillId="0" borderId="35" xfId="5" applyNumberFormat="1" applyFont="1" applyBorder="1" applyAlignment="1">
      <alignment vertical="center"/>
    </xf>
    <xf numFmtId="14" fontId="26" fillId="0" borderId="33" xfId="5" applyNumberFormat="1" applyFont="1" applyBorder="1" applyAlignment="1">
      <alignment horizontal="right" vertical="center"/>
    </xf>
    <xf numFmtId="14" fontId="26" fillId="0" borderId="20" xfId="5" applyNumberFormat="1" applyFont="1" applyBorder="1" applyAlignment="1">
      <alignment horizontal="right" vertical="center"/>
    </xf>
    <xf numFmtId="14" fontId="26" fillId="0" borderId="29" xfId="5" applyNumberFormat="1" applyFont="1" applyBorder="1" applyAlignment="1">
      <alignment horizontal="right" vertical="center"/>
    </xf>
    <xf numFmtId="8" fontId="35" fillId="0" borderId="16" xfId="5" applyNumberFormat="1" applyFont="1" applyBorder="1" applyAlignment="1">
      <alignment vertical="center"/>
    </xf>
    <xf numFmtId="0" fontId="28" fillId="0" borderId="0" xfId="5" applyFont="1" applyAlignment="1">
      <alignment vertical="center" wrapText="1"/>
    </xf>
    <xf numFmtId="0" fontId="22" fillId="0" borderId="0" xfId="5" applyFont="1" applyAlignment="1">
      <alignment horizontal="right" vertical="center"/>
    </xf>
    <xf numFmtId="0" fontId="22" fillId="0" borderId="0" xfId="5" applyFont="1" applyAlignment="1">
      <alignment vertical="center"/>
    </xf>
    <xf numFmtId="0" fontId="22" fillId="0" borderId="0" xfId="5" applyFont="1" applyAlignment="1">
      <alignment vertical="center" wrapText="1"/>
    </xf>
    <xf numFmtId="0" fontId="36" fillId="0" borderId="0" xfId="5" applyFont="1" applyAlignment="1">
      <alignment vertical="center"/>
    </xf>
    <xf numFmtId="43" fontId="40" fillId="2" borderId="4" xfId="3" applyFont="1" applyFill="1" applyBorder="1" applyAlignment="1">
      <alignment vertical="center"/>
    </xf>
    <xf numFmtId="44" fontId="26" fillId="9" borderId="16" xfId="5" applyNumberFormat="1" applyFont="1" applyFill="1" applyBorder="1"/>
    <xf numFmtId="43" fontId="41" fillId="0" borderId="0" xfId="3" applyFont="1" applyAlignment="1">
      <alignment vertical="center"/>
    </xf>
    <xf numFmtId="14" fontId="27" fillId="0" borderId="27" xfId="5" applyNumberFormat="1" applyFont="1" applyBorder="1" applyAlignment="1">
      <alignment horizontal="center"/>
    </xf>
    <xf numFmtId="44" fontId="32" fillId="0" borderId="17" xfId="5" applyNumberFormat="1" applyFont="1" applyBorder="1" applyAlignment="1">
      <alignment horizontal="center" vertical="center"/>
    </xf>
    <xf numFmtId="49" fontId="25" fillId="0" borderId="14" xfId="5" applyNumberFormat="1" applyFont="1" applyBorder="1"/>
    <xf numFmtId="49" fontId="25" fillId="0" borderId="16" xfId="5" applyNumberFormat="1" applyFont="1" applyBorder="1"/>
    <xf numFmtId="49" fontId="25" fillId="0" borderId="31" xfId="5" applyNumberFormat="1" applyFont="1" applyBorder="1"/>
    <xf numFmtId="0" fontId="34" fillId="0" borderId="0" xfId="5" applyFont="1"/>
    <xf numFmtId="43" fontId="45" fillId="0" borderId="0" xfId="3" applyFont="1" applyAlignment="1">
      <alignment horizontal="right" vertical="center"/>
    </xf>
    <xf numFmtId="43" fontId="45" fillId="0" borderId="0" xfId="3" applyFont="1" applyFill="1" applyAlignment="1">
      <alignment horizontal="right" vertical="center"/>
    </xf>
    <xf numFmtId="43" fontId="45" fillId="8" borderId="0" xfId="3" applyFont="1" applyFill="1" applyAlignment="1">
      <alignment horizontal="right" vertical="center"/>
    </xf>
    <xf numFmtId="43" fontId="46" fillId="2" borderId="4" xfId="3" applyFont="1" applyFill="1" applyBorder="1" applyAlignment="1">
      <alignment vertical="center"/>
    </xf>
    <xf numFmtId="43" fontId="13" fillId="0" borderId="0" xfId="0" applyNumberFormat="1" applyFont="1" applyAlignment="1">
      <alignment horizontal="right" vertical="center"/>
    </xf>
    <xf numFmtId="44" fontId="48" fillId="0" borderId="16" xfId="5" applyNumberFormat="1" applyFont="1" applyBorder="1"/>
    <xf numFmtId="44" fontId="48" fillId="0" borderId="14" xfId="5" applyNumberFormat="1" applyFont="1" applyBorder="1"/>
    <xf numFmtId="44" fontId="48" fillId="0" borderId="16" xfId="5" applyNumberFormat="1" applyFont="1" applyBorder="1" applyAlignment="1">
      <alignment horizontal="center"/>
    </xf>
    <xf numFmtId="43" fontId="51" fillId="2" borderId="4" xfId="3" applyFont="1" applyFill="1" applyBorder="1" applyAlignment="1">
      <alignment vertical="center"/>
    </xf>
    <xf numFmtId="49" fontId="52" fillId="0" borderId="16" xfId="5" applyNumberFormat="1" applyFont="1" applyBorder="1"/>
    <xf numFmtId="44" fontId="44" fillId="0" borderId="27" xfId="5" applyNumberFormat="1" applyFont="1" applyBorder="1" applyAlignment="1">
      <alignment horizontal="center" vertical="center"/>
    </xf>
    <xf numFmtId="49" fontId="55" fillId="0" borderId="16" xfId="5" applyNumberFormat="1" applyFont="1" applyBorder="1"/>
    <xf numFmtId="44" fontId="56" fillId="0" borderId="16" xfId="5" applyNumberFormat="1" applyFont="1" applyBorder="1"/>
    <xf numFmtId="44" fontId="57" fillId="0" borderId="27" xfId="5" applyNumberFormat="1" applyFont="1" applyBorder="1" applyAlignment="1">
      <alignment horizontal="center" vertical="center"/>
    </xf>
    <xf numFmtId="14" fontId="55" fillId="0" borderId="17" xfId="5" applyNumberFormat="1" applyFont="1" applyBorder="1" applyAlignment="1">
      <alignment horizontal="right"/>
    </xf>
    <xf numFmtId="49" fontId="54" fillId="0" borderId="16" xfId="5" applyNumberFormat="1" applyFont="1" applyBorder="1"/>
    <xf numFmtId="44" fontId="27" fillId="0" borderId="27" xfId="5" applyNumberFormat="1" applyFont="1" applyBorder="1" applyAlignment="1">
      <alignment horizontal="center" vertical="center"/>
    </xf>
    <xf numFmtId="0" fontId="23" fillId="7" borderId="36" xfId="6" applyFont="1" applyBorder="1" applyAlignment="1">
      <alignment horizontal="center" vertical="center"/>
    </xf>
    <xf numFmtId="43" fontId="58" fillId="2" borderId="4" xfId="3" applyFont="1" applyFill="1" applyBorder="1" applyAlignment="1">
      <alignment vertical="center"/>
    </xf>
    <xf numFmtId="44" fontId="22" fillId="0" borderId="0" xfId="5" applyNumberFormat="1" applyFont="1"/>
    <xf numFmtId="43" fontId="18" fillId="11" borderId="0" xfId="4" applyNumberFormat="1" applyFill="1" applyAlignment="1">
      <alignment horizontal="right" vertical="center"/>
    </xf>
    <xf numFmtId="43" fontId="62" fillId="0" borderId="0" xfId="3" applyFont="1" applyAlignment="1">
      <alignment horizontal="right" vertical="center"/>
    </xf>
    <xf numFmtId="43" fontId="62" fillId="5" borderId="0" xfId="3" applyFont="1" applyFill="1" applyAlignment="1">
      <alignment horizontal="right" vertical="center"/>
    </xf>
    <xf numFmtId="43" fontId="62" fillId="0" borderId="0" xfId="3" applyFont="1" applyFill="1" applyAlignment="1">
      <alignment horizontal="right" vertical="center"/>
    </xf>
    <xf numFmtId="43" fontId="2" fillId="0" borderId="0" xfId="3" applyFont="1" applyAlignment="1">
      <alignment vertical="center"/>
    </xf>
    <xf numFmtId="43" fontId="3" fillId="0" borderId="1" xfId="3" applyFont="1" applyBorder="1" applyAlignment="1">
      <alignment horizontal="right" vertical="center" wrapText="1"/>
    </xf>
    <xf numFmtId="43" fontId="4" fillId="0" borderId="1" xfId="3" applyFont="1" applyBorder="1" applyAlignment="1">
      <alignment horizontal="right" vertical="center" wrapText="1"/>
    </xf>
    <xf numFmtId="43" fontId="5" fillId="2" borderId="2" xfId="3" applyFont="1" applyFill="1" applyBorder="1" applyAlignment="1">
      <alignment horizontal="right" vertical="center" wrapText="1"/>
    </xf>
    <xf numFmtId="43" fontId="6" fillId="0" borderId="1" xfId="3" applyFont="1" applyBorder="1" applyAlignment="1">
      <alignment horizontal="right" vertical="center" wrapText="1"/>
    </xf>
    <xf numFmtId="43" fontId="0" fillId="2" borderId="8" xfId="0" applyNumberFormat="1" applyFont="1" applyFill="1" applyBorder="1" applyAlignment="1">
      <alignment vertical="center"/>
    </xf>
    <xf numFmtId="0" fontId="24" fillId="0" borderId="0" xfId="5" applyFont="1" applyAlignment="1">
      <alignment horizontal="center"/>
    </xf>
    <xf numFmtId="49" fontId="26" fillId="0" borderId="16" xfId="5" applyNumberFormat="1" applyFont="1" applyBorder="1" applyAlignment="1">
      <alignment horizontal="center"/>
    </xf>
    <xf numFmtId="0" fontId="34" fillId="0" borderId="0" xfId="5" applyFont="1" applyAlignment="1">
      <alignment wrapText="1"/>
    </xf>
    <xf numFmtId="49" fontId="68" fillId="0" borderId="19" xfId="5" applyNumberFormat="1" applyFont="1" applyBorder="1"/>
    <xf numFmtId="44" fontId="43" fillId="0" borderId="19" xfId="5" applyNumberFormat="1" applyFont="1" applyBorder="1"/>
    <xf numFmtId="44" fontId="68" fillId="0" borderId="19" xfId="5" applyNumberFormat="1" applyFont="1" applyBorder="1"/>
    <xf numFmtId="49" fontId="68" fillId="0" borderId="31" xfId="5" applyNumberFormat="1" applyFont="1" applyBorder="1"/>
    <xf numFmtId="44" fontId="68" fillId="0" borderId="31" xfId="5" applyNumberFormat="1" applyFont="1" applyBorder="1"/>
    <xf numFmtId="44" fontId="44" fillId="0" borderId="27" xfId="5" applyNumberFormat="1" applyFont="1" applyFill="1" applyBorder="1" applyAlignment="1">
      <alignment horizontal="center" vertical="center"/>
    </xf>
    <xf numFmtId="49" fontId="26" fillId="0" borderId="41" xfId="5" applyNumberFormat="1" applyFont="1" applyBorder="1" applyAlignment="1">
      <alignment horizontal="center"/>
    </xf>
    <xf numFmtId="44" fontId="26" fillId="0" borderId="41" xfId="5" applyNumberFormat="1" applyFont="1" applyBorder="1"/>
    <xf numFmtId="14" fontId="26" fillId="0" borderId="41" xfId="5" applyNumberFormat="1" applyFont="1" applyBorder="1" applyAlignment="1">
      <alignment horizontal="center"/>
    </xf>
    <xf numFmtId="14" fontId="26" fillId="0" borderId="41" xfId="5" applyNumberFormat="1" applyFont="1" applyBorder="1" applyAlignment="1">
      <alignment horizontal="right"/>
    </xf>
    <xf numFmtId="0" fontId="27" fillId="0" borderId="41" xfId="5" applyFont="1" applyBorder="1" applyAlignment="1">
      <alignment horizontal="center" vertical="center"/>
    </xf>
    <xf numFmtId="49" fontId="25" fillId="0" borderId="41" xfId="5" applyNumberFormat="1" applyFont="1" applyBorder="1"/>
    <xf numFmtId="44" fontId="48" fillId="0" borderId="41" xfId="5" applyNumberFormat="1" applyFont="1" applyBorder="1"/>
    <xf numFmtId="44" fontId="32" fillId="0" borderId="41" xfId="5" applyNumberFormat="1" applyFont="1" applyBorder="1" applyAlignment="1">
      <alignment horizontal="center" vertical="center"/>
    </xf>
    <xf numFmtId="14" fontId="26" fillId="0" borderId="42" xfId="5" applyNumberFormat="1" applyFont="1" applyBorder="1" applyAlignment="1">
      <alignment horizontal="center"/>
    </xf>
    <xf numFmtId="14" fontId="26" fillId="0" borderId="42" xfId="5" applyNumberFormat="1" applyFont="1" applyBorder="1" applyAlignment="1">
      <alignment horizontal="right"/>
    </xf>
    <xf numFmtId="0" fontId="27" fillId="0" borderId="42" xfId="5" applyFont="1" applyBorder="1" applyAlignment="1">
      <alignment horizontal="center" vertical="center"/>
    </xf>
    <xf numFmtId="49" fontId="67" fillId="0" borderId="43" xfId="5" applyNumberFormat="1" applyFont="1" applyBorder="1"/>
    <xf numFmtId="49" fontId="53" fillId="0" borderId="43" xfId="5" applyNumberFormat="1" applyFont="1" applyBorder="1" applyAlignment="1">
      <alignment horizontal="center"/>
    </xf>
    <xf numFmtId="14" fontId="26" fillId="0" borderId="43" xfId="5" applyNumberFormat="1" applyFont="1" applyBorder="1" applyAlignment="1">
      <alignment horizontal="center"/>
    </xf>
    <xf numFmtId="14" fontId="26" fillId="0" borderId="43" xfId="5" applyNumberFormat="1" applyFont="1" applyBorder="1" applyAlignment="1">
      <alignment horizontal="right"/>
    </xf>
    <xf numFmtId="0" fontId="27" fillId="0" borderId="43" xfId="5" applyFont="1" applyBorder="1" applyAlignment="1">
      <alignment horizontal="center" vertical="center"/>
    </xf>
    <xf numFmtId="0" fontId="28" fillId="0" borderId="44" xfId="5" applyFont="1" applyBorder="1" applyAlignment="1">
      <alignment wrapText="1"/>
    </xf>
    <xf numFmtId="0" fontId="28" fillId="0" borderId="45" xfId="5" applyFont="1" applyBorder="1" applyAlignment="1">
      <alignment wrapText="1"/>
    </xf>
    <xf numFmtId="0" fontId="28" fillId="0" borderId="45" xfId="5" applyFont="1" applyBorder="1" applyAlignment="1">
      <alignment horizontal="center"/>
    </xf>
    <xf numFmtId="44" fontId="28" fillId="0" borderId="45" xfId="5" applyNumberFormat="1" applyFont="1" applyBorder="1"/>
    <xf numFmtId="0" fontId="22" fillId="0" borderId="45" xfId="5" applyFont="1" applyBorder="1" applyAlignment="1">
      <alignment horizontal="center"/>
    </xf>
    <xf numFmtId="0" fontId="22" fillId="0" borderId="45" xfId="5" applyFont="1" applyBorder="1" applyAlignment="1">
      <alignment horizontal="right"/>
    </xf>
    <xf numFmtId="0" fontId="22" fillId="0" borderId="46" xfId="5" applyFont="1" applyBorder="1"/>
    <xf numFmtId="49" fontId="25" fillId="0" borderId="40" xfId="5" applyNumberFormat="1" applyFont="1" applyBorder="1"/>
    <xf numFmtId="49" fontId="26" fillId="0" borderId="40" xfId="5" applyNumberFormat="1" applyFont="1" applyBorder="1" applyAlignment="1">
      <alignment horizontal="center"/>
    </xf>
    <xf numFmtId="44" fontId="26" fillId="0" borderId="40" xfId="5" applyNumberFormat="1" applyFont="1" applyBorder="1"/>
    <xf numFmtId="14" fontId="26" fillId="0" borderId="40" xfId="5" applyNumberFormat="1" applyFont="1" applyBorder="1" applyAlignment="1">
      <alignment horizontal="center"/>
    </xf>
    <xf numFmtId="14" fontId="26" fillId="0" borderId="40" xfId="5" applyNumberFormat="1" applyFont="1" applyBorder="1" applyAlignment="1">
      <alignment horizontal="right"/>
    </xf>
    <xf numFmtId="0" fontId="27" fillId="0" borderId="40" xfId="5" applyFont="1" applyBorder="1" applyAlignment="1">
      <alignment horizontal="center" vertical="center"/>
    </xf>
    <xf numFmtId="49" fontId="67" fillId="0" borderId="42" xfId="5" applyNumberFormat="1" applyFont="1" applyBorder="1"/>
    <xf numFmtId="49" fontId="53" fillId="0" borderId="42" xfId="5" applyNumberFormat="1" applyFont="1" applyBorder="1" applyAlignment="1">
      <alignment horizontal="center"/>
    </xf>
    <xf numFmtId="0" fontId="23" fillId="7" borderId="36" xfId="6" applyFont="1" applyBorder="1" applyAlignment="1">
      <alignment horizontal="right" vertical="center"/>
    </xf>
    <xf numFmtId="44" fontId="67" fillId="0" borderId="42" xfId="5" applyNumberFormat="1" applyFont="1" applyBorder="1"/>
    <xf numFmtId="44" fontId="67" fillId="0" borderId="43" xfId="5" applyNumberFormat="1" applyFont="1" applyBorder="1"/>
    <xf numFmtId="49" fontId="43" fillId="0" borderId="41" xfId="5" applyNumberFormat="1" applyFont="1" applyBorder="1"/>
    <xf numFmtId="49" fontId="52" fillId="0" borderId="41" xfId="5" applyNumberFormat="1" applyFont="1" applyBorder="1" applyAlignment="1">
      <alignment horizontal="center"/>
    </xf>
    <xf numFmtId="44" fontId="44" fillId="0" borderId="41" xfId="5" applyNumberFormat="1" applyFont="1" applyBorder="1" applyAlignment="1">
      <alignment horizontal="center" vertical="center"/>
    </xf>
    <xf numFmtId="49" fontId="26" fillId="0" borderId="14" xfId="5" applyNumberFormat="1" applyFont="1" applyBorder="1" applyAlignment="1">
      <alignment horizontal="center"/>
    </xf>
    <xf numFmtId="49" fontId="43" fillId="0" borderId="19" xfId="5" applyNumberFormat="1" applyFont="1" applyBorder="1" applyAlignment="1">
      <alignment horizontal="center"/>
    </xf>
    <xf numFmtId="49" fontId="68" fillId="0" borderId="19" xfId="5" applyNumberFormat="1" applyFont="1" applyBorder="1" applyAlignment="1">
      <alignment horizontal="center"/>
    </xf>
    <xf numFmtId="49" fontId="26" fillId="0" borderId="22" xfId="5" applyNumberFormat="1" applyFont="1" applyBorder="1" applyAlignment="1">
      <alignment horizontal="center"/>
    </xf>
    <xf numFmtId="49" fontId="26" fillId="0" borderId="19" xfId="5" applyNumberFormat="1" applyFont="1" applyBorder="1" applyAlignment="1">
      <alignment horizontal="center"/>
    </xf>
    <xf numFmtId="0" fontId="28" fillId="0" borderId="0" xfId="5" applyFont="1" applyAlignment="1">
      <alignment horizontal="center"/>
    </xf>
    <xf numFmtId="49" fontId="54" fillId="0" borderId="41" xfId="5" applyNumberFormat="1" applyFont="1" applyBorder="1"/>
    <xf numFmtId="49" fontId="55" fillId="0" borderId="41" xfId="5" applyNumberFormat="1" applyFont="1" applyBorder="1" applyAlignment="1">
      <alignment horizontal="center"/>
    </xf>
    <xf numFmtId="44" fontId="55" fillId="0" borderId="41" xfId="5" applyNumberFormat="1" applyFont="1" applyBorder="1"/>
    <xf numFmtId="14" fontId="55" fillId="0" borderId="41" xfId="5" applyNumberFormat="1" applyFont="1" applyBorder="1" applyAlignment="1">
      <alignment horizontal="center"/>
    </xf>
    <xf numFmtId="14" fontId="55" fillId="0" borderId="41" xfId="5" applyNumberFormat="1" applyFont="1" applyBorder="1" applyAlignment="1">
      <alignment horizontal="right"/>
    </xf>
    <xf numFmtId="14" fontId="26" fillId="0" borderId="41" xfId="5" applyNumberFormat="1" applyFont="1" applyBorder="1"/>
    <xf numFmtId="44" fontId="52" fillId="9" borderId="41" xfId="5" applyNumberFormat="1" applyFont="1" applyFill="1" applyBorder="1"/>
    <xf numFmtId="43" fontId="9" fillId="0" borderId="0" xfId="3" applyFont="1" applyBorder="1" applyAlignment="1">
      <alignment horizontal="right" vertical="center"/>
    </xf>
    <xf numFmtId="43" fontId="69" fillId="2" borderId="4" xfId="3" applyFont="1" applyFill="1" applyBorder="1" applyAlignment="1">
      <alignment vertical="center"/>
    </xf>
    <xf numFmtId="43" fontId="0" fillId="0" borderId="0" xfId="3" applyNumberFormat="1" applyFont="1" applyFill="1" applyAlignment="1">
      <alignment vertical="center"/>
    </xf>
    <xf numFmtId="14" fontId="26" fillId="0" borderId="27" xfId="5" applyNumberFormat="1" applyFont="1" applyBorder="1" applyAlignment="1">
      <alignment horizontal="center"/>
    </xf>
    <xf numFmtId="44" fontId="26" fillId="12" borderId="16" xfId="5" applyNumberFormat="1" applyFont="1" applyFill="1" applyBorder="1"/>
    <xf numFmtId="44" fontId="26" fillId="0" borderId="41" xfId="5" applyNumberFormat="1" applyFont="1" applyBorder="1" applyAlignment="1">
      <alignment horizontal="right"/>
    </xf>
    <xf numFmtId="43" fontId="71" fillId="2" borderId="4" xfId="3" applyFont="1" applyFill="1" applyBorder="1" applyAlignment="1">
      <alignment vertical="center"/>
    </xf>
    <xf numFmtId="0" fontId="63" fillId="4" borderId="13" xfId="5" applyFont="1" applyFill="1" applyBorder="1" applyAlignment="1">
      <alignment horizontal="center" vertical="center" textRotation="136" wrapText="1"/>
    </xf>
    <xf numFmtId="49" fontId="47" fillId="0" borderId="41" xfId="5" applyNumberFormat="1" applyFont="1" applyBorder="1"/>
    <xf numFmtId="0" fontId="33" fillId="0" borderId="41" xfId="5" applyFont="1" applyBorder="1" applyAlignment="1">
      <alignment horizontal="center"/>
    </xf>
    <xf numFmtId="44" fontId="52" fillId="9" borderId="16" xfId="5" applyNumberFormat="1" applyFont="1" applyFill="1" applyBorder="1"/>
    <xf numFmtId="49" fontId="26" fillId="0" borderId="41" xfId="5" applyNumberFormat="1" applyFont="1" applyBorder="1"/>
    <xf numFmtId="14" fontId="26" fillId="0" borderId="30" xfId="5" applyNumberFormat="1" applyFont="1" applyBorder="1" applyAlignment="1">
      <alignment horizontal="center"/>
    </xf>
    <xf numFmtId="0" fontId="27" fillId="0" borderId="29" xfId="5" applyFont="1" applyBorder="1" applyAlignment="1">
      <alignment horizontal="center" vertical="center"/>
    </xf>
    <xf numFmtId="49" fontId="26" fillId="13" borderId="16" xfId="5" applyNumberFormat="1" applyFont="1" applyFill="1" applyBorder="1"/>
    <xf numFmtId="49" fontId="26" fillId="13" borderId="16" xfId="5" applyNumberFormat="1" applyFont="1" applyFill="1" applyBorder="1" applyAlignment="1">
      <alignment horizontal="center"/>
    </xf>
    <xf numFmtId="44" fontId="26" fillId="13" borderId="16" xfId="5" applyNumberFormat="1" applyFont="1" applyFill="1" applyBorder="1"/>
    <xf numFmtId="44" fontId="32" fillId="13" borderId="27" xfId="5" applyNumberFormat="1" applyFont="1" applyFill="1" applyBorder="1" applyAlignment="1">
      <alignment horizontal="center" vertical="center"/>
    </xf>
    <xf numFmtId="14" fontId="26" fillId="13" borderId="17" xfId="5" applyNumberFormat="1" applyFont="1" applyFill="1" applyBorder="1" applyAlignment="1">
      <alignment horizontal="right"/>
    </xf>
    <xf numFmtId="43" fontId="73" fillId="2" borderId="4" xfId="3" applyFont="1" applyFill="1" applyBorder="1" applyAlignment="1">
      <alignment vertical="center"/>
    </xf>
    <xf numFmtId="49" fontId="25" fillId="9" borderId="41" xfId="5" applyNumberFormat="1" applyFont="1" applyFill="1" applyBorder="1"/>
    <xf numFmtId="49" fontId="26" fillId="9" borderId="41" xfId="5" applyNumberFormat="1" applyFont="1" applyFill="1" applyBorder="1" applyAlignment="1">
      <alignment horizontal="center"/>
    </xf>
    <xf numFmtId="44" fontId="26" fillId="9" borderId="41" xfId="5" applyNumberFormat="1" applyFont="1" applyFill="1" applyBorder="1"/>
    <xf numFmtId="14" fontId="26" fillId="9" borderId="41" xfId="5" applyNumberFormat="1" applyFont="1" applyFill="1" applyBorder="1" applyAlignment="1">
      <alignment horizontal="center"/>
    </xf>
    <xf numFmtId="14" fontId="26" fillId="9" borderId="41" xfId="5" applyNumberFormat="1" applyFont="1" applyFill="1" applyBorder="1"/>
    <xf numFmtId="14" fontId="26" fillId="9" borderId="41" xfId="5" applyNumberFormat="1" applyFont="1" applyFill="1" applyBorder="1" applyAlignment="1">
      <alignment horizontal="right"/>
    </xf>
    <xf numFmtId="0" fontId="27" fillId="9" borderId="41" xfId="5" applyFont="1" applyFill="1" applyBorder="1" applyAlignment="1">
      <alignment horizontal="center" vertical="center"/>
    </xf>
    <xf numFmtId="44" fontId="50" fillId="0" borderId="0" xfId="5" applyNumberFormat="1" applyFont="1"/>
    <xf numFmtId="44" fontId="25" fillId="13" borderId="30" xfId="5" applyNumberFormat="1" applyFont="1" applyFill="1" applyBorder="1" applyAlignment="1">
      <alignment horizontal="center" vertical="center"/>
    </xf>
    <xf numFmtId="49" fontId="68" fillId="0" borderId="47" xfId="5" applyNumberFormat="1" applyFont="1" applyBorder="1" applyAlignment="1">
      <alignment vertical="center"/>
    </xf>
    <xf numFmtId="44" fontId="68" fillId="0" borderId="37" xfId="5" applyNumberFormat="1" applyFont="1" applyBorder="1" applyAlignment="1">
      <alignment vertical="center"/>
    </xf>
    <xf numFmtId="44" fontId="32" fillId="0" borderId="38" xfId="5" applyNumberFormat="1" applyFont="1" applyBorder="1" applyAlignment="1">
      <alignment horizontal="center" vertical="center"/>
    </xf>
    <xf numFmtId="14" fontId="26" fillId="0" borderId="39" xfId="5" applyNumberFormat="1" applyFont="1" applyBorder="1" applyAlignment="1">
      <alignment horizontal="right" vertical="center"/>
    </xf>
    <xf numFmtId="0" fontId="33" fillId="0" borderId="48" xfId="5" applyFont="1" applyBorder="1" applyAlignment="1">
      <alignment horizontal="center" vertical="center"/>
    </xf>
    <xf numFmtId="49" fontId="25" fillId="0" borderId="35" xfId="5" applyNumberFormat="1" applyFont="1" applyBorder="1" applyAlignment="1">
      <alignment vertical="center"/>
    </xf>
    <xf numFmtId="44" fontId="35" fillId="0" borderId="14" xfId="5" applyNumberFormat="1" applyFont="1" applyBorder="1" applyAlignment="1">
      <alignment vertical="center"/>
    </xf>
    <xf numFmtId="14" fontId="26" fillId="0" borderId="50" xfId="5" applyNumberFormat="1" applyFont="1" applyBorder="1" applyAlignment="1">
      <alignment horizontal="right" vertical="center"/>
    </xf>
    <xf numFmtId="0" fontId="33" fillId="0" borderId="33" xfId="5" applyFont="1" applyBorder="1" applyAlignment="1">
      <alignment horizontal="center" vertical="center"/>
    </xf>
    <xf numFmtId="49" fontId="68" fillId="0" borderId="49" xfId="5" applyNumberFormat="1" applyFont="1" applyBorder="1" applyAlignment="1">
      <alignment vertical="center"/>
    </xf>
    <xf numFmtId="44" fontId="68" fillId="0" borderId="49" xfId="5" applyNumberFormat="1" applyFont="1" applyBorder="1" applyAlignment="1">
      <alignment vertical="center"/>
    </xf>
    <xf numFmtId="44" fontId="32" fillId="0" borderId="51" xfId="5" applyNumberFormat="1" applyFont="1" applyBorder="1" applyAlignment="1">
      <alignment horizontal="center" vertical="center"/>
    </xf>
    <xf numFmtId="14" fontId="26" fillId="0" borderId="48" xfId="5" applyNumberFormat="1" applyFont="1" applyBorder="1" applyAlignment="1">
      <alignment horizontal="right" vertical="center"/>
    </xf>
    <xf numFmtId="0" fontId="37" fillId="7" borderId="12" xfId="6" applyFont="1" applyAlignment="1">
      <alignment horizontal="center" vertical="center"/>
    </xf>
    <xf numFmtId="49" fontId="37" fillId="0" borderId="16" xfId="5" applyNumberFormat="1" applyFont="1" applyBorder="1" applyAlignment="1">
      <alignment horizontal="center" vertical="center"/>
    </xf>
    <xf numFmtId="49" fontId="37" fillId="0" borderId="35" xfId="5" applyNumberFormat="1" applyFont="1" applyBorder="1" applyAlignment="1">
      <alignment horizontal="center" vertical="center"/>
    </xf>
    <xf numFmtId="49" fontId="68" fillId="0" borderId="37" xfId="5" applyNumberFormat="1" applyFont="1" applyBorder="1" applyAlignment="1">
      <alignment horizontal="center" vertical="center"/>
    </xf>
    <xf numFmtId="49" fontId="68" fillId="0" borderId="49" xfId="5" applyNumberFormat="1" applyFont="1" applyBorder="1" applyAlignment="1">
      <alignment horizontal="center" vertical="center"/>
    </xf>
    <xf numFmtId="49" fontId="37" fillId="0" borderId="31" xfId="5" applyNumberFormat="1" applyFont="1" applyBorder="1" applyAlignment="1">
      <alignment horizontal="center" vertical="center"/>
    </xf>
    <xf numFmtId="49" fontId="37" fillId="0" borderId="19" xfId="5" applyNumberFormat="1" applyFont="1" applyBorder="1" applyAlignment="1">
      <alignment horizontal="center" vertical="center"/>
    </xf>
    <xf numFmtId="0" fontId="38" fillId="0" borderId="0" xfId="5" applyFont="1" applyAlignment="1">
      <alignment horizontal="center" vertical="center"/>
    </xf>
    <xf numFmtId="0" fontId="39" fillId="0" borderId="0" xfId="5" applyFont="1" applyAlignment="1">
      <alignment horizontal="center" vertical="center"/>
    </xf>
    <xf numFmtId="49" fontId="54" fillId="0" borderId="16" xfId="5" applyNumberFormat="1" applyFont="1" applyBorder="1" applyAlignment="1">
      <alignment vertical="center"/>
    </xf>
    <xf numFmtId="44" fontId="74" fillId="14" borderId="0" xfId="5" applyNumberFormat="1" applyFont="1" applyFill="1" applyAlignment="1">
      <alignment vertical="center"/>
    </xf>
    <xf numFmtId="44" fontId="43" fillId="0" borderId="16" xfId="5" applyNumberFormat="1" applyFont="1" applyBorder="1" applyAlignment="1">
      <alignment vertical="center"/>
    </xf>
    <xf numFmtId="44" fontId="54" fillId="0" borderId="16" xfId="5" applyNumberFormat="1" applyFont="1" applyBorder="1" applyAlignment="1">
      <alignment vertical="center"/>
    </xf>
    <xf numFmtId="44" fontId="72" fillId="0" borderId="17" xfId="5" applyNumberFormat="1" applyFont="1" applyBorder="1" applyAlignment="1">
      <alignment horizontal="center" vertical="center"/>
    </xf>
    <xf numFmtId="43" fontId="77" fillId="5" borderId="0" xfId="3" applyFont="1" applyFill="1" applyAlignment="1">
      <alignment horizontal="right" vertical="center"/>
    </xf>
    <xf numFmtId="167" fontId="23" fillId="7" borderId="12" xfId="6" applyNumberFormat="1" applyFont="1" applyAlignment="1">
      <alignment horizontal="center" vertical="center"/>
    </xf>
    <xf numFmtId="167" fontId="26" fillId="0" borderId="15" xfId="5" applyNumberFormat="1" applyFont="1" applyBorder="1" applyAlignment="1">
      <alignment horizontal="right" vertical="center"/>
    </xf>
    <xf numFmtId="167" fontId="26" fillId="0" borderId="17" xfId="5" applyNumberFormat="1" applyFont="1" applyBorder="1" applyAlignment="1">
      <alignment horizontal="right" vertical="center"/>
    </xf>
    <xf numFmtId="167" fontId="26" fillId="0" borderId="29" xfId="5" applyNumberFormat="1" applyFont="1" applyBorder="1" applyAlignment="1">
      <alignment horizontal="right" vertical="center"/>
    </xf>
    <xf numFmtId="167" fontId="26" fillId="0" borderId="33" xfId="5" applyNumberFormat="1" applyFont="1" applyBorder="1" applyAlignment="1">
      <alignment horizontal="right" vertical="center"/>
    </xf>
    <xf numFmtId="167" fontId="26" fillId="0" borderId="39" xfId="5" applyNumberFormat="1" applyFont="1" applyBorder="1" applyAlignment="1">
      <alignment horizontal="right" vertical="center"/>
    </xf>
    <xf numFmtId="167" fontId="26" fillId="0" borderId="41" xfId="5" applyNumberFormat="1" applyFont="1" applyBorder="1" applyAlignment="1">
      <alignment horizontal="right"/>
    </xf>
    <xf numFmtId="167" fontId="26" fillId="0" borderId="48" xfId="5" applyNumberFormat="1" applyFont="1" applyBorder="1" applyAlignment="1">
      <alignment horizontal="right" vertical="center"/>
    </xf>
    <xf numFmtId="167" fontId="22" fillId="0" borderId="0" xfId="5" applyNumberFormat="1" applyFont="1" applyAlignment="1">
      <alignment horizontal="right" vertical="center"/>
    </xf>
    <xf numFmtId="14" fontId="33" fillId="0" borderId="17" xfId="5" applyNumberFormat="1" applyFont="1" applyBorder="1" applyAlignment="1">
      <alignment horizontal="center" vertical="center"/>
    </xf>
    <xf numFmtId="49" fontId="35" fillId="0" borderId="16" xfId="5" applyNumberFormat="1" applyFont="1" applyBorder="1" applyAlignment="1">
      <alignment vertical="center"/>
    </xf>
    <xf numFmtId="49" fontId="35" fillId="0" borderId="0" xfId="5" applyNumberFormat="1" applyFont="1" applyAlignment="1">
      <alignment vertical="center"/>
    </xf>
    <xf numFmtId="49" fontId="35" fillId="0" borderId="0" xfId="5" applyNumberFormat="1" applyFont="1" applyBorder="1" applyAlignment="1">
      <alignment vertical="center"/>
    </xf>
    <xf numFmtId="49" fontId="54" fillId="0" borderId="41" xfId="5" applyNumberFormat="1" applyFont="1" applyBorder="1" applyAlignment="1">
      <alignment vertical="center"/>
    </xf>
    <xf numFmtId="49" fontId="55" fillId="0" borderId="16" xfId="5" applyNumberFormat="1" applyFont="1" applyBorder="1" applyAlignment="1">
      <alignment horizontal="center"/>
    </xf>
    <xf numFmtId="49" fontId="37" fillId="0" borderId="41" xfId="5" applyNumberFormat="1" applyFont="1" applyBorder="1" applyAlignment="1">
      <alignment horizontal="center" vertical="center"/>
    </xf>
    <xf numFmtId="44" fontId="55" fillId="0" borderId="16" xfId="5" applyNumberFormat="1" applyFont="1" applyBorder="1"/>
    <xf numFmtId="44" fontId="54" fillId="0" borderId="41" xfId="5" applyNumberFormat="1" applyFont="1" applyBorder="1" applyAlignment="1">
      <alignment vertical="center"/>
    </xf>
    <xf numFmtId="14" fontId="57" fillId="0" borderId="27" xfId="5" applyNumberFormat="1" applyFont="1" applyBorder="1" applyAlignment="1">
      <alignment horizontal="center"/>
    </xf>
    <xf numFmtId="14" fontId="26" fillId="0" borderId="41" xfId="5" applyNumberFormat="1" applyFont="1" applyBorder="1" applyAlignment="1">
      <alignment horizontal="right" vertical="center"/>
    </xf>
    <xf numFmtId="14" fontId="33" fillId="0" borderId="48" xfId="5" applyNumberFormat="1" applyFont="1" applyBorder="1" applyAlignment="1">
      <alignment horizontal="center" vertical="center"/>
    </xf>
    <xf numFmtId="44" fontId="78" fillId="0" borderId="37" xfId="5" applyNumberFormat="1" applyFont="1" applyBorder="1" applyAlignment="1">
      <alignment vertical="center"/>
    </xf>
    <xf numFmtId="43" fontId="79" fillId="2" borderId="4" xfId="3" applyFont="1" applyFill="1" applyBorder="1" applyAlignment="1">
      <alignment vertical="center"/>
    </xf>
    <xf numFmtId="14" fontId="26" fillId="0" borderId="27" xfId="5" applyNumberFormat="1" applyFont="1" applyBorder="1" applyAlignment="1">
      <alignment horizontal="right" vertical="center"/>
    </xf>
    <xf numFmtId="44" fontId="49" fillId="0" borderId="16" xfId="5" applyNumberFormat="1" applyFont="1" applyFill="1" applyBorder="1"/>
    <xf numFmtId="0" fontId="28" fillId="0" borderId="0" xfId="5" applyFont="1" applyFill="1" applyAlignment="1">
      <alignment vertical="center" wrapText="1"/>
    </xf>
    <xf numFmtId="0" fontId="28" fillId="0" borderId="0" xfId="5" applyFont="1" applyFill="1" applyAlignment="1">
      <alignment vertical="center"/>
    </xf>
    <xf numFmtId="0" fontId="38" fillId="0" borderId="0" xfId="5" applyFont="1" applyFill="1" applyAlignment="1">
      <alignment horizontal="center" vertical="center"/>
    </xf>
    <xf numFmtId="44" fontId="74" fillId="0" borderId="0" xfId="5" applyNumberFormat="1" applyFont="1" applyFill="1" applyAlignment="1">
      <alignment vertical="center"/>
    </xf>
    <xf numFmtId="49" fontId="80" fillId="15" borderId="41" xfId="5" applyNumberFormat="1" applyFont="1" applyFill="1" applyBorder="1" applyAlignment="1">
      <alignment horizontal="left"/>
    </xf>
    <xf numFmtId="49" fontId="81" fillId="15" borderId="41" xfId="5" applyNumberFormat="1" applyFont="1" applyFill="1" applyBorder="1" applyAlignment="1">
      <alignment horizontal="left"/>
    </xf>
    <xf numFmtId="44" fontId="81" fillId="15" borderId="41" xfId="5" applyNumberFormat="1" applyFont="1" applyFill="1" applyBorder="1" applyAlignment="1">
      <alignment horizontal="left"/>
    </xf>
    <xf numFmtId="14" fontId="81" fillId="15" borderId="41" xfId="5" applyNumberFormat="1" applyFont="1" applyFill="1" applyBorder="1" applyAlignment="1">
      <alignment horizontal="left"/>
    </xf>
    <xf numFmtId="0" fontId="81" fillId="15" borderId="41" xfId="5" applyFont="1" applyFill="1" applyBorder="1" applyAlignment="1">
      <alignment horizontal="left" vertical="center"/>
    </xf>
    <xf numFmtId="14" fontId="33" fillId="0" borderId="29" xfId="5" applyNumberFormat="1" applyFont="1" applyBorder="1" applyAlignment="1">
      <alignment horizontal="center" vertical="center"/>
    </xf>
    <xf numFmtId="49" fontId="37" fillId="9" borderId="35" xfId="5" applyNumberFormat="1" applyFont="1" applyFill="1" applyBorder="1" applyAlignment="1">
      <alignment horizontal="center" vertical="center"/>
    </xf>
    <xf numFmtId="44" fontId="35" fillId="9" borderId="35" xfId="5" applyNumberFormat="1" applyFont="1" applyFill="1" applyBorder="1" applyAlignment="1">
      <alignment vertical="center"/>
    </xf>
    <xf numFmtId="44" fontId="32" fillId="9" borderId="34" xfId="5" applyNumberFormat="1" applyFont="1" applyFill="1" applyBorder="1" applyAlignment="1">
      <alignment horizontal="center" vertical="center"/>
    </xf>
    <xf numFmtId="14" fontId="26" fillId="9" borderId="33" xfId="5" applyNumberFormat="1" applyFont="1" applyFill="1" applyBorder="1" applyAlignment="1">
      <alignment horizontal="right" vertical="center"/>
    </xf>
    <xf numFmtId="167" fontId="26" fillId="9" borderId="33" xfId="5" applyNumberFormat="1" applyFont="1" applyFill="1" applyBorder="1" applyAlignment="1">
      <alignment horizontal="right" vertical="center"/>
    </xf>
    <xf numFmtId="44" fontId="72" fillId="9" borderId="17" xfId="5" applyNumberFormat="1" applyFont="1" applyFill="1" applyBorder="1" applyAlignment="1">
      <alignment horizontal="center" vertical="center"/>
    </xf>
    <xf numFmtId="49" fontId="35" fillId="9" borderId="0" xfId="5" applyNumberFormat="1" applyFont="1" applyFill="1" applyBorder="1" applyAlignment="1">
      <alignment vertical="center"/>
    </xf>
    <xf numFmtId="14" fontId="33" fillId="9" borderId="17" xfId="5" applyNumberFormat="1" applyFont="1" applyFill="1" applyBorder="1" applyAlignment="1">
      <alignment horizontal="center" vertical="center"/>
    </xf>
    <xf numFmtId="49" fontId="82" fillId="0" borderId="16" xfId="5" applyNumberFormat="1" applyFont="1" applyBorder="1" applyAlignment="1">
      <alignment vertical="center"/>
    </xf>
    <xf numFmtId="49" fontId="82" fillId="0" borderId="16" xfId="5" applyNumberFormat="1" applyFont="1" applyBorder="1" applyAlignment="1">
      <alignment horizontal="center" vertical="center"/>
    </xf>
    <xf numFmtId="44" fontId="82" fillId="0" borderId="16" xfId="5" applyNumberFormat="1" applyFont="1" applyBorder="1" applyAlignment="1">
      <alignment vertical="center"/>
    </xf>
    <xf numFmtId="44" fontId="83" fillId="0" borderId="27" xfId="5" applyNumberFormat="1" applyFont="1" applyBorder="1" applyAlignment="1">
      <alignment horizontal="center" vertical="center"/>
    </xf>
    <xf numFmtId="14" fontId="60" fillId="0" borderId="17" xfId="5" applyNumberFormat="1" applyFont="1" applyBorder="1" applyAlignment="1">
      <alignment horizontal="right" vertical="center"/>
    </xf>
    <xf numFmtId="44" fontId="82" fillId="0" borderId="17" xfId="5" applyNumberFormat="1" applyFont="1" applyBorder="1" applyAlignment="1">
      <alignment horizontal="center" vertical="center"/>
    </xf>
    <xf numFmtId="14" fontId="61" fillId="0" borderId="17" xfId="5" applyNumberFormat="1" applyFont="1" applyBorder="1" applyAlignment="1">
      <alignment horizontal="center" vertical="center"/>
    </xf>
    <xf numFmtId="49" fontId="84" fillId="0" borderId="16" xfId="5" applyNumberFormat="1" applyFont="1" applyBorder="1" applyAlignment="1">
      <alignment vertical="center"/>
    </xf>
    <xf numFmtId="49" fontId="84" fillId="0" borderId="16" xfId="5" applyNumberFormat="1" applyFont="1" applyBorder="1" applyAlignment="1">
      <alignment horizontal="center" vertical="center"/>
    </xf>
    <xf numFmtId="44" fontId="84" fillId="0" borderId="16" xfId="5" applyNumberFormat="1" applyFont="1" applyBorder="1" applyAlignment="1">
      <alignment vertical="center"/>
    </xf>
    <xf numFmtId="44" fontId="85" fillId="0" borderId="27" xfId="5" applyNumberFormat="1" applyFont="1" applyBorder="1" applyAlignment="1">
      <alignment horizontal="center" vertical="center"/>
    </xf>
    <xf numFmtId="167" fontId="86" fillId="0" borderId="17" xfId="5" applyNumberFormat="1" applyFont="1" applyBorder="1" applyAlignment="1">
      <alignment horizontal="right" vertical="center"/>
    </xf>
    <xf numFmtId="44" fontId="84" fillId="0" borderId="17" xfId="5" applyNumberFormat="1" applyFont="1" applyBorder="1" applyAlignment="1">
      <alignment horizontal="center" vertical="center"/>
    </xf>
    <xf numFmtId="0" fontId="87" fillId="0" borderId="17" xfId="5" applyFont="1" applyBorder="1" applyAlignment="1">
      <alignment horizontal="center" vertical="center"/>
    </xf>
    <xf numFmtId="167" fontId="60" fillId="0" borderId="29" xfId="5" applyNumberFormat="1" applyFont="1" applyBorder="1" applyAlignment="1">
      <alignment horizontal="right" vertical="center"/>
    </xf>
    <xf numFmtId="44" fontId="82" fillId="0" borderId="35" xfId="5" applyNumberFormat="1" applyFont="1" applyBorder="1" applyAlignment="1">
      <alignment vertical="center"/>
    </xf>
    <xf numFmtId="44" fontId="83" fillId="0" borderId="34" xfId="5" applyNumberFormat="1" applyFont="1" applyBorder="1" applyAlignment="1">
      <alignment horizontal="center" vertical="center"/>
    </xf>
    <xf numFmtId="14" fontId="60" fillId="0" borderId="33" xfId="5" applyNumberFormat="1" applyFont="1" applyBorder="1" applyAlignment="1">
      <alignment horizontal="right" vertical="center"/>
    </xf>
    <xf numFmtId="167" fontId="60" fillId="0" borderId="33" xfId="5" applyNumberFormat="1" applyFont="1" applyBorder="1" applyAlignment="1">
      <alignment horizontal="right" vertical="center"/>
    </xf>
    <xf numFmtId="49" fontId="84" fillId="0" borderId="31" xfId="5" applyNumberFormat="1" applyFont="1" applyBorder="1" applyAlignment="1">
      <alignment vertical="center"/>
    </xf>
    <xf numFmtId="49" fontId="84" fillId="0" borderId="31" xfId="5" applyNumberFormat="1" applyFont="1" applyBorder="1" applyAlignment="1">
      <alignment horizontal="center" vertical="center"/>
    </xf>
    <xf numFmtId="167" fontId="86" fillId="0" borderId="33" xfId="5" applyNumberFormat="1" applyFont="1" applyBorder="1" applyAlignment="1">
      <alignment horizontal="right" vertical="center"/>
    </xf>
    <xf numFmtId="0" fontId="87" fillId="0" borderId="29" xfId="5" applyFont="1" applyBorder="1" applyAlignment="1">
      <alignment horizontal="center" vertical="center"/>
    </xf>
    <xf numFmtId="43" fontId="88" fillId="0" borderId="0" xfId="3" applyFont="1" applyAlignment="1">
      <alignment horizontal="left" vertical="center" indent="1"/>
    </xf>
    <xf numFmtId="43" fontId="2" fillId="0" borderId="5" xfId="3" applyFont="1" applyFill="1" applyBorder="1" applyAlignment="1">
      <alignment horizontal="left" vertical="center"/>
    </xf>
    <xf numFmtId="43" fontId="2" fillId="0" borderId="0" xfId="3" applyFont="1" applyFill="1" applyBorder="1" applyAlignment="1">
      <alignment horizontal="left" vertical="center"/>
    </xf>
    <xf numFmtId="43" fontId="2" fillId="3" borderId="6" xfId="3" applyFont="1" applyFill="1" applyBorder="1" applyAlignment="1">
      <alignment vertical="center"/>
    </xf>
    <xf numFmtId="43" fontId="89" fillId="0" borderId="0" xfId="3" applyFont="1" applyAlignment="1">
      <alignment vertical="center"/>
    </xf>
    <xf numFmtId="43" fontId="90" fillId="0" borderId="0" xfId="3" applyFont="1" applyAlignment="1">
      <alignment horizontal="left" vertical="center" indent="1"/>
    </xf>
    <xf numFmtId="43" fontId="91" fillId="0" borderId="0" xfId="0" applyNumberFormat="1" applyFont="1" applyAlignment="1">
      <alignment horizontal="left" vertical="center" indent="1"/>
    </xf>
    <xf numFmtId="43" fontId="2" fillId="3" borderId="5" xfId="3" applyFont="1" applyFill="1" applyBorder="1" applyAlignment="1">
      <alignment horizontal="left" vertical="center"/>
    </xf>
    <xf numFmtId="43" fontId="92" fillId="4" borderId="10" xfId="3" applyFont="1" applyFill="1" applyBorder="1" applyAlignment="1">
      <alignment horizontal="left" vertical="center" indent="1"/>
    </xf>
    <xf numFmtId="43" fontId="92" fillId="4" borderId="0" xfId="3" applyFont="1" applyFill="1" applyAlignment="1">
      <alignment horizontal="left" vertical="center" indent="1"/>
    </xf>
    <xf numFmtId="43" fontId="93" fillId="4" borderId="0" xfId="3" applyFont="1" applyFill="1" applyAlignment="1">
      <alignment horizontal="left" vertical="center" indent="1"/>
    </xf>
    <xf numFmtId="43" fontId="94" fillId="0" borderId="0" xfId="3" applyFont="1" applyAlignment="1">
      <alignment horizontal="left" vertical="center" indent="1"/>
    </xf>
    <xf numFmtId="43" fontId="95" fillId="0" borderId="0" xfId="3" applyFont="1" applyFill="1" applyAlignment="1">
      <alignment horizontal="left" vertical="center" indent="1"/>
    </xf>
    <xf numFmtId="43" fontId="99" fillId="4" borderId="0" xfId="3" applyFont="1" applyFill="1" applyAlignment="1">
      <alignment horizontal="left" vertical="center" indent="1"/>
    </xf>
    <xf numFmtId="43" fontId="95" fillId="0" borderId="0" xfId="3" applyFont="1" applyAlignment="1">
      <alignment horizontal="left" vertical="center" indent="1"/>
    </xf>
    <xf numFmtId="43" fontId="100" fillId="0" borderId="0" xfId="3" applyFont="1" applyAlignment="1">
      <alignment horizontal="left" vertical="center" indent="1"/>
    </xf>
    <xf numFmtId="43" fontId="101" fillId="0" borderId="0" xfId="3" applyFont="1" applyAlignment="1">
      <alignment horizontal="left" vertical="center" indent="1"/>
    </xf>
    <xf numFmtId="43" fontId="89" fillId="0" borderId="0" xfId="0" applyNumberFormat="1" applyFont="1" applyAlignment="1">
      <alignment horizontal="left" vertical="center" indent="1"/>
    </xf>
    <xf numFmtId="43" fontId="2" fillId="0" borderId="0" xfId="3" applyFont="1" applyAlignment="1">
      <alignment horizontal="left"/>
    </xf>
    <xf numFmtId="43" fontId="89" fillId="0" borderId="0" xfId="3" applyFont="1" applyAlignment="1">
      <alignment horizontal="left" vertical="center" indent="1"/>
    </xf>
    <xf numFmtId="44" fontId="67" fillId="0" borderId="16" xfId="5" applyNumberFormat="1" applyFont="1" applyBorder="1" applyAlignment="1">
      <alignment vertical="center"/>
    </xf>
    <xf numFmtId="49" fontId="52" fillId="0" borderId="16" xfId="5" applyNumberFormat="1" applyFont="1" applyBorder="1" applyAlignment="1">
      <alignment horizontal="center"/>
    </xf>
    <xf numFmtId="44" fontId="52" fillId="0" borderId="16" xfId="5" applyNumberFormat="1" applyFont="1" applyBorder="1"/>
    <xf numFmtId="44" fontId="67" fillId="0" borderId="27" xfId="5" applyNumberFormat="1" applyFont="1" applyBorder="1" applyAlignment="1">
      <alignment horizontal="center" vertical="center"/>
    </xf>
    <xf numFmtId="44" fontId="32" fillId="0" borderId="16" xfId="5" applyNumberFormat="1" applyFont="1" applyBorder="1" applyAlignment="1">
      <alignment horizontal="center" vertical="center"/>
    </xf>
    <xf numFmtId="44" fontId="72" fillId="0" borderId="34" xfId="5" applyNumberFormat="1" applyFont="1" applyBorder="1" applyAlignment="1">
      <alignment horizontal="center" vertical="center"/>
    </xf>
    <xf numFmtId="44" fontId="35" fillId="0" borderId="0" xfId="5" applyNumberFormat="1" applyFont="1" applyBorder="1" applyAlignment="1">
      <alignment vertical="center"/>
    </xf>
    <xf numFmtId="14" fontId="33" fillId="0" borderId="0" xfId="5" applyNumberFormat="1" applyFont="1" applyBorder="1" applyAlignment="1">
      <alignment horizontal="center" vertical="center"/>
    </xf>
    <xf numFmtId="44" fontId="78" fillId="0" borderId="52" xfId="5" applyNumberFormat="1" applyFont="1" applyBorder="1" applyAlignment="1">
      <alignment vertical="center"/>
    </xf>
    <xf numFmtId="49" fontId="68" fillId="0" borderId="52" xfId="5" applyNumberFormat="1" applyFont="1" applyBorder="1" applyAlignment="1">
      <alignment vertical="center"/>
    </xf>
    <xf numFmtId="44" fontId="68" fillId="0" borderId="52" xfId="5" applyNumberFormat="1" applyFont="1" applyBorder="1" applyAlignment="1">
      <alignment vertical="center"/>
    </xf>
    <xf numFmtId="44" fontId="32" fillId="0" borderId="54" xfId="5" applyNumberFormat="1" applyFont="1" applyBorder="1" applyAlignment="1">
      <alignment horizontal="center" vertical="center"/>
    </xf>
    <xf numFmtId="14" fontId="26" fillId="0" borderId="55" xfId="5" applyNumberFormat="1" applyFont="1" applyBorder="1" applyAlignment="1">
      <alignment horizontal="right" vertical="center"/>
    </xf>
    <xf numFmtId="167" fontId="26" fillId="0" borderId="55" xfId="5" applyNumberFormat="1" applyFont="1" applyBorder="1" applyAlignment="1">
      <alignment horizontal="right" vertical="center"/>
    </xf>
    <xf numFmtId="14" fontId="33" fillId="0" borderId="55" xfId="5" applyNumberFormat="1" applyFont="1" applyBorder="1" applyAlignment="1">
      <alignment horizontal="center" vertical="center"/>
    </xf>
    <xf numFmtId="49" fontId="35" fillId="0" borderId="53" xfId="5" applyNumberFormat="1" applyFont="1" applyBorder="1" applyAlignment="1">
      <alignment vertical="center"/>
    </xf>
    <xf numFmtId="44" fontId="35" fillId="0" borderId="56" xfId="5" applyNumberFormat="1" applyFont="1" applyBorder="1" applyAlignment="1">
      <alignment vertical="center"/>
    </xf>
    <xf numFmtId="44" fontId="72" fillId="0" borderId="54" xfId="5" applyNumberFormat="1" applyFont="1" applyBorder="1" applyAlignment="1">
      <alignment horizontal="center" vertical="center"/>
    </xf>
    <xf numFmtId="14" fontId="33" fillId="0" borderId="56" xfId="5" applyNumberFormat="1" applyFont="1" applyBorder="1" applyAlignment="1">
      <alignment horizontal="center" vertical="center"/>
    </xf>
    <xf numFmtId="49" fontId="25" fillId="0" borderId="0" xfId="5" applyNumberFormat="1" applyFont="1" applyBorder="1" applyAlignment="1">
      <alignment vertical="center"/>
    </xf>
    <xf numFmtId="44" fontId="32" fillId="0" borderId="27" xfId="5" applyNumberFormat="1" applyFont="1" applyBorder="1" applyAlignment="1">
      <alignment horizontal="center" vertical="center" wrapText="1"/>
    </xf>
    <xf numFmtId="49" fontId="43" fillId="0" borderId="31" xfId="5" applyNumberFormat="1" applyFont="1" applyBorder="1" applyAlignment="1">
      <alignment vertical="center"/>
    </xf>
    <xf numFmtId="49" fontId="43" fillId="0" borderId="31" xfId="5" applyNumberFormat="1" applyFont="1" applyBorder="1" applyAlignment="1">
      <alignment horizontal="center" vertical="center"/>
    </xf>
    <xf numFmtId="49" fontId="59" fillId="0" borderId="16" xfId="5" applyNumberFormat="1" applyFont="1" applyBorder="1" applyAlignment="1">
      <alignment vertical="center"/>
    </xf>
    <xf numFmtId="49" fontId="59" fillId="0" borderId="16" xfId="5" applyNumberFormat="1" applyFont="1" applyBorder="1" applyAlignment="1">
      <alignment horizontal="center" vertical="center"/>
    </xf>
    <xf numFmtId="44" fontId="59" fillId="0" borderId="16" xfId="5" applyNumberFormat="1" applyFont="1" applyBorder="1" applyAlignment="1">
      <alignment vertical="center"/>
    </xf>
    <xf numFmtId="44" fontId="102" fillId="0" borderId="27" xfId="5" applyNumberFormat="1" applyFont="1" applyBorder="1" applyAlignment="1">
      <alignment horizontal="center" vertical="center"/>
    </xf>
    <xf numFmtId="14" fontId="102" fillId="0" borderId="17" xfId="5" applyNumberFormat="1" applyFont="1" applyBorder="1" applyAlignment="1">
      <alignment horizontal="right" vertical="center"/>
    </xf>
    <xf numFmtId="167" fontId="102" fillId="0" borderId="29" xfId="5" applyNumberFormat="1" applyFont="1" applyBorder="1" applyAlignment="1">
      <alignment horizontal="right" vertical="center"/>
    </xf>
    <xf numFmtId="44" fontId="59" fillId="0" borderId="17" xfId="5" applyNumberFormat="1" applyFont="1" applyBorder="1" applyAlignment="1">
      <alignment horizontal="center" vertical="center"/>
    </xf>
    <xf numFmtId="49" fontId="103" fillId="0" borderId="16" xfId="5" applyNumberFormat="1" applyFont="1" applyBorder="1" applyAlignment="1">
      <alignment horizontal="center" vertical="center"/>
    </xf>
    <xf numFmtId="44" fontId="59" fillId="0" borderId="35" xfId="5" applyNumberFormat="1" applyFont="1" applyBorder="1" applyAlignment="1">
      <alignment vertical="center"/>
    </xf>
    <xf numFmtId="44" fontId="102" fillId="0" borderId="34" xfId="5" applyNumberFormat="1" applyFont="1" applyBorder="1" applyAlignment="1">
      <alignment horizontal="center" vertical="center"/>
    </xf>
    <xf numFmtId="14" fontId="102" fillId="0" borderId="33" xfId="5" applyNumberFormat="1" applyFont="1" applyBorder="1" applyAlignment="1">
      <alignment horizontal="right" vertical="center"/>
    </xf>
    <xf numFmtId="167" fontId="102" fillId="0" borderId="33" xfId="5" applyNumberFormat="1" applyFont="1" applyBorder="1" applyAlignment="1">
      <alignment horizontal="right" vertical="center"/>
    </xf>
    <xf numFmtId="14" fontId="61" fillId="0" borderId="29" xfId="5" applyNumberFormat="1" applyFont="1" applyBorder="1" applyAlignment="1">
      <alignment horizontal="center" vertical="center"/>
    </xf>
    <xf numFmtId="44" fontId="43" fillId="0" borderId="0" xfId="5" applyNumberFormat="1" applyFont="1" applyBorder="1" applyAlignment="1">
      <alignment vertical="center"/>
    </xf>
    <xf numFmtId="49" fontId="43" fillId="0" borderId="16" xfId="5" applyNumberFormat="1" applyFont="1" applyBorder="1" applyAlignment="1">
      <alignment vertical="center"/>
    </xf>
    <xf numFmtId="49" fontId="43" fillId="0" borderId="16" xfId="5" applyNumberFormat="1" applyFont="1" applyBorder="1" applyAlignment="1">
      <alignment horizontal="center" vertical="center"/>
    </xf>
    <xf numFmtId="44" fontId="32" fillId="0" borderId="58" xfId="5" applyNumberFormat="1" applyFont="1" applyBorder="1" applyAlignment="1">
      <alignment horizontal="center" vertical="center"/>
    </xf>
    <xf numFmtId="44" fontId="32" fillId="0" borderId="59" xfId="5" applyNumberFormat="1" applyFont="1" applyBorder="1" applyAlignment="1">
      <alignment horizontal="center" vertical="center"/>
    </xf>
    <xf numFmtId="44" fontId="32" fillId="0" borderId="0" xfId="5" applyNumberFormat="1" applyFont="1" applyBorder="1" applyAlignment="1">
      <alignment horizontal="center" vertical="center"/>
    </xf>
    <xf numFmtId="44" fontId="32" fillId="0" borderId="56" xfId="5" applyNumberFormat="1" applyFont="1" applyBorder="1" applyAlignment="1">
      <alignment horizontal="center" vertical="center"/>
    </xf>
    <xf numFmtId="44" fontId="83" fillId="0" borderId="58" xfId="5" applyNumberFormat="1" applyFont="1" applyBorder="1" applyAlignment="1">
      <alignment horizontal="center" vertical="center"/>
    </xf>
    <xf numFmtId="44" fontId="83" fillId="0" borderId="0" xfId="5" applyNumberFormat="1" applyFont="1" applyBorder="1" applyAlignment="1">
      <alignment horizontal="center" vertical="center"/>
    </xf>
    <xf numFmtId="44" fontId="85" fillId="0" borderId="58" xfId="5" applyNumberFormat="1" applyFont="1" applyBorder="1" applyAlignment="1">
      <alignment horizontal="center" vertical="center"/>
    </xf>
    <xf numFmtId="44" fontId="44" fillId="0" borderId="58" xfId="5" applyNumberFormat="1" applyFont="1" applyBorder="1" applyAlignment="1">
      <alignment horizontal="center" vertical="center"/>
    </xf>
    <xf numFmtId="44" fontId="32" fillId="0" borderId="60" xfId="5" applyNumberFormat="1" applyFont="1" applyBorder="1" applyAlignment="1">
      <alignment horizontal="center" vertical="center" wrapText="1"/>
    </xf>
    <xf numFmtId="44" fontId="32" fillId="0" borderId="60" xfId="5" applyNumberFormat="1" applyFont="1" applyBorder="1" applyAlignment="1">
      <alignment horizontal="center" vertical="center"/>
    </xf>
    <xf numFmtId="44" fontId="32" fillId="0" borderId="61" xfId="5" applyNumberFormat="1" applyFont="1" applyBorder="1" applyAlignment="1">
      <alignment horizontal="center" vertical="center"/>
    </xf>
    <xf numFmtId="0" fontId="33" fillId="0" borderId="27" xfId="5" applyFont="1" applyBorder="1" applyAlignment="1">
      <alignment horizontal="center" vertical="center"/>
    </xf>
    <xf numFmtId="14" fontId="33" fillId="0" borderId="27" xfId="5" applyNumberFormat="1" applyFont="1" applyBorder="1" applyAlignment="1">
      <alignment horizontal="center" vertical="center"/>
    </xf>
    <xf numFmtId="14" fontId="33" fillId="0" borderId="54" xfId="5" applyNumberFormat="1" applyFont="1" applyBorder="1" applyAlignment="1">
      <alignment horizontal="center" vertical="center"/>
    </xf>
    <xf numFmtId="14" fontId="61" fillId="0" borderId="27" xfId="5" applyNumberFormat="1" applyFont="1" applyBorder="1" applyAlignment="1">
      <alignment horizontal="center" vertical="center"/>
    </xf>
    <xf numFmtId="14" fontId="33" fillId="0" borderId="30" xfId="5" applyNumberFormat="1" applyFont="1" applyBorder="1" applyAlignment="1">
      <alignment horizontal="center" vertical="center"/>
    </xf>
    <xf numFmtId="0" fontId="33" fillId="0" borderId="34" xfId="5" applyFont="1" applyBorder="1" applyAlignment="1">
      <alignment horizontal="center" vertical="center"/>
    </xf>
    <xf numFmtId="0" fontId="87" fillId="0" borderId="27" xfId="5" applyFont="1" applyBorder="1" applyAlignment="1">
      <alignment horizontal="center" vertical="center"/>
    </xf>
    <xf numFmtId="0" fontId="87" fillId="0" borderId="30" xfId="5" applyFont="1" applyBorder="1" applyAlignment="1">
      <alignment horizontal="center" vertical="center"/>
    </xf>
    <xf numFmtId="0" fontId="33" fillId="0" borderId="30" xfId="5" applyFont="1" applyBorder="1" applyAlignment="1">
      <alignment horizontal="center" vertical="center"/>
    </xf>
    <xf numFmtId="0" fontId="42" fillId="0" borderId="27" xfId="5" applyFont="1" applyBorder="1" applyAlignment="1">
      <alignment horizontal="center" vertical="center"/>
    </xf>
    <xf numFmtId="0" fontId="42" fillId="0" borderId="30" xfId="5" applyFont="1" applyBorder="1" applyAlignment="1">
      <alignment horizontal="center" vertical="center"/>
    </xf>
    <xf numFmtId="0" fontId="33" fillId="0" borderId="51" xfId="5" applyFont="1" applyBorder="1" applyAlignment="1">
      <alignment horizontal="center" vertical="center"/>
    </xf>
    <xf numFmtId="14" fontId="26" fillId="0" borderId="62" xfId="5" applyNumberFormat="1" applyFont="1" applyBorder="1" applyAlignment="1">
      <alignment horizontal="right" vertical="center"/>
    </xf>
    <xf numFmtId="167" fontId="26" fillId="0" borderId="63" xfId="5" applyNumberFormat="1" applyFont="1" applyBorder="1" applyAlignment="1">
      <alignment horizontal="right" vertical="center"/>
    </xf>
    <xf numFmtId="44" fontId="72" fillId="0" borderId="64" xfId="5" applyNumberFormat="1" applyFont="1" applyBorder="1" applyAlignment="1">
      <alignment horizontal="center" vertical="center"/>
    </xf>
    <xf numFmtId="14" fontId="26" fillId="0" borderId="65" xfId="5" applyNumberFormat="1" applyFont="1" applyBorder="1" applyAlignment="1">
      <alignment horizontal="right" vertical="center"/>
    </xf>
    <xf numFmtId="167" fontId="26" fillId="0" borderId="66" xfId="5" applyNumberFormat="1" applyFont="1" applyBorder="1" applyAlignment="1">
      <alignment horizontal="right" vertical="center"/>
    </xf>
    <xf numFmtId="44" fontId="72" fillId="0" borderId="67" xfId="5" applyNumberFormat="1" applyFont="1" applyBorder="1" applyAlignment="1">
      <alignment horizontal="center" vertical="center"/>
    </xf>
    <xf numFmtId="167" fontId="26" fillId="0" borderId="68" xfId="5" applyNumberFormat="1" applyFont="1" applyBorder="1" applyAlignment="1">
      <alignment horizontal="right" vertical="center"/>
    </xf>
    <xf numFmtId="14" fontId="26" fillId="0" borderId="69" xfId="5" applyNumberFormat="1" applyFont="1" applyBorder="1" applyAlignment="1">
      <alignment horizontal="right" vertical="center"/>
    </xf>
    <xf numFmtId="167" fontId="26" fillId="0" borderId="70" xfId="5" applyNumberFormat="1" applyFont="1" applyBorder="1" applyAlignment="1">
      <alignment horizontal="right" vertical="center"/>
    </xf>
    <xf numFmtId="14" fontId="26" fillId="0" borderId="71" xfId="5" applyNumberFormat="1" applyFont="1" applyBorder="1" applyAlignment="1">
      <alignment horizontal="right" vertical="center"/>
    </xf>
    <xf numFmtId="167" fontId="26" fillId="0" borderId="72" xfId="5" applyNumberFormat="1" applyFont="1" applyBorder="1" applyAlignment="1">
      <alignment horizontal="right" vertical="center"/>
    </xf>
    <xf numFmtId="14" fontId="26" fillId="0" borderId="73" xfId="5" applyNumberFormat="1" applyFont="1" applyBorder="1" applyAlignment="1">
      <alignment horizontal="right" vertical="center"/>
    </xf>
    <xf numFmtId="167" fontId="26" fillId="0" borderId="74" xfId="5" applyNumberFormat="1" applyFont="1" applyBorder="1" applyAlignment="1">
      <alignment horizontal="right" vertical="center"/>
    </xf>
    <xf numFmtId="44" fontId="78" fillId="0" borderId="75" xfId="5" applyNumberFormat="1" applyFont="1" applyBorder="1" applyAlignment="1">
      <alignment vertical="center"/>
    </xf>
    <xf numFmtId="14" fontId="60" fillId="0" borderId="69" xfId="5" applyNumberFormat="1" applyFont="1" applyBorder="1" applyAlignment="1">
      <alignment horizontal="right" vertical="center"/>
    </xf>
    <xf numFmtId="167" fontId="60" fillId="0" borderId="70" xfId="5" applyNumberFormat="1" applyFont="1" applyBorder="1" applyAlignment="1">
      <alignment horizontal="right" vertical="center"/>
    </xf>
    <xf numFmtId="44" fontId="82" fillId="0" borderId="67" xfId="5" applyNumberFormat="1" applyFont="1" applyBorder="1" applyAlignment="1">
      <alignment horizontal="center" vertical="center"/>
    </xf>
    <xf numFmtId="14" fontId="60" fillId="0" borderId="71" xfId="5" applyNumberFormat="1" applyFont="1" applyBorder="1" applyAlignment="1">
      <alignment horizontal="right" vertical="center"/>
    </xf>
    <xf numFmtId="167" fontId="60" fillId="0" borderId="72" xfId="5" applyNumberFormat="1" applyFont="1" applyBorder="1" applyAlignment="1">
      <alignment horizontal="right" vertical="center"/>
    </xf>
    <xf numFmtId="44" fontId="72" fillId="0" borderId="76" xfId="5" applyNumberFormat="1" applyFont="1" applyBorder="1" applyAlignment="1">
      <alignment horizontal="center" vertical="center"/>
    </xf>
    <xf numFmtId="44" fontId="72" fillId="0" borderId="75" xfId="5" applyNumberFormat="1" applyFont="1" applyBorder="1" applyAlignment="1">
      <alignment horizontal="center" vertical="center"/>
    </xf>
    <xf numFmtId="14" fontId="26" fillId="0" borderId="77" xfId="5" applyNumberFormat="1" applyFont="1" applyBorder="1" applyAlignment="1">
      <alignment horizontal="right" vertical="center"/>
    </xf>
    <xf numFmtId="44" fontId="72" fillId="0" borderId="78" xfId="5" applyNumberFormat="1" applyFont="1" applyBorder="1" applyAlignment="1">
      <alignment horizontal="center" vertical="center"/>
    </xf>
    <xf numFmtId="167" fontId="86" fillId="0" borderId="68" xfId="5" applyNumberFormat="1" applyFont="1" applyBorder="1" applyAlignment="1">
      <alignment horizontal="right" vertical="center"/>
    </xf>
    <xf numFmtId="44" fontId="84" fillId="0" borderId="67" xfId="5" applyNumberFormat="1" applyFont="1" applyBorder="1" applyAlignment="1">
      <alignment horizontal="center" vertical="center"/>
    </xf>
    <xf numFmtId="167" fontId="86" fillId="0" borderId="72" xfId="5" applyNumberFormat="1" applyFont="1" applyBorder="1" applyAlignment="1">
      <alignment horizontal="right" vertical="center"/>
    </xf>
    <xf numFmtId="14" fontId="52" fillId="0" borderId="69" xfId="5" applyNumberFormat="1" applyFont="1" applyBorder="1" applyAlignment="1">
      <alignment horizontal="right" vertical="center"/>
    </xf>
    <xf numFmtId="167" fontId="52" fillId="0" borderId="68" xfId="5" applyNumberFormat="1" applyFont="1" applyBorder="1" applyAlignment="1">
      <alignment horizontal="right" vertical="center"/>
    </xf>
    <xf numFmtId="44" fontId="43" fillId="0" borderId="67" xfId="5" applyNumberFormat="1" applyFont="1" applyBorder="1" applyAlignment="1">
      <alignment horizontal="center" vertical="center"/>
    </xf>
    <xf numFmtId="14" fontId="52" fillId="0" borderId="79" xfId="5" applyNumberFormat="1" applyFont="1" applyBorder="1" applyAlignment="1">
      <alignment horizontal="right" vertical="center"/>
    </xf>
    <xf numFmtId="167" fontId="52" fillId="0" borderId="70" xfId="5" applyNumberFormat="1" applyFont="1" applyBorder="1" applyAlignment="1">
      <alignment horizontal="right" vertical="center"/>
    </xf>
    <xf numFmtId="14" fontId="26" fillId="0" borderId="79" xfId="5" applyNumberFormat="1" applyFont="1" applyBorder="1" applyAlignment="1">
      <alignment horizontal="right" vertical="center"/>
    </xf>
    <xf numFmtId="14" fontId="26" fillId="0" borderId="80" xfId="5" applyNumberFormat="1" applyFont="1" applyBorder="1" applyAlignment="1">
      <alignment horizontal="right" vertical="center"/>
    </xf>
    <xf numFmtId="167" fontId="26" fillId="0" borderId="81" xfId="5" applyNumberFormat="1" applyFont="1" applyBorder="1" applyAlignment="1">
      <alignment horizontal="right" vertical="center"/>
    </xf>
    <xf numFmtId="44" fontId="78" fillId="0" borderId="82" xfId="5" applyNumberFormat="1" applyFont="1" applyBorder="1" applyAlignment="1">
      <alignment vertical="center"/>
    </xf>
    <xf numFmtId="44" fontId="104" fillId="0" borderId="16" xfId="5" applyNumberFormat="1" applyFont="1" applyBorder="1" applyAlignment="1">
      <alignment vertical="center"/>
    </xf>
    <xf numFmtId="44" fontId="105" fillId="0" borderId="27" xfId="5" applyNumberFormat="1" applyFont="1" applyBorder="1" applyAlignment="1">
      <alignment horizontal="center" vertical="center"/>
    </xf>
    <xf numFmtId="14" fontId="105" fillId="0" borderId="17" xfId="5" applyNumberFormat="1" applyFont="1" applyBorder="1" applyAlignment="1">
      <alignment horizontal="right" vertical="center"/>
    </xf>
    <xf numFmtId="167" fontId="105" fillId="0" borderId="29" xfId="5" applyNumberFormat="1" applyFont="1" applyBorder="1" applyAlignment="1">
      <alignment horizontal="right" vertical="center"/>
    </xf>
    <xf numFmtId="44" fontId="104" fillId="0" borderId="17" xfId="5" applyNumberFormat="1" applyFont="1" applyBorder="1" applyAlignment="1">
      <alignment horizontal="center" vertical="center"/>
    </xf>
    <xf numFmtId="14" fontId="106" fillId="0" borderId="17" xfId="5" applyNumberFormat="1" applyFont="1" applyBorder="1" applyAlignment="1">
      <alignment horizontal="center" vertical="center"/>
    </xf>
    <xf numFmtId="167" fontId="26" fillId="9" borderId="29" xfId="5" applyNumberFormat="1" applyFont="1" applyFill="1" applyBorder="1" applyAlignment="1">
      <alignment horizontal="right" vertical="center"/>
    </xf>
    <xf numFmtId="14" fontId="52" fillId="0" borderId="17" xfId="5" applyNumberFormat="1" applyFont="1" applyBorder="1" applyAlignment="1">
      <alignment horizontal="right" vertical="center"/>
    </xf>
    <xf numFmtId="167" fontId="52" fillId="0" borderId="29" xfId="5" applyNumberFormat="1" applyFont="1" applyBorder="1" applyAlignment="1">
      <alignment horizontal="right" vertical="center"/>
    </xf>
    <xf numFmtId="44" fontId="43" fillId="0" borderId="17" xfId="5" applyNumberFormat="1" applyFont="1" applyBorder="1" applyAlignment="1">
      <alignment horizontal="center" vertical="center"/>
    </xf>
    <xf numFmtId="14" fontId="42" fillId="0" borderId="17" xfId="5" applyNumberFormat="1" applyFont="1" applyBorder="1" applyAlignment="1">
      <alignment horizontal="center" vertical="center"/>
    </xf>
    <xf numFmtId="167" fontId="52" fillId="0" borderId="72" xfId="5" applyNumberFormat="1" applyFont="1" applyBorder="1" applyAlignment="1">
      <alignment horizontal="right" vertical="center"/>
    </xf>
    <xf numFmtId="49" fontId="43" fillId="0" borderId="19" xfId="5" applyNumberFormat="1" applyFont="1" applyBorder="1" applyAlignment="1">
      <alignment horizontal="center" vertical="center"/>
    </xf>
    <xf numFmtId="14" fontId="42" fillId="0" borderId="30" xfId="5" applyNumberFormat="1" applyFont="1" applyBorder="1" applyAlignment="1">
      <alignment horizontal="center" vertical="center"/>
    </xf>
    <xf numFmtId="8" fontId="43" fillId="0" borderId="16" xfId="5" applyNumberFormat="1" applyFont="1" applyBorder="1" applyAlignment="1">
      <alignment vertical="center"/>
    </xf>
    <xf numFmtId="167" fontId="52" fillId="0" borderId="66" xfId="5" applyNumberFormat="1" applyFont="1" applyBorder="1" applyAlignment="1">
      <alignment horizontal="right" vertical="center"/>
    </xf>
    <xf numFmtId="14" fontId="42" fillId="0" borderId="27" xfId="5" applyNumberFormat="1" applyFont="1" applyBorder="1" applyAlignment="1">
      <alignment horizontal="center" vertical="center"/>
    </xf>
    <xf numFmtId="17" fontId="32" fillId="0" borderId="34" xfId="5" applyNumberFormat="1" applyFont="1" applyBorder="1" applyAlignment="1">
      <alignment horizontal="center" vertical="center"/>
    </xf>
    <xf numFmtId="43" fontId="107" fillId="0" borderId="0" xfId="3" applyFont="1" applyFill="1" applyAlignment="1">
      <alignment horizontal="right" vertical="center"/>
    </xf>
    <xf numFmtId="49" fontId="104" fillId="0" borderId="31" xfId="5" applyNumberFormat="1" applyFont="1" applyBorder="1" applyAlignment="1">
      <alignment vertical="center"/>
    </xf>
    <xf numFmtId="49" fontId="35" fillId="0" borderId="31" xfId="5" applyNumberFormat="1" applyFont="1" applyBorder="1" applyAlignment="1">
      <alignment vertical="center"/>
    </xf>
    <xf numFmtId="49" fontId="104" fillId="0" borderId="31" xfId="5" applyNumberFormat="1" applyFont="1" applyBorder="1" applyAlignment="1">
      <alignment horizontal="center" vertical="center"/>
    </xf>
    <xf numFmtId="44" fontId="105" fillId="0" borderId="30" xfId="5" applyNumberFormat="1" applyFont="1" applyBorder="1" applyAlignment="1">
      <alignment horizontal="center" vertical="center"/>
    </xf>
    <xf numFmtId="14" fontId="105" fillId="0" borderId="29" xfId="5" applyNumberFormat="1" applyFont="1" applyBorder="1" applyAlignment="1">
      <alignment horizontal="right" vertical="center"/>
    </xf>
    <xf numFmtId="14" fontId="106" fillId="0" borderId="29" xfId="5" applyNumberFormat="1" applyFont="1" applyBorder="1" applyAlignment="1">
      <alignment horizontal="center" vertical="center"/>
    </xf>
    <xf numFmtId="44" fontId="108" fillId="14" borderId="0" xfId="5" applyNumberFormat="1" applyFont="1" applyFill="1" applyAlignment="1">
      <alignment horizontal="center" vertical="center"/>
    </xf>
    <xf numFmtId="0" fontId="28" fillId="0" borderId="0" xfId="5" applyFont="1" applyAlignment="1">
      <alignment horizontal="left" vertical="center"/>
    </xf>
    <xf numFmtId="49" fontId="109" fillId="9" borderId="16" xfId="5" applyNumberFormat="1" applyFont="1" applyFill="1" applyBorder="1" applyAlignment="1">
      <alignment vertical="center"/>
    </xf>
    <xf numFmtId="49" fontId="109" fillId="9" borderId="16" xfId="5" applyNumberFormat="1" applyFont="1" applyFill="1" applyBorder="1" applyAlignment="1">
      <alignment horizontal="center" vertical="center"/>
    </xf>
    <xf numFmtId="44" fontId="109" fillId="9" borderId="16" xfId="5" applyNumberFormat="1" applyFont="1" applyFill="1" applyBorder="1" applyAlignment="1">
      <alignment vertical="center"/>
    </xf>
    <xf numFmtId="44" fontId="110" fillId="9" borderId="27" xfId="5" applyNumberFormat="1" applyFont="1" applyFill="1" applyBorder="1" applyAlignment="1">
      <alignment horizontal="center" vertical="center"/>
    </xf>
    <xf numFmtId="14" fontId="110" fillId="9" borderId="15" xfId="5" applyNumberFormat="1" applyFont="1" applyFill="1" applyBorder="1" applyAlignment="1">
      <alignment horizontal="right" vertical="center"/>
    </xf>
    <xf numFmtId="167" fontId="110" fillId="9" borderId="15" xfId="5" applyNumberFormat="1" applyFont="1" applyFill="1" applyBorder="1" applyAlignment="1">
      <alignment horizontal="right" vertical="center"/>
    </xf>
    <xf numFmtId="44" fontId="109" fillId="9" borderId="17" xfId="5" applyNumberFormat="1" applyFont="1" applyFill="1" applyBorder="1" applyAlignment="1">
      <alignment horizontal="center" vertical="center"/>
    </xf>
    <xf numFmtId="14" fontId="111" fillId="9" borderId="17" xfId="5" applyNumberFormat="1" applyFont="1" applyFill="1" applyBorder="1" applyAlignment="1">
      <alignment horizontal="center" vertical="center"/>
    </xf>
    <xf numFmtId="49" fontId="35" fillId="9" borderId="16" xfId="5" applyNumberFormat="1" applyFont="1" applyFill="1" applyBorder="1" applyAlignment="1">
      <alignment vertical="center"/>
    </xf>
    <xf numFmtId="49" fontId="37" fillId="9" borderId="16" xfId="5" applyNumberFormat="1" applyFont="1" applyFill="1" applyBorder="1" applyAlignment="1">
      <alignment horizontal="center" vertical="center"/>
    </xf>
    <xf numFmtId="0" fontId="63" fillId="2" borderId="25" xfId="5" applyFont="1" applyFill="1" applyBorder="1" applyAlignment="1">
      <alignment horizontal="center" vertical="center" textRotation="136" wrapText="1"/>
    </xf>
    <xf numFmtId="44" fontId="78" fillId="0" borderId="34" xfId="5" applyNumberFormat="1" applyFont="1" applyBorder="1" applyAlignment="1">
      <alignment vertical="center"/>
    </xf>
    <xf numFmtId="14" fontId="33" fillId="0" borderId="33" xfId="5" applyNumberFormat="1" applyFont="1" applyBorder="1" applyAlignment="1">
      <alignment horizontal="center" vertical="center"/>
    </xf>
    <xf numFmtId="44" fontId="50" fillId="0" borderId="0" xfId="5" applyNumberFormat="1" applyFont="1" applyAlignment="1">
      <alignment horizontal="center"/>
    </xf>
    <xf numFmtId="44" fontId="50" fillId="0" borderId="0" xfId="5" applyNumberFormat="1" applyFont="1" applyAlignment="1">
      <alignment horizontal="left"/>
    </xf>
    <xf numFmtId="43" fontId="0" fillId="0" borderId="0" xfId="3" applyFont="1" applyAlignment="1">
      <alignment horizontal="center"/>
    </xf>
    <xf numFmtId="43" fontId="0" fillId="0" borderId="0" xfId="3" applyFont="1" applyAlignment="1">
      <alignment horizontal="center" vertical="center"/>
    </xf>
    <xf numFmtId="0" fontId="66" fillId="2" borderId="40" xfId="5" applyFont="1" applyFill="1" applyBorder="1" applyAlignment="1">
      <alignment horizontal="center" vertical="center" textRotation="135" wrapText="1"/>
    </xf>
    <xf numFmtId="0" fontId="66" fillId="2" borderId="41" xfId="5" applyFont="1" applyFill="1" applyBorder="1" applyAlignment="1">
      <alignment horizontal="center" vertical="center" textRotation="135" wrapText="1"/>
    </xf>
    <xf numFmtId="0" fontId="66" fillId="2" borderId="42" xfId="5" applyFont="1" applyFill="1" applyBorder="1" applyAlignment="1">
      <alignment horizontal="center" vertical="center" textRotation="135" wrapText="1"/>
    </xf>
    <xf numFmtId="0" fontId="25" fillId="2" borderId="40" xfId="5" applyFont="1" applyFill="1" applyBorder="1" applyAlignment="1">
      <alignment horizontal="left" vertical="center" textRotation="135" wrapText="1"/>
    </xf>
    <xf numFmtId="0" fontId="25" fillId="2" borderId="41" xfId="5" applyFont="1" applyFill="1" applyBorder="1" applyAlignment="1">
      <alignment horizontal="left" vertical="center" textRotation="135" wrapText="1"/>
    </xf>
    <xf numFmtId="0" fontId="25" fillId="2" borderId="43" xfId="5" applyFont="1" applyFill="1" applyBorder="1" applyAlignment="1">
      <alignment horizontal="left" vertical="center" textRotation="135" wrapText="1"/>
    </xf>
    <xf numFmtId="0" fontId="64" fillId="2" borderId="24" xfId="5" applyFont="1" applyFill="1" applyBorder="1" applyAlignment="1">
      <alignment horizontal="center" vertical="center" textRotation="135" wrapText="1"/>
    </xf>
    <xf numFmtId="0" fontId="64" fillId="2" borderId="25" xfId="5" applyFont="1" applyFill="1" applyBorder="1" applyAlignment="1">
      <alignment horizontal="center" vertical="center" textRotation="135" wrapText="1"/>
    </xf>
    <xf numFmtId="0" fontId="25" fillId="2" borderId="21" xfId="5" applyFont="1" applyFill="1" applyBorder="1" applyAlignment="1">
      <alignment horizontal="left" vertical="top" textRotation="136" wrapText="1"/>
    </xf>
    <xf numFmtId="0" fontId="25" fillId="2" borderId="13" xfId="5" applyFont="1" applyFill="1" applyBorder="1" applyAlignment="1">
      <alignment horizontal="left" vertical="top" textRotation="136" wrapText="1"/>
    </xf>
    <xf numFmtId="0" fontId="64" fillId="10" borderId="13" xfId="5" applyFont="1" applyFill="1" applyBorder="1" applyAlignment="1">
      <alignment horizontal="left" vertical="center" textRotation="136" wrapText="1"/>
    </xf>
    <xf numFmtId="0" fontId="64" fillId="10" borderId="18" xfId="5" applyFont="1" applyFill="1" applyBorder="1" applyAlignment="1">
      <alignment horizontal="left" vertical="center" textRotation="136" wrapText="1"/>
    </xf>
    <xf numFmtId="0" fontId="63" fillId="2" borderId="21" xfId="5" applyFont="1" applyFill="1" applyBorder="1" applyAlignment="1">
      <alignment horizontal="left" vertical="center" textRotation="136" wrapText="1"/>
    </xf>
    <xf numFmtId="0" fontId="63" fillId="2" borderId="13" xfId="5" applyFont="1" applyFill="1" applyBorder="1" applyAlignment="1">
      <alignment horizontal="left" vertical="center" textRotation="136" wrapText="1"/>
    </xf>
    <xf numFmtId="0" fontId="63" fillId="2" borderId="18" xfId="5" applyFont="1" applyFill="1" applyBorder="1" applyAlignment="1">
      <alignment horizontal="left" vertical="center" textRotation="136" wrapText="1"/>
    </xf>
    <xf numFmtId="0" fontId="63" fillId="4" borderId="24" xfId="5" applyFont="1" applyFill="1" applyBorder="1" applyAlignment="1">
      <alignment horizontal="center" vertical="center" textRotation="136" wrapText="1"/>
    </xf>
    <xf numFmtId="0" fontId="63" fillId="4" borderId="25" xfId="5" applyFont="1" applyFill="1" applyBorder="1" applyAlignment="1">
      <alignment horizontal="center" vertical="center" textRotation="136" wrapText="1"/>
    </xf>
    <xf numFmtId="0" fontId="65" fillId="10" borderId="13" xfId="5" applyFont="1" applyFill="1" applyBorder="1" applyAlignment="1">
      <alignment horizontal="left" vertical="center" textRotation="136" wrapText="1"/>
    </xf>
    <xf numFmtId="0" fontId="63" fillId="2" borderId="24" xfId="5" applyFont="1" applyFill="1" applyBorder="1" applyAlignment="1">
      <alignment horizontal="center" vertical="center" textRotation="136" wrapText="1"/>
    </xf>
    <xf numFmtId="0" fontId="63" fillId="2" borderId="25" xfId="5" applyFont="1" applyFill="1" applyBorder="1" applyAlignment="1">
      <alignment horizontal="center" vertical="center" textRotation="136" wrapText="1"/>
    </xf>
    <xf numFmtId="0" fontId="65" fillId="10" borderId="57" xfId="5" applyFont="1" applyFill="1" applyBorder="1" applyAlignment="1">
      <alignment horizontal="center" vertical="center" textRotation="136" wrapText="1"/>
    </xf>
    <xf numFmtId="0" fontId="65" fillId="10" borderId="25" xfId="5" applyFont="1" applyFill="1" applyBorder="1" applyAlignment="1">
      <alignment horizontal="center" vertical="center" textRotation="136" wrapText="1"/>
    </xf>
  </cellXfs>
  <cellStyles count="8">
    <cellStyle name="Accent5" xfId="4" builtinId="45"/>
    <cellStyle name="Milliers" xfId="3" builtinId="3"/>
    <cellStyle name="Month" xfId="1" xr:uid="{120C02AB-125E-4547-A7EB-8DF494AE1B58}"/>
    <cellStyle name="Normal" xfId="0" builtinId="0"/>
    <cellStyle name="Normal 2" xfId="5" xr:uid="{29E16558-56BE-4331-B8B4-1ECAE0C9E340}"/>
    <cellStyle name="Titre 1 2" xfId="6" xr:uid="{DBC5912C-1DEC-4461-A74E-F796E5AEA943}"/>
    <cellStyle name="Titre 2 2" xfId="7" xr:uid="{20267AFC-9112-471D-87CE-D8F1297BD4D3}"/>
    <cellStyle name="Totals" xfId="2" xr:uid="{D85E2C61-E815-4EC3-AF9B-9C931125C7D0}"/>
  </cellStyles>
  <dxfs count="13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</border>
    </dxf>
    <dxf>
      <font>
        <b/>
        <i/>
        <strike/>
        <condense/>
        <extend/>
        <outline/>
        <shadow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theme="0"/>
        </patternFill>
      </fill>
      <border diagonalUp="0" diagonalDown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/>
      </border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/>
      </border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/>
      </border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/>
      </border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/>
      </border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/>
      </border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/>
      </border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/>
      </border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/>
      </border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/>
      </border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/>
      </border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/>
      </border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/>
      </border>
    </dxf>
    <dxf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679555650502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/>
        <shadow/>
        <u val="none"/>
        <vertAlign val="baseline"/>
        <sz val="14"/>
        <color theme="1" tint="0.499984740745262"/>
        <name val="Calibri"/>
        <scheme val="minor"/>
      </font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color theme="5" tint="-0.249977111117893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/>
        <strike/>
        <condense/>
        <extend/>
        <outline/>
        <shadow/>
        <u val="none"/>
        <vertAlign val="baseline"/>
        <sz val="10"/>
        <color theme="5" tint="-0.249977111117893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color theme="2" tint="-0.499984740745262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color theme="2" tint="-0.499984740745262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color theme="2" tint="-0.499984740745262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color theme="2" tint="-0.499984740745262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color theme="2" tint="-0.499984740745262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color theme="2" tint="-0.499984740745262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color theme="2" tint="-0.499984740745262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35" formatCode="_-* #,##0.00_-;\-* #,##0.00_-;_-* &quot;-&quot;??_-;_-@_-"/>
      <alignment horizontal="right" vertical="center" textRotation="0" wrapText="0" indent="0" justifyLastLine="0" shrinkToFit="0" readingOrder="0"/>
    </dxf>
    <dxf>
      <font>
        <color theme="2" tint="-0.499984740745262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color theme="5" tint="-0.249977111117893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color theme="5" tint="-0.249977111117893"/>
      </font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24997711111789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color theme="5" tint="-0.249977111117893"/>
      </font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color theme="5" tint="-0.249977111117893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color theme="5" tint="-0.249977111117893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5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>
          <fgColor indexed="64"/>
          <bgColor theme="0"/>
        </patternFill>
      </fill>
      <border diagonalUp="0" diagonalDown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color theme="5" tint="-0.249977111117893"/>
      </font>
      <numFmt numFmtId="35" formatCode="_-* #,##0.00_-;\-* #,##0.00_-;_-* &quot;-&quot;??_-;_-@_-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thick">
          <color theme="0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1" justifyLastLine="0" shrinkToFit="0" readingOrder="0"/>
    </dxf>
    <dxf>
      <font>
        <strike val="0"/>
        <outline/>
        <shadow/>
        <u val="none"/>
        <vertAlign val="baseline"/>
        <sz val="14"/>
        <color theme="1" tint="0.499984740745262"/>
        <name val="Calibri"/>
        <scheme val="minor"/>
      </font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  <border>
        <vertical/>
        <horizontal/>
      </border>
    </dxf>
    <dxf>
      <font>
        <color theme="1" tint="0.14996795556505021"/>
      </font>
    </dxf>
    <dxf>
      <border diagonalUp="0" diagonalDown="0">
        <left style="dotted">
          <color theme="0" tint="-0.34998626667073579"/>
        </left>
        <right style="dotted">
          <color theme="0" tint="-0.34998626667073579"/>
        </right>
        <top style="thin">
          <color theme="0" tint="-0.34998626667073579"/>
        </top>
        <bottom style="dotted">
          <color theme="0" tint="-0.34998626667073579"/>
        </bottom>
        <vertical/>
        <horizontal/>
      </border>
    </dxf>
    <dxf>
      <font>
        <b val="0"/>
        <i val="0"/>
        <color theme="1" tint="0.34998626667073579"/>
      </font>
    </dxf>
    <dxf>
      <font>
        <b val="0"/>
        <i val="0"/>
        <color theme="1" tint="0.14990691854609822"/>
      </font>
      <fill>
        <patternFill patternType="solid">
          <bgColor theme="4" tint="0.79998168889431442"/>
        </patternFill>
      </fill>
      <border>
        <top/>
        <bottom style="medium">
          <color theme="4" tint="0.39994506668294322"/>
        </bottom>
      </border>
    </dxf>
    <dxf>
      <font>
        <b/>
        <i/>
        <color theme="1" tint="0.14996795556505021"/>
      </font>
    </dxf>
    <dxf>
      <font>
        <color theme="1" tint="0.499984740745262"/>
      </font>
      <border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1" defaultTableStyle="TableStyleMedium2" defaultPivotStyle="PivotStyleLight16">
    <tableStyle name="Cash Receipts" pivot="0" count="7" xr9:uid="{B1F20E86-5750-4722-8594-E0C68872E68E}">
      <tableStyleElement type="wholeTable" dxfId="1310"/>
      <tableStyleElement type="headerRow" dxfId="1309"/>
      <tableStyleElement type="totalRow" dxfId="1308"/>
      <tableStyleElement type="firstColumn" dxfId="1307"/>
      <tableStyleElement type="lastColumn" dxfId="1306"/>
      <tableStyleElement type="firstTotalCell" dxfId="1305"/>
      <tableStyleElement type="lastTotalCell" dxfId="1304"/>
    </tableStyle>
  </tableStyles>
  <colors>
    <mruColors>
      <color rgb="FFF030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</xdr:colOff>
      <xdr:row>0</xdr:row>
      <xdr:rowOff>0</xdr:rowOff>
    </xdr:from>
    <xdr:to>
      <xdr:col>8</xdr:col>
      <xdr:colOff>0</xdr:colOff>
      <xdr:row>0</xdr:row>
      <xdr:rowOff>493</xdr:rowOff>
    </xdr:to>
    <xdr:sp macro="[1]!Clear_Apr" textlink="">
      <xdr:nvSpPr>
        <xdr:cNvPr id="2" name="Zone de texte 115" descr="Cliquez pour effacer les coches d’avril" title="Effacer - avril">
          <a:extLst>
            <a:ext uri="{FF2B5EF4-FFF2-40B4-BE49-F238E27FC236}">
              <a16:creationId xmlns:a16="http://schemas.microsoft.com/office/drawing/2014/main" id="{5B477E41-F862-46E7-A533-12970B7AE0C9}"/>
            </a:ext>
          </a:extLst>
        </xdr:cNvPr>
        <xdr:cNvSpPr txBox="1">
          <a:spLocks/>
        </xdr:cNvSpPr>
      </xdr:nvSpPr>
      <xdr:spPr>
        <a:xfrm>
          <a:off x="13468859" y="0"/>
          <a:ext cx="790066" cy="49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fr" sz="1000" b="1">
              <a:solidFill>
                <a:schemeClr val="tx2">
                  <a:lumMod val="50000"/>
                </a:schemeClr>
              </a:solidFill>
              <a:latin typeface="+mj-lt"/>
            </a:rPr>
            <a:t>EFFACER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507</xdr:colOff>
      <xdr:row>0</xdr:row>
      <xdr:rowOff>0</xdr:rowOff>
    </xdr:from>
    <xdr:to>
      <xdr:col>8</xdr:col>
      <xdr:colOff>0</xdr:colOff>
      <xdr:row>0</xdr:row>
      <xdr:rowOff>495</xdr:rowOff>
    </xdr:to>
    <xdr:sp macro="[0]!Clear_May" textlink="">
      <xdr:nvSpPr>
        <xdr:cNvPr id="2" name="Zone de texte 116" descr="Cliquez pour effacer les coches de mai" title="Effacer - mai">
          <a:extLst>
            <a:ext uri="{FF2B5EF4-FFF2-40B4-BE49-F238E27FC236}">
              <a16:creationId xmlns:a16="http://schemas.microsoft.com/office/drawing/2014/main" id="{39010626-ACD2-47F7-ADFD-1151F988C9C7}"/>
            </a:ext>
          </a:extLst>
        </xdr:cNvPr>
        <xdr:cNvSpPr txBox="1">
          <a:spLocks/>
        </xdr:cNvSpPr>
      </xdr:nvSpPr>
      <xdr:spPr>
        <a:xfrm>
          <a:off x="11506707" y="0"/>
          <a:ext cx="790068" cy="4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fr" sz="1000" b="1">
              <a:solidFill>
                <a:schemeClr val="tx2">
                  <a:lumMod val="50000"/>
                </a:schemeClr>
              </a:solidFill>
              <a:latin typeface="+mj-lt"/>
            </a:rPr>
            <a:t>EFFACER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</xdr:colOff>
      <xdr:row>0</xdr:row>
      <xdr:rowOff>0</xdr:rowOff>
    </xdr:from>
    <xdr:to>
      <xdr:col>9</xdr:col>
      <xdr:colOff>0</xdr:colOff>
      <xdr:row>0</xdr:row>
      <xdr:rowOff>495</xdr:rowOff>
    </xdr:to>
    <xdr:sp macro="[1]!Clear_May" textlink="">
      <xdr:nvSpPr>
        <xdr:cNvPr id="2" name="Zone de texte 116" descr="Cliquez pour effacer les coches de mai" title="Effacer - mai">
          <a:extLst>
            <a:ext uri="{FF2B5EF4-FFF2-40B4-BE49-F238E27FC236}">
              <a16:creationId xmlns:a16="http://schemas.microsoft.com/office/drawing/2014/main" id="{51C3E2C9-8E1B-429D-9658-9C4FA248C333}"/>
            </a:ext>
          </a:extLst>
        </xdr:cNvPr>
        <xdr:cNvSpPr txBox="1">
          <a:spLocks/>
        </xdr:cNvSpPr>
      </xdr:nvSpPr>
      <xdr:spPr>
        <a:xfrm>
          <a:off x="11697207" y="0"/>
          <a:ext cx="790068" cy="4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fr" sz="1000" b="1">
              <a:solidFill>
                <a:schemeClr val="tx2">
                  <a:lumMod val="50000"/>
                </a:schemeClr>
              </a:solidFill>
              <a:latin typeface="+mj-lt"/>
            </a:rPr>
            <a:t>EFFACER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</xdr:colOff>
      <xdr:row>0</xdr:row>
      <xdr:rowOff>0</xdr:rowOff>
    </xdr:from>
    <xdr:to>
      <xdr:col>9</xdr:col>
      <xdr:colOff>0</xdr:colOff>
      <xdr:row>0</xdr:row>
      <xdr:rowOff>495</xdr:rowOff>
    </xdr:to>
    <xdr:sp macro="[1]!Clear_May" textlink="">
      <xdr:nvSpPr>
        <xdr:cNvPr id="2" name="Zone de texte 116" descr="Cliquez pour effacer les coches de mai" title="Effacer - mai">
          <a:extLst>
            <a:ext uri="{FF2B5EF4-FFF2-40B4-BE49-F238E27FC236}">
              <a16:creationId xmlns:a16="http://schemas.microsoft.com/office/drawing/2014/main" id="{8B89EBA4-ED58-423C-B35B-968DEB792BF2}"/>
            </a:ext>
          </a:extLst>
        </xdr:cNvPr>
        <xdr:cNvSpPr txBox="1">
          <a:spLocks/>
        </xdr:cNvSpPr>
      </xdr:nvSpPr>
      <xdr:spPr>
        <a:xfrm>
          <a:off x="13059282" y="0"/>
          <a:ext cx="1323468" cy="4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fr" sz="1000" b="1">
              <a:solidFill>
                <a:schemeClr val="tx2">
                  <a:lumMod val="50000"/>
                </a:schemeClr>
              </a:solidFill>
              <a:latin typeface="+mj-lt"/>
            </a:rPr>
            <a:t>EFFACER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</xdr:colOff>
      <xdr:row>0</xdr:row>
      <xdr:rowOff>0</xdr:rowOff>
    </xdr:from>
    <xdr:to>
      <xdr:col>9</xdr:col>
      <xdr:colOff>0</xdr:colOff>
      <xdr:row>0</xdr:row>
      <xdr:rowOff>495</xdr:rowOff>
    </xdr:to>
    <xdr:sp macro="[1]!Clear_May" textlink="">
      <xdr:nvSpPr>
        <xdr:cNvPr id="2" name="Zone de texte 116" descr="Cliquez pour effacer les coches de mai" title="Effacer - mai">
          <a:extLst>
            <a:ext uri="{FF2B5EF4-FFF2-40B4-BE49-F238E27FC236}">
              <a16:creationId xmlns:a16="http://schemas.microsoft.com/office/drawing/2014/main" id="{07EF07B9-D411-4062-A59F-3F1601B0B9BA}"/>
            </a:ext>
          </a:extLst>
        </xdr:cNvPr>
        <xdr:cNvSpPr txBox="1">
          <a:spLocks/>
        </xdr:cNvSpPr>
      </xdr:nvSpPr>
      <xdr:spPr>
        <a:xfrm>
          <a:off x="13745082" y="0"/>
          <a:ext cx="1323468" cy="4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fr" sz="1000" b="1">
              <a:solidFill>
                <a:schemeClr val="tx2">
                  <a:lumMod val="50000"/>
                </a:schemeClr>
              </a:solidFill>
              <a:latin typeface="+mj-lt"/>
            </a:rPr>
            <a:t>EFFACER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</xdr:colOff>
      <xdr:row>0</xdr:row>
      <xdr:rowOff>0</xdr:rowOff>
    </xdr:from>
    <xdr:to>
      <xdr:col>9</xdr:col>
      <xdr:colOff>0</xdr:colOff>
      <xdr:row>0</xdr:row>
      <xdr:rowOff>495</xdr:rowOff>
    </xdr:to>
    <xdr:sp macro="[1]!Clear_May" textlink="">
      <xdr:nvSpPr>
        <xdr:cNvPr id="2" name="Zone de texte 116" descr="Cliquez pour effacer les coches de mai" title="Effacer - mai">
          <a:extLst>
            <a:ext uri="{FF2B5EF4-FFF2-40B4-BE49-F238E27FC236}">
              <a16:creationId xmlns:a16="http://schemas.microsoft.com/office/drawing/2014/main" id="{D82CA38C-D411-498F-B237-F5E89AA34CD8}"/>
            </a:ext>
          </a:extLst>
        </xdr:cNvPr>
        <xdr:cNvSpPr txBox="1">
          <a:spLocks/>
        </xdr:cNvSpPr>
      </xdr:nvSpPr>
      <xdr:spPr>
        <a:xfrm>
          <a:off x="13745082" y="0"/>
          <a:ext cx="1323468" cy="4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fr" sz="1000" b="1">
              <a:solidFill>
                <a:schemeClr val="tx2">
                  <a:lumMod val="50000"/>
                </a:schemeClr>
              </a:solidFill>
              <a:latin typeface="+mj-lt"/>
            </a:rPr>
            <a:t>EFFACER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</xdr:colOff>
      <xdr:row>0</xdr:row>
      <xdr:rowOff>0</xdr:rowOff>
    </xdr:from>
    <xdr:to>
      <xdr:col>9</xdr:col>
      <xdr:colOff>0</xdr:colOff>
      <xdr:row>0</xdr:row>
      <xdr:rowOff>495</xdr:rowOff>
    </xdr:to>
    <xdr:sp macro="[1]!Clear_May" textlink="">
      <xdr:nvSpPr>
        <xdr:cNvPr id="2" name="Zone de texte 116" descr="Cliquez pour effacer les coches de mai" title="Effacer - mai">
          <a:extLst>
            <a:ext uri="{FF2B5EF4-FFF2-40B4-BE49-F238E27FC236}">
              <a16:creationId xmlns:a16="http://schemas.microsoft.com/office/drawing/2014/main" id="{D35D60FB-E893-4C47-B961-7D2F9A2FD6CB}"/>
            </a:ext>
          </a:extLst>
        </xdr:cNvPr>
        <xdr:cNvSpPr txBox="1">
          <a:spLocks/>
        </xdr:cNvSpPr>
      </xdr:nvSpPr>
      <xdr:spPr>
        <a:xfrm>
          <a:off x="13745082" y="0"/>
          <a:ext cx="1323468" cy="4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fr" sz="1000" b="1">
              <a:solidFill>
                <a:schemeClr val="tx2">
                  <a:lumMod val="50000"/>
                </a:schemeClr>
              </a:solidFill>
              <a:latin typeface="+mj-lt"/>
            </a:rPr>
            <a:t>EFFACER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</xdr:colOff>
      <xdr:row>0</xdr:row>
      <xdr:rowOff>0</xdr:rowOff>
    </xdr:from>
    <xdr:to>
      <xdr:col>9</xdr:col>
      <xdr:colOff>0</xdr:colOff>
      <xdr:row>0</xdr:row>
      <xdr:rowOff>495</xdr:rowOff>
    </xdr:to>
    <xdr:sp macro="[1]!Clear_May" textlink="">
      <xdr:nvSpPr>
        <xdr:cNvPr id="2" name="Zone de texte 116" descr="Cliquez pour effacer les coches de mai" title="Effacer - mai">
          <a:extLst>
            <a:ext uri="{FF2B5EF4-FFF2-40B4-BE49-F238E27FC236}">
              <a16:creationId xmlns:a16="http://schemas.microsoft.com/office/drawing/2014/main" id="{77DB4BED-4828-4F61-A532-406D702346A3}"/>
            </a:ext>
          </a:extLst>
        </xdr:cNvPr>
        <xdr:cNvSpPr txBox="1">
          <a:spLocks/>
        </xdr:cNvSpPr>
      </xdr:nvSpPr>
      <xdr:spPr>
        <a:xfrm>
          <a:off x="13745082" y="0"/>
          <a:ext cx="1323468" cy="4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fr" sz="1000" b="1">
              <a:solidFill>
                <a:schemeClr val="tx2">
                  <a:lumMod val="50000"/>
                </a:schemeClr>
              </a:solidFill>
              <a:latin typeface="+mj-lt"/>
            </a:rPr>
            <a:t>EFFACER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</xdr:colOff>
      <xdr:row>0</xdr:row>
      <xdr:rowOff>0</xdr:rowOff>
    </xdr:from>
    <xdr:to>
      <xdr:col>9</xdr:col>
      <xdr:colOff>0</xdr:colOff>
      <xdr:row>0</xdr:row>
      <xdr:rowOff>495</xdr:rowOff>
    </xdr:to>
    <xdr:sp macro="[1]!Clear_May" textlink="">
      <xdr:nvSpPr>
        <xdr:cNvPr id="2" name="Zone de texte 116" descr="Cliquez pour effacer les coches de mai" title="Effacer - mai">
          <a:extLst>
            <a:ext uri="{FF2B5EF4-FFF2-40B4-BE49-F238E27FC236}">
              <a16:creationId xmlns:a16="http://schemas.microsoft.com/office/drawing/2014/main" id="{285417FB-75A8-4EF8-A55F-5945EFD3050A}"/>
            </a:ext>
          </a:extLst>
        </xdr:cNvPr>
        <xdr:cNvSpPr txBox="1">
          <a:spLocks/>
        </xdr:cNvSpPr>
      </xdr:nvSpPr>
      <xdr:spPr>
        <a:xfrm>
          <a:off x="13745082" y="0"/>
          <a:ext cx="1323468" cy="4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fr" sz="1000" b="1">
              <a:solidFill>
                <a:schemeClr val="tx2">
                  <a:lumMod val="50000"/>
                </a:schemeClr>
              </a:solidFill>
              <a:latin typeface="+mj-lt"/>
            </a:rPr>
            <a:t>EFFACER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URNISSEURS%20-%20SUIVI%20FACTURATION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"/>
      <sheetName val="04.2021"/>
      <sheetName val="05.2021"/>
      <sheetName val="06.2021"/>
      <sheetName val="07.2021"/>
      <sheetName val="08.2021"/>
      <sheetName val="09.2021"/>
      <sheetName val="FOURNISSEURS - SUIVI FACTURATIO"/>
    </sheetNames>
    <definedNames>
      <definedName name="Clear_Apr"/>
      <definedName name="Clear_May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A9B674-8164-4E3C-9E6B-48D85F403A36}" name="Encaissements52" displayName="Encaissements52" ref="B9:T12" headerRowCount="0" totalsRowCount="1" headerRowCellStyle="Milliers" dataCellStyle="Milliers" totalsRowCellStyle="Milliers">
  <tableColumns count="19">
    <tableColumn id="1" xr3:uid="{45A3B255-C784-4B79-AEAB-D6543DD269C2}" name="Items" totalsRowLabel="Total" headerRowDxfId="1264" dataDxfId="1263" totalsRowDxfId="1262" dataCellStyle="Milliers"/>
    <tableColumn id="17" xr3:uid="{44B840EB-EE00-4F40-8AF0-17D9D1DB1B1F}" name="Column2" headerRowDxfId="1261" dataDxfId="1260" totalsRowDxfId="1259" dataCellStyle="Milliers"/>
    <tableColumn id="2" xr3:uid="{C73E034A-0F0E-4B4A-BC80-02D5FF1E7B57}" name="Période 0" totalsRowFunction="sum" dataDxfId="1258" totalsRowDxfId="1257" dataCellStyle="Milliers"/>
    <tableColumn id="3" xr3:uid="{E5307744-32A5-4451-BD5F-0D4F624A8FB6}" name="Période 1" totalsRowFunction="sum" dataDxfId="1256" totalsRowDxfId="1255" dataCellStyle="Milliers">
      <calculatedColumnFormula>115000+80000+45000</calculatedColumnFormula>
    </tableColumn>
    <tableColumn id="4" xr3:uid="{D8AF80CC-5BF2-43AC-AFB4-72EEAF67EAEC}" name="Période 2" totalsRowFunction="sum" dataDxfId="1254" totalsRowDxfId="1253" dataCellStyle="Milliers"/>
    <tableColumn id="5" xr3:uid="{3D65C6B0-EBA0-44D1-BA96-F7E518C2E679}" name="Période 3" totalsRowFunction="sum" dataDxfId="1252" totalsRowDxfId="1251" dataCellStyle="Milliers">
      <calculatedColumnFormula>40000+110000</calculatedColumnFormula>
    </tableColumn>
    <tableColumn id="6" xr3:uid="{7907DC5A-3297-4428-B824-F9E51FCFA9A0}" name="Période 4" totalsRowFunction="sum" dataDxfId="1250" totalsRowDxfId="1249" dataCellStyle="Milliers">
      <calculatedColumnFormula>20000</calculatedColumnFormula>
    </tableColumn>
    <tableColumn id="7" xr3:uid="{BEE452EF-2615-42CE-BBCE-448E15DC9E03}" name="Période 5" totalsRowFunction="sum" dataDxfId="1248" totalsRowDxfId="1247" dataCellStyle="Milliers">
      <calculatedColumnFormula>4.16+68.92</calculatedColumnFormula>
    </tableColumn>
    <tableColumn id="8" xr3:uid="{637882EF-5FB5-4385-879E-0816AC90F1CE}" name="Période 6" totalsRowFunction="sum" dataDxfId="1246" totalsRowDxfId="1245" dataCellStyle="Milliers">
      <calculatedColumnFormula>30000+30000+60000+30000+170000+46000</calculatedColumnFormula>
    </tableColumn>
    <tableColumn id="9" xr3:uid="{8D73267D-E59B-4B63-A468-57967D3BA848}" name="Période 7" totalsRowFunction="sum" dataDxfId="1244" totalsRowDxfId="1243" dataCellStyle="Milliers">
      <calculatedColumnFormula>30000+30000+13711.35+220.8+60000</calculatedColumnFormula>
    </tableColumn>
    <tableColumn id="10" xr3:uid="{097A1A68-86E4-4599-B64E-69F2E0A42C16}" name="Période 8" totalsRowFunction="sum" dataDxfId="1242" totalsRowDxfId="1241" dataCellStyle="Milliers"/>
    <tableColumn id="11" xr3:uid="{8DF5FB6D-116B-400B-AC32-B10F9466CACE}" name="Période 9" dataDxfId="1240" totalsRowDxfId="1239" dataCellStyle="Milliers"/>
    <tableColumn id="12" xr3:uid="{A5BD2140-D5A7-45D0-BC26-9A339AFC18C4}" name="Période 10" totalsRowFunction="sum" dataDxfId="1238" totalsRowDxfId="1237" dataCellStyle="Milliers"/>
    <tableColumn id="13" xr3:uid="{C42905E8-7CDD-4A09-AC7D-36520146958E}" name="Période 11" totalsRowFunction="sum" dataDxfId="1236" totalsRowDxfId="1235" dataCellStyle="Milliers"/>
    <tableColumn id="14" xr3:uid="{5520F121-0610-4FB1-B764-305E24F9321B}" name="Période 12" totalsRowFunction="sum" dataDxfId="1234" totalsRowDxfId="1233" dataCellStyle="Milliers"/>
    <tableColumn id="18" xr3:uid="{556EE82E-981F-476F-8768-B92CA7C20189}" name="Column3" dataDxfId="1232" totalsRowDxfId="1231" dataCellStyle="Milliers"/>
    <tableColumn id="15" xr3:uid="{6AD5CF89-687F-4931-B4F6-FD8AB9ABD285}" name="Total" totalsRowFunction="sum" totalsRowDxfId="1230" dataCellStyle="Milliers">
      <calculatedColumnFormula>SUM(Encaissements52[[#This Row],[Période 0]:[Période 12]])</calculatedColumnFormula>
    </tableColumn>
    <tableColumn id="16" xr3:uid="{154E6E95-474C-43BA-86B9-8DC0B17AAE61}" name="Column1" totalsRowDxfId="1229" dataCellStyle="Milliers"/>
    <tableColumn id="19" xr3:uid="{76CBE224-113B-471D-B4D0-D48951FFBF94}" name="Colonne1" dataDxfId="1228" totalsRowDxfId="1227" headerRowCellStyle="Milliers" dataCellStyle="Milliers"/>
  </tableColumns>
  <tableStyleInfo name="Cash Receipts" showFirstColumn="1" showLastColumn="1" showRowStripes="0" showColumnStripes="0"/>
  <extLst>
    <ext xmlns:x14="http://schemas.microsoft.com/office/spreadsheetml/2009/9/main" uri="{504A1905-F514-4f6f-8877-14C23A59335A}">
      <x14:table altText="Cash Receipts" altTextSummary="Cash receipts for 12 months starting with the first month of the fiscal year along with a calculated grand total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A874BE-CF31-4FE4-9AF9-DB3B6C10019C}" name="Décaissements63" displayName="Décaissements63" ref="B17:T206" headerRowCount="0" totalsRowCount="1" headerRowCellStyle="Milliers" dataCellStyle="Milliers" totalsRowCellStyle="Milliers">
  <tableColumns count="19">
    <tableColumn id="1" xr3:uid="{C119C9FC-7644-4252-A22D-B406A013ADA3}" name="Items" totalsRowLabel="Total" headerRowDxfId="1226" dataDxfId="1225" totalsRowDxfId="1224" dataCellStyle="Milliers"/>
    <tableColumn id="17" xr3:uid="{515B54BF-C11F-4C4F-911B-395BDA57E88C}" name="Column2" headerRowDxfId="1223" dataDxfId="1222" totalsRowDxfId="1221" dataCellStyle="Milliers"/>
    <tableColumn id="2" xr3:uid="{03AA803E-FB6A-4F14-837C-0B8E32F12FD3}" name="Période 0" totalsRowFunction="sum" dataDxfId="1220" totalsRowDxfId="1219" dataCellStyle="Milliers"/>
    <tableColumn id="3" xr3:uid="{9C9BF541-011E-4099-998F-A3014FDC401F}" name="Période 1" totalsRowFunction="sum" dataDxfId="1218" totalsRowDxfId="1217" dataCellStyle="Milliers"/>
    <tableColumn id="4" xr3:uid="{FFB0FC7C-B525-456E-AB92-568FCF2ACF07}" name="Période 2" totalsRowFunction="sum" dataDxfId="1216" totalsRowDxfId="1215" dataCellStyle="Milliers"/>
    <tableColumn id="5" xr3:uid="{12468C97-BC06-46B7-963C-9D3836884028}" name="Période 3" totalsRowFunction="sum" dataDxfId="1214" totalsRowDxfId="1213" dataCellStyle="Milliers"/>
    <tableColumn id="6" xr3:uid="{E51150C2-3CF3-4493-A2C6-2C7233893566}" name="Période 4" totalsRowFunction="sum" dataDxfId="1212" totalsRowDxfId="1211" dataCellStyle="Milliers">
      <calculatedColumnFormula>1236.03</calculatedColumnFormula>
    </tableColumn>
    <tableColumn id="7" xr3:uid="{CE6CCFDC-490F-4D32-9968-CFAA17F5F020}" name="Période 5" totalsRowFunction="sum" dataDxfId="1210" totalsRowDxfId="1209" dataCellStyle="Milliers"/>
    <tableColumn id="8" xr3:uid="{6CF1D706-0FDB-462D-9EAB-CAD2B8F46223}" name="Période 6" totalsRowFunction="sum" dataDxfId="1208" totalsRowDxfId="1207" dataCellStyle="Milliers"/>
    <tableColumn id="9" xr3:uid="{03A09A5B-0BBF-4384-A609-89C14EE4AB5A}" name="Période 7" totalsRowFunction="sum" dataDxfId="1206" totalsRowDxfId="1205" dataCellStyle="Milliers"/>
    <tableColumn id="10" xr3:uid="{2DC0D3DE-0D03-4E9F-8D7E-B1B304BE9993}" name="Période 8" totalsRowFunction="sum" dataDxfId="1204" totalsRowDxfId="1203" dataCellStyle="Milliers"/>
    <tableColumn id="11" xr3:uid="{51D3A288-7403-47E3-ADA7-C87D639846CC}" name="Période 9" totalsRowFunction="sum" dataDxfId="1202" totalsRowDxfId="1201" dataCellStyle="Milliers"/>
    <tableColumn id="12" xr3:uid="{213089F5-DF85-40EC-8C58-84C47D6C08C9}" name="Période 10" totalsRowFunction="sum" dataDxfId="1200" totalsRowDxfId="1199" dataCellStyle="Milliers"/>
    <tableColumn id="13" xr3:uid="{516A58FE-85CE-49D9-87CE-4B5114C7CBD2}" name="Période 11" totalsRowFunction="sum" dataDxfId="1198" totalsRowDxfId="1197" dataCellStyle="Milliers"/>
    <tableColumn id="14" xr3:uid="{75C2E720-5ADC-4425-91F4-C426D9320980}" name="Période 12" totalsRowFunction="sum" dataDxfId="1196" totalsRowDxfId="1195" dataCellStyle="Milliers"/>
    <tableColumn id="18" xr3:uid="{A950F897-E310-4AE7-8163-2F50355E5D95}" name="Column3" dataDxfId="1194" totalsRowDxfId="1193" dataCellStyle="Milliers"/>
    <tableColumn id="15" xr3:uid="{01AF1681-1359-4E67-8CAF-89B106520E43}" name="Total" totalsRowFunction="sum" dataDxfId="1192" totalsRowDxfId="1191" dataCellStyle="Milliers">
      <calculatedColumnFormula>SUM(Décaissements63[[#This Row],[Période 0]:[Période 12]])</calculatedColumnFormula>
    </tableColumn>
    <tableColumn id="16" xr3:uid="{3A9C1262-B14D-4A37-913A-FA16B2D33C30}" name="Column1" dataDxfId="1190" totalsRowDxfId="1189" dataCellStyle="Milliers">
      <calculatedColumnFormula>+AVERAGE(Décaissements63[[#This Row],[Période 1]:[Période 12]])</calculatedColumnFormula>
    </tableColumn>
    <tableColumn id="19" xr3:uid="{A6A7830A-74AC-435A-9C62-DA10DBE9543D}" name="Colonne1" totalsRowDxfId="1188" headerRowCellStyle="Milliers" dataCellStyle="Milliers"/>
  </tableColumns>
  <tableStyleInfo name="Cash Receipts" showFirstColumn="1" showLastColumn="1" showRowStripes="0" showColumnStripes="0"/>
  <extLst>
    <ext xmlns:x14="http://schemas.microsoft.com/office/spreadsheetml/2009/9/main" uri="{504A1905-F514-4f6f-8877-14C23A59335A}">
      <x14:table altText="Cash Paid Out" altTextSummary="Cash payouts for 12 months starting with the first month of the fiscal year along with a calculated grand total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D5E116-9FD0-4862-9748-3688765A5CE7}" name="Décaissements274" displayName="Décaissements274" ref="B210:S211" headerRowCount="0" insertRow="1" totalsRowCount="1" headerRowCellStyle="Milliers" dataCellStyle="Milliers" totalsRowCellStyle="Milliers">
  <tableColumns count="18">
    <tableColumn id="1" xr3:uid="{51B3481F-41EB-4CB3-A0C5-BEEF4CEE5730}" name="Items" totalsRowLabel="Total" headerRowDxfId="1187" dataDxfId="1186" totalsRowDxfId="1185" dataCellStyle="Milliers" totalsRowCellStyle="Milliers"/>
    <tableColumn id="17" xr3:uid="{95C6A152-FCBA-485A-ACF3-42B10CA32264}" name="Column2" headerRowDxfId="1184" dataDxfId="1183" totalsRowDxfId="1182" dataCellStyle="Milliers" totalsRowCellStyle="Milliers"/>
    <tableColumn id="2" xr3:uid="{C400D4E2-49D4-4AF5-857C-44D524F2AA76}" name="Période 0" totalsRowFunction="sum" dataDxfId="1181" totalsRowDxfId="1180" dataCellStyle="Milliers" totalsRowCellStyle="Milliers"/>
    <tableColumn id="3" xr3:uid="{21653834-3DCD-482B-989D-3FDEF825FFA5}" name="Période 1" totalsRowFunction="sum" dataDxfId="1179" totalsRowDxfId="1178" dataCellStyle="Milliers" totalsRowCellStyle="Milliers"/>
    <tableColumn id="4" xr3:uid="{D8921BCE-4278-4180-8172-A84DD40CB99D}" name="Période 2" totalsRowFunction="sum" dataDxfId="1177" totalsRowDxfId="1176" dataCellStyle="Milliers" totalsRowCellStyle="Milliers"/>
    <tableColumn id="5" xr3:uid="{8338DDCB-13D0-496A-BF63-25BFF3597CC5}" name="Période 3" totalsRowFunction="sum" dataDxfId="1175" totalsRowDxfId="1174" dataCellStyle="Milliers" totalsRowCellStyle="Milliers"/>
    <tableColumn id="6" xr3:uid="{DDAE8C72-C716-45A9-87AD-DDBE0F6BAC7D}" name="Période 4" totalsRowFunction="sum" dataDxfId="1173" totalsRowDxfId="1172" dataCellStyle="Milliers" totalsRowCellStyle="Milliers"/>
    <tableColumn id="7" xr3:uid="{A0DBF11D-DDC5-4403-A203-9BE219088AD4}" name="Période 5" totalsRowFunction="sum" dataDxfId="1171" totalsRowDxfId="1170" dataCellStyle="Milliers" totalsRowCellStyle="Milliers"/>
    <tableColumn id="8" xr3:uid="{A1BE16DA-E045-4E8C-BE20-B172B304A34D}" name="Période 6" totalsRowFunction="sum" dataDxfId="1169" totalsRowDxfId="1168" dataCellStyle="Milliers" totalsRowCellStyle="Milliers"/>
    <tableColumn id="9" xr3:uid="{CA9A8870-2CB5-405A-8F82-8706AF94B7D6}" name="Période 7" totalsRowFunction="sum" dataDxfId="1167" totalsRowDxfId="1166" dataCellStyle="Milliers" totalsRowCellStyle="Milliers"/>
    <tableColumn id="10" xr3:uid="{56BB2221-3E02-4B5A-8BB4-A3491AB78A5C}" name="Période 8" totalsRowFunction="sum" dataDxfId="1165" totalsRowDxfId="1164" dataCellStyle="Milliers" totalsRowCellStyle="Milliers"/>
    <tableColumn id="11" xr3:uid="{57265D5A-BBF1-45DF-A97C-9B116241B162}" name="Période 9" totalsRowFunction="sum" dataDxfId="1163" totalsRowDxfId="1162" dataCellStyle="Milliers" totalsRowCellStyle="Milliers"/>
    <tableColumn id="12" xr3:uid="{0A0E7467-2372-44AA-B1E1-1C5262E0804C}" name="Période 10" totalsRowFunction="sum" dataDxfId="1161" totalsRowDxfId="1160" dataCellStyle="Milliers" totalsRowCellStyle="Milliers"/>
    <tableColumn id="13" xr3:uid="{C9DB62B0-42B1-4999-AD5D-B5FDDBECA336}" name="Période 11" totalsRowFunction="sum" dataDxfId="1159" totalsRowDxfId="1158" dataCellStyle="Milliers" totalsRowCellStyle="Milliers"/>
    <tableColumn id="14" xr3:uid="{803FDF49-2B74-4663-AFA8-BFD2C6E9BB4A}" name="Période 12" totalsRowFunction="sum" dataDxfId="1157" totalsRowDxfId="1156" dataCellStyle="Milliers" totalsRowCellStyle="Milliers"/>
    <tableColumn id="18" xr3:uid="{12B42840-DEC8-44B1-A769-40E19A149AA1}" name="Column3" dataDxfId="1155" totalsRowDxfId="1154" dataCellStyle="Milliers" totalsRowCellStyle="Milliers"/>
    <tableColumn id="15" xr3:uid="{40D5CAE4-E10B-4B6A-B415-799969168890}" name="Total" totalsRowFunction="sum" totalsRowDxfId="1153" dataCellStyle="Milliers" totalsRowCellStyle="Milliers">
      <calculatedColumnFormula>SUM(Décaissements274[[#This Row],[Période 0]:[Période 12]])</calculatedColumnFormula>
    </tableColumn>
    <tableColumn id="16" xr3:uid="{4098F54C-EC81-4292-BAC3-81B5C312F1EC}" name="Column1" totalsRowDxfId="1152" dataCellStyle="Milliers" totalsRowCellStyle="Milliers"/>
  </tableColumns>
  <tableStyleInfo name="Cash Receipts" showFirstColumn="1" showLastColumn="1" showRowStripes="0" showColumnStripes="0"/>
  <extLst>
    <ext xmlns:x14="http://schemas.microsoft.com/office/spreadsheetml/2009/9/main" uri="{504A1905-F514-4f6f-8877-14C23A59335A}">
      <x14:table altText="Cash Paid Out (Non P&amp;L)" altTextSummary="Cash receipts (non P&amp;L) for 12 months starting with the first month of the fiscal year along with a calculated grand total."/>
    </ext>
  </extLst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924F-5470-431F-B87C-78D8CEF159CC}">
  <sheetPr>
    <tabColor rgb="FF002060"/>
    <pageSetUpPr autoPageBreaks="0" fitToPage="1"/>
  </sheetPr>
  <dimension ref="A1:K32"/>
  <sheetViews>
    <sheetView showGridLines="0" zoomScaleNormal="100" zoomScaleSheetLayoutView="85" zoomScalePageLayoutView="55" workbookViewId="0">
      <pane ySplit="1" topLeftCell="A2" activePane="bottomLeft" state="frozen"/>
      <selection activeCell="C73" sqref="C73"/>
      <selection pane="bottomLeft" activeCell="A19" sqref="A19"/>
    </sheetView>
  </sheetViews>
  <sheetFormatPr baseColWidth="10" defaultColWidth="9.140625" defaultRowHeight="21" customHeight="1" x14ac:dyDescent="0.25"/>
  <cols>
    <col min="1" max="1" width="27.140625" style="105" customWidth="1"/>
    <col min="2" max="2" width="24.5703125" style="272" customWidth="1"/>
    <col min="3" max="3" width="24" style="123" customWidth="1"/>
    <col min="4" max="4" width="37.85546875" style="83" customWidth="1"/>
    <col min="5" max="5" width="20.42578125" style="120" customWidth="1"/>
    <col min="6" max="6" width="20.42578125" style="287" customWidth="1"/>
    <col min="7" max="7" width="21" style="83" customWidth="1"/>
    <col min="8" max="9" width="9.140625" style="58"/>
    <col min="10" max="10" width="11.42578125" style="58" bestFit="1" customWidth="1"/>
    <col min="11" max="16384" width="9.140625" style="58"/>
  </cols>
  <sheetData>
    <row r="1" spans="1:11" s="163" customFormat="1" ht="24" customHeight="1" x14ac:dyDescent="0.25">
      <c r="A1" s="99" t="s">
        <v>827</v>
      </c>
      <c r="B1" s="264" t="s">
        <v>142</v>
      </c>
      <c r="C1" s="99" t="s">
        <v>148</v>
      </c>
      <c r="D1" s="99" t="s">
        <v>141</v>
      </c>
      <c r="E1" s="99" t="s">
        <v>103</v>
      </c>
      <c r="F1" s="279" t="s">
        <v>487</v>
      </c>
      <c r="G1" s="99" t="s">
        <v>494</v>
      </c>
    </row>
    <row r="2" spans="1:11" ht="18.600000000000001" customHeight="1" x14ac:dyDescent="0.25">
      <c r="A2" s="289" t="s">
        <v>829</v>
      </c>
      <c r="B2" s="265"/>
      <c r="C2" s="365">
        <v>5158.54</v>
      </c>
      <c r="D2" s="89" t="s">
        <v>828</v>
      </c>
      <c r="E2" s="108">
        <v>44742</v>
      </c>
      <c r="F2" s="280"/>
      <c r="G2" s="277">
        <f t="shared" ref="G2:G26" si="0">C2-F2</f>
        <v>5158.54</v>
      </c>
    </row>
    <row r="3" spans="1:11" ht="18.600000000000001" customHeight="1" x14ac:dyDescent="0.25">
      <c r="A3" s="289" t="s">
        <v>829</v>
      </c>
      <c r="B3" s="265"/>
      <c r="C3" s="365">
        <v>27275.71</v>
      </c>
      <c r="D3" s="89"/>
      <c r="E3" s="108"/>
      <c r="F3" s="280"/>
      <c r="G3" s="277">
        <f t="shared" si="0"/>
        <v>27275.71</v>
      </c>
    </row>
    <row r="4" spans="1:11" ht="18.600000000000001" customHeight="1" x14ac:dyDescent="0.3">
      <c r="A4" s="289" t="s">
        <v>842</v>
      </c>
      <c r="B4" s="265" t="s">
        <v>843</v>
      </c>
      <c r="C4" s="365">
        <v>4685.07</v>
      </c>
      <c r="D4" s="89"/>
      <c r="E4" s="108"/>
      <c r="F4" s="280"/>
      <c r="G4" s="277">
        <f t="shared" si="0"/>
        <v>4685.07</v>
      </c>
      <c r="I4" s="249"/>
    </row>
    <row r="5" spans="1:11" ht="18.600000000000001" customHeight="1" x14ac:dyDescent="0.3">
      <c r="A5" s="289" t="s">
        <v>549</v>
      </c>
      <c r="B5" s="265" t="s">
        <v>844</v>
      </c>
      <c r="C5" s="365">
        <v>49386.91</v>
      </c>
      <c r="D5" s="89" t="s">
        <v>388</v>
      </c>
      <c r="E5" s="108">
        <v>44686</v>
      </c>
      <c r="F5" s="280"/>
      <c r="G5" s="277">
        <f t="shared" si="0"/>
        <v>49386.91</v>
      </c>
      <c r="I5" s="76"/>
    </row>
    <row r="6" spans="1:11" ht="18.600000000000001" customHeight="1" x14ac:dyDescent="0.3">
      <c r="A6" s="289" t="s">
        <v>829</v>
      </c>
      <c r="B6" s="265" t="s">
        <v>848</v>
      </c>
      <c r="C6" s="365">
        <v>22327.55</v>
      </c>
      <c r="D6" s="89" t="s">
        <v>850</v>
      </c>
      <c r="E6" s="108"/>
      <c r="F6" s="280"/>
      <c r="G6" s="277">
        <f t="shared" si="0"/>
        <v>22327.55</v>
      </c>
      <c r="I6" s="76"/>
    </row>
    <row r="7" spans="1:11" ht="18.600000000000001" customHeight="1" x14ac:dyDescent="0.3">
      <c r="A7" s="289" t="s">
        <v>829</v>
      </c>
      <c r="B7" s="265" t="s">
        <v>851</v>
      </c>
      <c r="C7" s="365">
        <v>30596.59</v>
      </c>
      <c r="D7" s="89" t="s">
        <v>849</v>
      </c>
      <c r="E7" s="108"/>
      <c r="F7" s="280"/>
      <c r="G7" s="277">
        <f t="shared" si="0"/>
        <v>30596.59</v>
      </c>
      <c r="I7" s="76"/>
    </row>
    <row r="8" spans="1:11" ht="18.600000000000001" customHeight="1" x14ac:dyDescent="0.3">
      <c r="A8" s="289" t="s">
        <v>852</v>
      </c>
      <c r="B8" s="265" t="s">
        <v>853</v>
      </c>
      <c r="C8" s="365">
        <v>10625.22</v>
      </c>
      <c r="D8" s="89"/>
      <c r="E8" s="108"/>
      <c r="F8" s="280"/>
      <c r="G8" s="277">
        <f t="shared" si="0"/>
        <v>10625.22</v>
      </c>
      <c r="I8" s="502"/>
      <c r="J8" s="502"/>
    </row>
    <row r="9" spans="1:11" ht="18.600000000000001" customHeight="1" x14ac:dyDescent="0.3">
      <c r="A9" s="289"/>
      <c r="B9" s="265"/>
      <c r="C9" s="365"/>
      <c r="D9" s="89"/>
      <c r="E9" s="108"/>
      <c r="F9" s="280"/>
      <c r="G9" s="277">
        <f t="shared" si="0"/>
        <v>0</v>
      </c>
      <c r="I9" s="76"/>
    </row>
    <row r="10" spans="1:11" ht="18.600000000000001" customHeight="1" x14ac:dyDescent="0.3">
      <c r="A10" s="289"/>
      <c r="B10" s="265"/>
      <c r="C10" s="365"/>
      <c r="D10" s="89"/>
      <c r="E10" s="108"/>
      <c r="F10" s="280"/>
      <c r="G10" s="277">
        <f t="shared" si="0"/>
        <v>0</v>
      </c>
      <c r="I10" s="502"/>
      <c r="J10" s="502"/>
    </row>
    <row r="11" spans="1:11" ht="18.600000000000001" customHeight="1" x14ac:dyDescent="0.25">
      <c r="A11" s="289"/>
      <c r="B11" s="265"/>
      <c r="C11" s="365"/>
      <c r="D11" s="89"/>
      <c r="E11" s="108"/>
      <c r="F11" s="280"/>
      <c r="G11" s="277">
        <f t="shared" si="0"/>
        <v>0</v>
      </c>
    </row>
    <row r="12" spans="1:11" ht="18.600000000000001" customHeight="1" x14ac:dyDescent="0.3">
      <c r="A12" s="289"/>
      <c r="B12" s="265"/>
      <c r="C12" s="365"/>
      <c r="D12" s="89"/>
      <c r="E12" s="108"/>
      <c r="F12" s="280"/>
      <c r="G12" s="277">
        <f t="shared" si="0"/>
        <v>0</v>
      </c>
      <c r="I12" s="76"/>
    </row>
    <row r="13" spans="1:11" ht="18.600000000000001" customHeight="1" x14ac:dyDescent="0.3">
      <c r="A13" s="289"/>
      <c r="B13" s="265"/>
      <c r="C13" s="365"/>
      <c r="D13" s="89"/>
      <c r="E13" s="108"/>
      <c r="F13" s="280"/>
      <c r="G13" s="277"/>
      <c r="I13" s="502"/>
      <c r="J13" s="502"/>
    </row>
    <row r="14" spans="1:11" ht="18.600000000000001" customHeight="1" x14ac:dyDescent="0.25">
      <c r="A14" s="289" t="s">
        <v>845</v>
      </c>
      <c r="B14" s="265" t="s">
        <v>846</v>
      </c>
      <c r="C14" s="365">
        <v>19148.63</v>
      </c>
      <c r="D14" s="89"/>
      <c r="E14" s="108">
        <v>44757</v>
      </c>
      <c r="F14" s="280"/>
      <c r="G14" s="277">
        <f t="shared" si="0"/>
        <v>19148.63</v>
      </c>
    </row>
    <row r="15" spans="1:11" ht="18.600000000000001" customHeight="1" x14ac:dyDescent="0.3">
      <c r="A15" s="289" t="s">
        <v>845</v>
      </c>
      <c r="B15" s="265" t="s">
        <v>847</v>
      </c>
      <c r="C15" s="365">
        <v>7345.36</v>
      </c>
      <c r="D15" s="89"/>
      <c r="E15" s="108">
        <v>44757</v>
      </c>
      <c r="F15" s="280"/>
      <c r="G15" s="277">
        <f t="shared" si="0"/>
        <v>7345.36</v>
      </c>
      <c r="I15" s="76"/>
    </row>
    <row r="16" spans="1:11" ht="18.600000000000001" customHeight="1" x14ac:dyDescent="0.3">
      <c r="A16" s="289"/>
      <c r="B16" s="265"/>
      <c r="C16" s="365"/>
      <c r="D16" s="89"/>
      <c r="E16" s="108"/>
      <c r="F16" s="280"/>
      <c r="G16" s="277">
        <f t="shared" si="0"/>
        <v>0</v>
      </c>
      <c r="I16" s="503"/>
      <c r="J16" s="503"/>
      <c r="K16" s="503"/>
    </row>
    <row r="17" spans="1:7" ht="18.600000000000001" customHeight="1" x14ac:dyDescent="0.25">
      <c r="A17" s="289" t="s">
        <v>840</v>
      </c>
      <c r="B17" s="265" t="s">
        <v>841</v>
      </c>
      <c r="C17" s="365">
        <v>19200</v>
      </c>
      <c r="D17" s="89"/>
      <c r="E17" s="108"/>
      <c r="F17" s="280"/>
      <c r="G17" s="277">
        <f t="shared" si="0"/>
        <v>19200</v>
      </c>
    </row>
    <row r="18" spans="1:7" ht="18.600000000000001" customHeight="1" x14ac:dyDescent="0.25">
      <c r="A18" s="289" t="s">
        <v>837</v>
      </c>
      <c r="B18" s="265" t="s">
        <v>838</v>
      </c>
      <c r="C18" s="365">
        <v>12440.99</v>
      </c>
      <c r="D18" s="89" t="s">
        <v>839</v>
      </c>
      <c r="E18" s="108">
        <v>44559</v>
      </c>
      <c r="F18" s="280"/>
      <c r="G18" s="277">
        <f t="shared" si="0"/>
        <v>12440.99</v>
      </c>
    </row>
    <row r="19" spans="1:7" ht="18.600000000000001" customHeight="1" x14ac:dyDescent="0.25">
      <c r="A19" s="289"/>
      <c r="B19" s="265"/>
      <c r="C19" s="365"/>
      <c r="D19" s="89"/>
      <c r="E19" s="108"/>
      <c r="F19" s="280"/>
      <c r="G19" s="277">
        <f t="shared" si="0"/>
        <v>0</v>
      </c>
    </row>
    <row r="20" spans="1:7" ht="18.600000000000001" customHeight="1" x14ac:dyDescent="0.25">
      <c r="A20" s="289" t="s">
        <v>830</v>
      </c>
      <c r="B20" s="265" t="s">
        <v>831</v>
      </c>
      <c r="C20" s="365">
        <v>500.01</v>
      </c>
      <c r="D20" s="89"/>
      <c r="E20" s="108">
        <v>44356</v>
      </c>
      <c r="F20" s="280"/>
      <c r="G20" s="277">
        <f t="shared" si="0"/>
        <v>500.01</v>
      </c>
    </row>
    <row r="21" spans="1:7" ht="18.600000000000001" customHeight="1" x14ac:dyDescent="0.25">
      <c r="A21" s="289" t="s">
        <v>830</v>
      </c>
      <c r="B21" s="265" t="s">
        <v>832</v>
      </c>
      <c r="C21" s="365">
        <v>984.96</v>
      </c>
      <c r="D21" s="89"/>
      <c r="E21" s="108">
        <v>44356</v>
      </c>
      <c r="F21" s="280"/>
      <c r="G21" s="277">
        <f t="shared" si="0"/>
        <v>984.96</v>
      </c>
    </row>
    <row r="22" spans="1:7" ht="18.600000000000001" customHeight="1" x14ac:dyDescent="0.25">
      <c r="A22" s="289" t="s">
        <v>830</v>
      </c>
      <c r="B22" s="265" t="s">
        <v>833</v>
      </c>
      <c r="C22" s="365">
        <v>5160.1000000000004</v>
      </c>
      <c r="D22" s="89"/>
      <c r="E22" s="108">
        <v>44356</v>
      </c>
      <c r="F22" s="280"/>
      <c r="G22" s="277">
        <f t="shared" si="0"/>
        <v>5160.1000000000004</v>
      </c>
    </row>
    <row r="23" spans="1:7" ht="18.600000000000001" customHeight="1" x14ac:dyDescent="0.25">
      <c r="A23" s="289" t="s">
        <v>830</v>
      </c>
      <c r="B23" s="265" t="s">
        <v>834</v>
      </c>
      <c r="C23" s="365">
        <v>250</v>
      </c>
      <c r="D23" s="89"/>
      <c r="E23" s="108">
        <v>44356</v>
      </c>
      <c r="F23" s="280"/>
      <c r="G23" s="277">
        <f t="shared" si="0"/>
        <v>250</v>
      </c>
    </row>
    <row r="24" spans="1:7" ht="18.600000000000001" customHeight="1" x14ac:dyDescent="0.25">
      <c r="A24" s="289" t="s">
        <v>830</v>
      </c>
      <c r="B24" s="265" t="s">
        <v>836</v>
      </c>
      <c r="C24" s="365">
        <v>1056</v>
      </c>
      <c r="D24" s="89"/>
      <c r="E24" s="108">
        <v>44356</v>
      </c>
      <c r="F24" s="280"/>
      <c r="G24" s="277">
        <f t="shared" si="0"/>
        <v>1056</v>
      </c>
    </row>
    <row r="25" spans="1:7" ht="18.600000000000001" customHeight="1" x14ac:dyDescent="0.25">
      <c r="A25" s="289" t="s">
        <v>830</v>
      </c>
      <c r="B25" s="265" t="s">
        <v>835</v>
      </c>
      <c r="C25" s="365">
        <v>450.24</v>
      </c>
      <c r="D25" s="89"/>
      <c r="E25" s="108">
        <v>44356</v>
      </c>
      <c r="F25" s="280"/>
      <c r="G25" s="277">
        <f t="shared" si="0"/>
        <v>450.24</v>
      </c>
    </row>
    <row r="26" spans="1:7" ht="18.600000000000001" customHeight="1" x14ac:dyDescent="0.25">
      <c r="A26" s="289"/>
      <c r="B26" s="265"/>
      <c r="C26" s="365"/>
      <c r="D26" s="89"/>
      <c r="E26" s="108"/>
      <c r="F26" s="280"/>
      <c r="G26" s="277">
        <f t="shared" si="0"/>
        <v>0</v>
      </c>
    </row>
    <row r="27" spans="1:7" ht="18.600000000000001" customHeight="1" thickBot="1" x14ac:dyDescent="0.3">
      <c r="A27" s="380"/>
      <c r="B27" s="381"/>
      <c r="C27" s="381"/>
      <c r="D27" s="376"/>
      <c r="E27" s="377"/>
      <c r="F27" s="378"/>
      <c r="G27" s="382"/>
    </row>
    <row r="28" spans="1:7" ht="18.600000000000001" customHeight="1" thickTop="1" thickBot="1" x14ac:dyDescent="0.3">
      <c r="A28" s="374" t="s">
        <v>140</v>
      </c>
      <c r="B28" s="380"/>
      <c r="C28" s="375">
        <f>+SUM(C2:C26)</f>
        <v>216591.88</v>
      </c>
      <c r="D28" s="376"/>
      <c r="E28" s="377"/>
      <c r="F28" s="378"/>
      <c r="G28" s="373">
        <f>+SUM(G2:G26)</f>
        <v>216591.88</v>
      </c>
    </row>
    <row r="29" spans="1:7" ht="21" customHeight="1" thickTop="1" x14ac:dyDescent="0.25">
      <c r="A29" s="305"/>
      <c r="B29" s="306"/>
      <c r="C29" s="307"/>
      <c r="D29" s="84"/>
    </row>
    <row r="30" spans="1:7" ht="21" customHeight="1" x14ac:dyDescent="0.25">
      <c r="A30" s="104"/>
      <c r="B30" s="104"/>
      <c r="C30" s="104"/>
      <c r="D30" s="104"/>
    </row>
    <row r="31" spans="1:7" ht="21" customHeight="1" x14ac:dyDescent="0.25">
      <c r="B31" s="104"/>
      <c r="C31" s="104"/>
      <c r="D31" s="104"/>
    </row>
    <row r="32" spans="1:7" ht="21" customHeight="1" x14ac:dyDescent="0.25">
      <c r="B32" s="104"/>
      <c r="C32" s="104"/>
      <c r="D32" s="104"/>
    </row>
  </sheetData>
  <mergeCells count="4">
    <mergeCell ref="I8:J8"/>
    <mergeCell ref="I10:J10"/>
    <mergeCell ref="I13:J13"/>
    <mergeCell ref="I16:K16"/>
  </mergeCells>
  <conditionalFormatting sqref="A2:G19 B20:G20 A20:A26 A21:G26">
    <cfRule type="expression" dxfId="1303" priority="186">
      <formula>MOD(ROW(),2)=1</formula>
    </cfRule>
  </conditionalFormatting>
  <conditionalFormatting sqref="E2:F2">
    <cfRule type="timePeriod" dxfId="1302" priority="181" timePeriod="yesterday">
      <formula>FLOOR(E2,1)=TODAY()-1</formula>
    </cfRule>
    <cfRule type="timePeriod" dxfId="1301" priority="183" timePeriod="today">
      <formula>FLOOR(E2,1)=TODAY()</formula>
    </cfRule>
    <cfRule type="cellIs" dxfId="1300" priority="184" operator="lessThan">
      <formula>_xludf.today()</formula>
    </cfRule>
  </conditionalFormatting>
  <conditionalFormatting sqref="E2:F2">
    <cfRule type="cellIs" dxfId="1299" priority="176" operator="lessThan">
      <formula>TODAY()</formula>
    </cfRule>
    <cfRule type="timePeriod" dxfId="1298" priority="177" timePeriod="last7Days">
      <formula>AND(TODAY()-FLOOR(E2,1)&lt;=6,FLOOR(E2,1)&lt;=TODAY())</formula>
    </cfRule>
    <cfRule type="timePeriod" dxfId="1297" priority="178" timePeriod="yesterday">
      <formula>FLOOR(E2,1)=TODAY()-1</formula>
    </cfRule>
    <cfRule type="timePeriod" dxfId="1296" priority="179" timePeriod="lastMonth">
      <formula>AND(MONTH(E2)=MONTH(EDATE(TODAY(),0-1)),YEAR(E2)=YEAR(EDATE(TODAY(),0-1)))</formula>
    </cfRule>
    <cfRule type="timePeriod" dxfId="1295" priority="180" timePeriod="yesterday">
      <formula>FLOOR(E2,1)=TODAY()-1</formula>
    </cfRule>
    <cfRule type="timePeriod" dxfId="1294" priority="182" timePeriod="today">
      <formula>FLOOR(E2,1)=TODAY()</formula>
    </cfRule>
  </conditionalFormatting>
  <conditionalFormatting sqref="A28:F28">
    <cfRule type="expression" dxfId="1293" priority="38">
      <formula>MOD(ROW(),2)=1</formula>
    </cfRule>
  </conditionalFormatting>
  <conditionalFormatting sqref="E28:F28">
    <cfRule type="cellIs" dxfId="1292" priority="32" operator="lessThan">
      <formula>TODAY()</formula>
    </cfRule>
    <cfRule type="timePeriod" dxfId="1291" priority="33" timePeriod="last7Days">
      <formula>AND(TODAY()-FLOOR(E28,1)&lt;=6,FLOOR(E28,1)&lt;=TODAY())</formula>
    </cfRule>
    <cfRule type="timePeriod" dxfId="1290" priority="34" timePeriod="yesterday">
      <formula>FLOOR(E28,1)=TODAY()-1</formula>
    </cfRule>
    <cfRule type="timePeriod" dxfId="1289" priority="35" timePeriod="lastMonth">
      <formula>AND(MONTH(E28)=MONTH(EDATE(TODAY(),0-1)),YEAR(E28)=YEAR(EDATE(TODAY(),0-1)))</formula>
    </cfRule>
    <cfRule type="timePeriod" dxfId="1288" priority="36" timePeriod="yesterday">
      <formula>FLOOR(E28,1)=TODAY()-1</formula>
    </cfRule>
    <cfRule type="timePeriod" dxfId="1287" priority="37" timePeriod="today">
      <formula>FLOOR(E28,1)=TODAY()</formula>
    </cfRule>
  </conditionalFormatting>
  <conditionalFormatting sqref="G28">
    <cfRule type="expression" dxfId="1286" priority="28">
      <formula>MOD(ROW(),2)=1</formula>
    </cfRule>
  </conditionalFormatting>
  <conditionalFormatting sqref="A27:G27">
    <cfRule type="expression" dxfId="1285" priority="27">
      <formula>MOD(ROW(),2)=1</formula>
    </cfRule>
  </conditionalFormatting>
  <conditionalFormatting sqref="E27:F27">
    <cfRule type="cellIs" dxfId="1284" priority="21" operator="lessThan">
      <formula>TODAY()</formula>
    </cfRule>
    <cfRule type="timePeriod" dxfId="1283" priority="22" timePeriod="last7Days">
      <formula>AND(TODAY()-FLOOR(E27,1)&lt;=6,FLOOR(E27,1)&lt;=TODAY())</formula>
    </cfRule>
    <cfRule type="timePeriod" dxfId="1282" priority="23" timePeriod="yesterday">
      <formula>FLOOR(E27,1)=TODAY()-1</formula>
    </cfRule>
    <cfRule type="timePeriod" dxfId="1281" priority="24" timePeriod="lastMonth">
      <formula>AND(MONTH(E27)=MONTH(EDATE(TODAY(),0-1)),YEAR(E27)=YEAR(EDATE(TODAY(),0-1)))</formula>
    </cfRule>
    <cfRule type="timePeriod" dxfId="1280" priority="25" timePeriod="yesterday">
      <formula>FLOOR(E27,1)=TODAY()-1</formula>
    </cfRule>
    <cfRule type="timePeriod" dxfId="1279" priority="26" timePeriod="today">
      <formula>FLOOR(E27,1)=TODAY()</formula>
    </cfRule>
  </conditionalFormatting>
  <conditionalFormatting sqref="E3:F26">
    <cfRule type="timePeriod" dxfId="1278" priority="6" timePeriod="yesterday">
      <formula>FLOOR(E3,1)=TODAY()-1</formula>
    </cfRule>
    <cfRule type="timePeriod" dxfId="1277" priority="8" timePeriod="today">
      <formula>FLOOR(E3,1)=TODAY()</formula>
    </cfRule>
    <cfRule type="cellIs" dxfId="1276" priority="9" operator="lessThan">
      <formula>_xludf.today()</formula>
    </cfRule>
  </conditionalFormatting>
  <conditionalFormatting sqref="E3:F26">
    <cfRule type="cellIs" dxfId="1275" priority="1" operator="lessThan">
      <formula>TODAY()</formula>
    </cfRule>
    <cfRule type="timePeriod" dxfId="1274" priority="2" timePeriod="last7Days">
      <formula>AND(TODAY()-FLOOR(E3,1)&lt;=6,FLOOR(E3,1)&lt;=TODAY())</formula>
    </cfRule>
    <cfRule type="timePeriod" dxfId="1273" priority="3" timePeriod="yesterday">
      <formula>FLOOR(E3,1)=TODAY()-1</formula>
    </cfRule>
    <cfRule type="timePeriod" dxfId="1272" priority="4" timePeriod="lastMonth">
      <formula>AND(MONTH(E3)=MONTH(EDATE(TODAY(),0-1)),YEAR(E3)=YEAR(EDATE(TODAY(),0-1)))</formula>
    </cfRule>
    <cfRule type="timePeriod" dxfId="1271" priority="5" timePeriod="yesterday">
      <formula>FLOOR(E3,1)=TODAY()-1</formula>
    </cfRule>
    <cfRule type="timePeriod" dxfId="1270" priority="7" timePeriod="today">
      <formula>FLOOR(E3,1)=TODAY()</formula>
    </cfRule>
  </conditionalFormatting>
  <printOptions horizontalCentered="1"/>
  <pageMargins left="0.25" right="0.25" top="0.75" bottom="0.75" header="0.3" footer="0.3"/>
  <pageSetup paperSize="9" scale="63" fitToHeight="0" orientation="landscape" r:id="rId1"/>
  <headerFooter>
    <oddHeader>&amp;C&amp;"+,Bold"&amp;12&amp;K04-047Bill Paying&amp;"+,Regular" - CHECKLIST</oddHeader>
    <oddFooter>&amp;C&amp;K04+000Page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A3DD-F8E5-432D-BABE-DF635D1211B7}">
  <sheetPr>
    <tabColor rgb="FF002060"/>
    <pageSetUpPr autoPageBreaks="0" fitToPage="1"/>
  </sheetPr>
  <dimension ref="A1:M101"/>
  <sheetViews>
    <sheetView showGridLines="0" zoomScale="85" zoomScaleNormal="85" zoomScaleSheetLayoutView="85" zoomScalePageLayoutView="55" workbookViewId="0">
      <pane ySplit="1" topLeftCell="A53" activePane="bottomLeft" state="frozen"/>
      <selection activeCell="C73" sqref="C73"/>
      <selection pane="bottomLeft" activeCell="G74" sqref="G74"/>
    </sheetView>
  </sheetViews>
  <sheetFormatPr baseColWidth="10" defaultColWidth="9.140625" defaultRowHeight="21" customHeight="1" x14ac:dyDescent="0.25"/>
  <cols>
    <col min="1" max="1" width="22.85546875" style="122" customWidth="1"/>
    <col min="2" max="2" width="27.140625" style="105" customWidth="1"/>
    <col min="3" max="3" width="24.5703125" style="272" customWidth="1"/>
    <col min="4" max="4" width="24" style="123" customWidth="1"/>
    <col min="5" max="5" width="45.7109375" style="83" customWidth="1"/>
    <col min="6" max="6" width="20.42578125" style="120" customWidth="1"/>
    <col min="7" max="7" width="20.42578125" style="287" customWidth="1"/>
    <col min="8" max="8" width="21" style="83" customWidth="1"/>
    <col min="9" max="9" width="19.85546875" style="121" customWidth="1"/>
    <col min="10" max="11" width="9.140625" style="58"/>
    <col min="12" max="12" width="11.42578125" style="58" bestFit="1" customWidth="1"/>
    <col min="13" max="16384" width="9.140625" style="58"/>
  </cols>
  <sheetData>
    <row r="1" spans="1:13" s="163" customFormat="1" ht="24" customHeight="1" x14ac:dyDescent="0.25">
      <c r="A1" s="99" t="s">
        <v>101</v>
      </c>
      <c r="B1" s="99" t="s">
        <v>143</v>
      </c>
      <c r="C1" s="264" t="s">
        <v>142</v>
      </c>
      <c r="D1" s="99" t="s">
        <v>148</v>
      </c>
      <c r="E1" s="99" t="s">
        <v>141</v>
      </c>
      <c r="F1" s="99" t="s">
        <v>103</v>
      </c>
      <c r="G1" s="279" t="s">
        <v>487</v>
      </c>
      <c r="H1" s="99" t="s">
        <v>494</v>
      </c>
      <c r="I1" s="107" t="s">
        <v>105</v>
      </c>
    </row>
    <row r="2" spans="1:13" ht="18.600000000000001" customHeight="1" x14ac:dyDescent="0.25">
      <c r="A2" s="523" t="s">
        <v>122</v>
      </c>
      <c r="B2" s="289"/>
      <c r="C2" s="265"/>
      <c r="D2" s="365"/>
      <c r="E2" s="89"/>
      <c r="F2" s="108"/>
      <c r="G2" s="280"/>
      <c r="H2" s="277">
        <f t="shared" ref="H2:H27" si="0">D2-G2</f>
        <v>0</v>
      </c>
      <c r="I2" s="109"/>
    </row>
    <row r="3" spans="1:13" ht="18.600000000000001" customHeight="1" x14ac:dyDescent="0.25">
      <c r="A3" s="523"/>
      <c r="B3" s="289"/>
      <c r="C3" s="265"/>
      <c r="D3" s="110"/>
      <c r="E3" s="89"/>
      <c r="F3" s="108"/>
      <c r="G3" s="280"/>
      <c r="H3" s="277">
        <f t="shared" si="0"/>
        <v>0</v>
      </c>
      <c r="I3" s="109"/>
    </row>
    <row r="4" spans="1:13" ht="18.600000000000001" customHeight="1" x14ac:dyDescent="0.3">
      <c r="A4" s="523"/>
      <c r="B4" s="289"/>
      <c r="C4" s="265"/>
      <c r="D4" s="110"/>
      <c r="E4" s="89"/>
      <c r="F4" s="108"/>
      <c r="G4" s="280"/>
      <c r="H4" s="277">
        <f t="shared" si="0"/>
        <v>0</v>
      </c>
      <c r="I4" s="109"/>
      <c r="K4" s="249"/>
    </row>
    <row r="5" spans="1:13" ht="18.600000000000001" customHeight="1" x14ac:dyDescent="0.3">
      <c r="A5" s="523"/>
      <c r="B5" s="289"/>
      <c r="C5" s="265"/>
      <c r="D5" s="110"/>
      <c r="E5" s="89"/>
      <c r="F5" s="108"/>
      <c r="G5" s="280"/>
      <c r="H5" s="277">
        <f t="shared" si="0"/>
        <v>0</v>
      </c>
      <c r="I5" s="109"/>
      <c r="K5" s="76"/>
    </row>
    <row r="6" spans="1:13" ht="18.600000000000001" customHeight="1" x14ac:dyDescent="0.25">
      <c r="A6" s="523"/>
      <c r="B6" s="289"/>
      <c r="C6" s="265"/>
      <c r="D6" s="110"/>
      <c r="E6" s="89"/>
      <c r="F6" s="108"/>
      <c r="G6" s="280"/>
      <c r="H6" s="277">
        <f t="shared" si="0"/>
        <v>0</v>
      </c>
      <c r="I6" s="109"/>
      <c r="K6" s="488"/>
    </row>
    <row r="7" spans="1:13" ht="18.600000000000001" customHeight="1" x14ac:dyDescent="0.3">
      <c r="A7" s="523"/>
      <c r="B7" s="289"/>
      <c r="C7" s="265"/>
      <c r="D7" s="110"/>
      <c r="E7" s="89"/>
      <c r="F7" s="108"/>
      <c r="G7" s="280"/>
      <c r="H7" s="277">
        <f t="shared" si="0"/>
        <v>0</v>
      </c>
      <c r="I7" s="109"/>
      <c r="K7" s="76"/>
    </row>
    <row r="8" spans="1:13" ht="18.600000000000001" customHeight="1" x14ac:dyDescent="0.3">
      <c r="A8" s="523"/>
      <c r="B8" s="322"/>
      <c r="C8" s="265"/>
      <c r="D8" s="110"/>
      <c r="E8" s="89"/>
      <c r="F8" s="108"/>
      <c r="G8" s="280"/>
      <c r="H8" s="277">
        <f t="shared" si="0"/>
        <v>0</v>
      </c>
      <c r="I8" s="109"/>
      <c r="K8" s="502"/>
      <c r="L8" s="502"/>
      <c r="M8" s="502"/>
    </row>
    <row r="9" spans="1:13" ht="18.600000000000001" customHeight="1" x14ac:dyDescent="0.3">
      <c r="A9" s="523"/>
      <c r="B9" s="289"/>
      <c r="C9" s="265"/>
      <c r="D9" s="110"/>
      <c r="E9" s="89"/>
      <c r="F9" s="108"/>
      <c r="G9" s="280"/>
      <c r="H9" s="277">
        <f t="shared" si="0"/>
        <v>0</v>
      </c>
      <c r="I9" s="109"/>
      <c r="K9" s="76"/>
    </row>
    <row r="10" spans="1:13" ht="18.600000000000001" customHeight="1" x14ac:dyDescent="0.3">
      <c r="A10" s="523"/>
      <c r="B10" s="289"/>
      <c r="C10" s="265"/>
      <c r="D10" s="110"/>
      <c r="E10" s="89"/>
      <c r="F10" s="108"/>
      <c r="G10" s="280"/>
      <c r="H10" s="277">
        <f t="shared" si="0"/>
        <v>0</v>
      </c>
      <c r="I10" s="288"/>
      <c r="K10" s="502"/>
      <c r="L10" s="502"/>
    </row>
    <row r="11" spans="1:13" ht="18.600000000000001" customHeight="1" x14ac:dyDescent="0.25">
      <c r="A11" s="523"/>
      <c r="B11" s="289"/>
      <c r="C11" s="265"/>
      <c r="D11" s="110"/>
      <c r="E11" s="89"/>
      <c r="F11" s="108"/>
      <c r="G11" s="280"/>
      <c r="H11" s="277">
        <f t="shared" si="0"/>
        <v>0</v>
      </c>
      <c r="I11" s="288"/>
    </row>
    <row r="12" spans="1:13" ht="18.600000000000001" customHeight="1" x14ac:dyDescent="0.25">
      <c r="A12" s="523"/>
      <c r="B12" s="289"/>
      <c r="C12" s="265"/>
      <c r="D12" s="365"/>
      <c r="E12" s="368"/>
      <c r="F12" s="108"/>
      <c r="G12" s="280"/>
      <c r="H12" s="277">
        <f t="shared" si="0"/>
        <v>0</v>
      </c>
      <c r="I12" s="288"/>
      <c r="K12" s="488"/>
    </row>
    <row r="13" spans="1:13" ht="18.600000000000001" customHeight="1" x14ac:dyDescent="0.3">
      <c r="A13" s="523"/>
      <c r="B13" s="289"/>
      <c r="C13" s="265"/>
      <c r="D13" s="110"/>
      <c r="E13" s="89"/>
      <c r="F13" s="108"/>
      <c r="G13" s="280"/>
      <c r="H13" s="277">
        <f t="shared" si="0"/>
        <v>0</v>
      </c>
      <c r="I13" s="288"/>
      <c r="K13" s="502"/>
      <c r="L13" s="502"/>
      <c r="M13" s="502"/>
    </row>
    <row r="14" spans="1:13" ht="18.600000000000001" customHeight="1" x14ac:dyDescent="0.25">
      <c r="A14" s="523"/>
      <c r="B14" s="289"/>
      <c r="C14" s="265"/>
      <c r="D14" s="110"/>
      <c r="E14" s="89"/>
      <c r="F14" s="108"/>
      <c r="G14" s="281"/>
      <c r="H14" s="277">
        <f t="shared" si="0"/>
        <v>0</v>
      </c>
      <c r="I14" s="288"/>
    </row>
    <row r="15" spans="1:13" ht="18.600000000000001" customHeight="1" x14ac:dyDescent="0.25">
      <c r="A15" s="523"/>
      <c r="B15" s="289"/>
      <c r="C15" s="265"/>
      <c r="D15" s="110"/>
      <c r="E15" s="89"/>
      <c r="F15" s="108"/>
      <c r="G15" s="281"/>
      <c r="H15" s="277">
        <f t="shared" si="0"/>
        <v>0</v>
      </c>
      <c r="I15" s="288"/>
      <c r="K15" s="488"/>
    </row>
    <row r="16" spans="1:13" ht="18.600000000000001" customHeight="1" x14ac:dyDescent="0.3">
      <c r="A16" s="523"/>
      <c r="B16" s="289"/>
      <c r="C16" s="265"/>
      <c r="D16" s="110"/>
      <c r="E16" s="89"/>
      <c r="F16" s="111"/>
      <c r="G16" s="281"/>
      <c r="H16" s="277">
        <f t="shared" si="0"/>
        <v>0</v>
      </c>
      <c r="I16" s="288"/>
      <c r="K16" s="503"/>
      <c r="L16" s="503"/>
      <c r="M16" s="503"/>
    </row>
    <row r="17" spans="1:9" ht="18.600000000000001" customHeight="1" x14ac:dyDescent="0.25">
      <c r="A17" s="523"/>
      <c r="B17" s="289"/>
      <c r="C17" s="265"/>
      <c r="D17" s="110"/>
      <c r="E17" s="89"/>
      <c r="F17" s="111"/>
      <c r="G17" s="281"/>
      <c r="H17" s="277">
        <f t="shared" si="0"/>
        <v>0</v>
      </c>
      <c r="I17" s="288"/>
    </row>
    <row r="18" spans="1:9" ht="18.600000000000001" customHeight="1" x14ac:dyDescent="0.25">
      <c r="A18" s="523"/>
      <c r="B18" s="289"/>
      <c r="C18" s="265"/>
      <c r="D18" s="110"/>
      <c r="E18" s="89"/>
      <c r="F18" s="108"/>
      <c r="G18" s="281"/>
      <c r="H18" s="277">
        <f t="shared" si="0"/>
        <v>0</v>
      </c>
      <c r="I18" s="288"/>
    </row>
    <row r="19" spans="1:9" ht="18.600000000000001" customHeight="1" x14ac:dyDescent="0.25">
      <c r="A19" s="523"/>
      <c r="B19" s="289"/>
      <c r="C19" s="265"/>
      <c r="D19" s="110"/>
      <c r="E19" s="89"/>
      <c r="F19" s="111"/>
      <c r="G19" s="281"/>
      <c r="H19" s="277">
        <f t="shared" si="0"/>
        <v>0</v>
      </c>
      <c r="I19" s="288"/>
    </row>
    <row r="20" spans="1:9" ht="18.600000000000001" customHeight="1" x14ac:dyDescent="0.25">
      <c r="A20" s="523"/>
      <c r="B20" s="289"/>
      <c r="C20" s="265"/>
      <c r="D20" s="110"/>
      <c r="E20" s="89"/>
      <c r="F20" s="111"/>
      <c r="G20" s="281"/>
      <c r="H20" s="277">
        <f t="shared" si="0"/>
        <v>0</v>
      </c>
      <c r="I20" s="288"/>
    </row>
    <row r="21" spans="1:9" ht="18.600000000000001" customHeight="1" x14ac:dyDescent="0.25">
      <c r="A21" s="523"/>
      <c r="B21" s="289"/>
      <c r="C21" s="265"/>
      <c r="D21" s="365"/>
      <c r="E21" s="89"/>
      <c r="F21" s="111"/>
      <c r="G21" s="281"/>
      <c r="H21" s="277">
        <f t="shared" si="0"/>
        <v>0</v>
      </c>
      <c r="I21" s="288"/>
    </row>
    <row r="22" spans="1:9" ht="18.600000000000001" customHeight="1" x14ac:dyDescent="0.25">
      <c r="A22" s="523"/>
      <c r="B22" s="289"/>
      <c r="C22" s="265"/>
      <c r="D22" s="365"/>
      <c r="E22" s="89"/>
      <c r="F22" s="111"/>
      <c r="G22" s="281"/>
      <c r="H22" s="277">
        <f t="shared" si="0"/>
        <v>0</v>
      </c>
      <c r="I22" s="288"/>
    </row>
    <row r="23" spans="1:9" ht="18.600000000000001" customHeight="1" x14ac:dyDescent="0.25">
      <c r="A23" s="523"/>
      <c r="B23" s="289"/>
      <c r="C23" s="265"/>
      <c r="D23" s="110"/>
      <c r="E23" s="89"/>
      <c r="F23" s="111"/>
      <c r="G23" s="281"/>
      <c r="H23" s="277">
        <f t="shared" si="0"/>
        <v>0</v>
      </c>
      <c r="I23" s="288"/>
    </row>
    <row r="24" spans="1:9" ht="18.600000000000001" customHeight="1" x14ac:dyDescent="0.25">
      <c r="A24" s="523"/>
      <c r="B24" s="289"/>
      <c r="C24" s="265"/>
      <c r="D24" s="365"/>
      <c r="E24" s="369"/>
      <c r="F24" s="111"/>
      <c r="G24" s="281"/>
      <c r="H24" s="277">
        <f t="shared" si="0"/>
        <v>0</v>
      </c>
      <c r="I24" s="288"/>
    </row>
    <row r="25" spans="1:9" ht="18.600000000000001" customHeight="1" x14ac:dyDescent="0.25">
      <c r="A25" s="523"/>
      <c r="B25" s="289"/>
      <c r="C25" s="265"/>
      <c r="D25" s="110"/>
      <c r="E25" s="89"/>
      <c r="F25" s="111"/>
      <c r="G25" s="281"/>
      <c r="H25" s="277">
        <f t="shared" si="0"/>
        <v>0</v>
      </c>
      <c r="I25" s="288"/>
    </row>
    <row r="26" spans="1:9" ht="18.600000000000001" customHeight="1" x14ac:dyDescent="0.25">
      <c r="A26" s="523"/>
      <c r="B26" s="289"/>
      <c r="C26" s="265"/>
      <c r="D26" s="110"/>
      <c r="E26" s="89"/>
      <c r="F26" s="111"/>
      <c r="G26" s="282"/>
      <c r="H26" s="277">
        <f t="shared" si="0"/>
        <v>0</v>
      </c>
      <c r="I26" s="288"/>
    </row>
    <row r="27" spans="1:9" ht="18.600000000000001" customHeight="1" x14ac:dyDescent="0.25">
      <c r="A27" s="523"/>
      <c r="B27" s="289"/>
      <c r="C27" s="265"/>
      <c r="D27" s="110"/>
      <c r="E27" s="89"/>
      <c r="F27" s="111"/>
      <c r="G27" s="282"/>
      <c r="H27" s="277">
        <f t="shared" si="0"/>
        <v>0</v>
      </c>
      <c r="I27" s="288"/>
    </row>
    <row r="28" spans="1:9" ht="18.600000000000001" customHeight="1" thickBot="1" x14ac:dyDescent="0.3">
      <c r="A28" s="113"/>
      <c r="B28" s="374" t="s">
        <v>140</v>
      </c>
      <c r="C28" s="380"/>
      <c r="D28" s="375">
        <f>+SUM(D2:D27)</f>
        <v>0</v>
      </c>
      <c r="E28" s="376"/>
      <c r="F28" s="377"/>
      <c r="G28" s="378"/>
      <c r="H28" s="373">
        <f>+SUM(H2:H27)</f>
        <v>0</v>
      </c>
      <c r="I28" s="379"/>
    </row>
    <row r="29" spans="1:9" ht="18.600000000000001" customHeight="1" thickTop="1" x14ac:dyDescent="0.25">
      <c r="A29" s="524" t="s">
        <v>123</v>
      </c>
      <c r="B29" s="289" t="s">
        <v>587</v>
      </c>
      <c r="C29" s="265" t="s">
        <v>567</v>
      </c>
      <c r="D29" s="114">
        <v>891.47</v>
      </c>
      <c r="E29" s="97"/>
      <c r="F29" s="115">
        <v>44743</v>
      </c>
      <c r="G29" s="283"/>
      <c r="H29" s="277">
        <f t="shared" ref="H29:H68" si="1">D29-G29</f>
        <v>891.47</v>
      </c>
      <c r="I29" s="288"/>
    </row>
    <row r="30" spans="1:9" ht="18.600000000000001" customHeight="1" x14ac:dyDescent="0.25">
      <c r="A30" s="525"/>
      <c r="B30" s="289" t="s">
        <v>277</v>
      </c>
      <c r="C30" s="265"/>
      <c r="D30" s="110">
        <v>19.38</v>
      </c>
      <c r="E30" s="89"/>
      <c r="F30" s="111">
        <v>44747</v>
      </c>
      <c r="G30" s="282"/>
      <c r="H30" s="277">
        <f t="shared" si="1"/>
        <v>19.38</v>
      </c>
      <c r="I30" s="288"/>
    </row>
    <row r="31" spans="1:9" ht="18.600000000000001" customHeight="1" x14ac:dyDescent="0.25">
      <c r="A31" s="525"/>
      <c r="B31" s="289" t="s">
        <v>307</v>
      </c>
      <c r="C31" s="265"/>
      <c r="D31" s="110">
        <v>3203.09</v>
      </c>
      <c r="E31" s="89" t="s">
        <v>395</v>
      </c>
      <c r="F31" s="111">
        <v>44747</v>
      </c>
      <c r="G31" s="282"/>
      <c r="H31" s="277">
        <f t="shared" si="1"/>
        <v>3203.09</v>
      </c>
      <c r="I31" s="288"/>
    </row>
    <row r="32" spans="1:9" ht="18.600000000000001" customHeight="1" x14ac:dyDescent="0.25">
      <c r="A32" s="525"/>
      <c r="B32" s="289" t="s">
        <v>196</v>
      </c>
      <c r="C32" s="265" t="s">
        <v>201</v>
      </c>
      <c r="D32" s="110">
        <v>127.11</v>
      </c>
      <c r="E32" s="89" t="s">
        <v>200</v>
      </c>
      <c r="F32" s="111">
        <v>44747</v>
      </c>
      <c r="G32" s="282"/>
      <c r="H32" s="277">
        <f t="shared" si="1"/>
        <v>127.11</v>
      </c>
      <c r="I32" s="288"/>
    </row>
    <row r="33" spans="1:9" ht="18.600000000000001" customHeight="1" x14ac:dyDescent="0.25">
      <c r="A33" s="525"/>
      <c r="B33" s="289" t="s">
        <v>196</v>
      </c>
      <c r="C33" s="265" t="s">
        <v>297</v>
      </c>
      <c r="D33" s="114">
        <v>100.82</v>
      </c>
      <c r="E33" s="97"/>
      <c r="F33" s="111">
        <v>44747</v>
      </c>
      <c r="G33" s="283"/>
      <c r="H33" s="277">
        <f t="shared" si="1"/>
        <v>100.82</v>
      </c>
      <c r="I33" s="288"/>
    </row>
    <row r="34" spans="1:9" ht="18.600000000000001" customHeight="1" x14ac:dyDescent="0.25">
      <c r="A34" s="525"/>
      <c r="B34" s="289" t="s">
        <v>196</v>
      </c>
      <c r="C34" s="265" t="s">
        <v>298</v>
      </c>
      <c r="D34" s="110">
        <v>104.12</v>
      </c>
      <c r="E34" s="89"/>
      <c r="F34" s="111">
        <v>44747</v>
      </c>
      <c r="G34" s="282"/>
      <c r="H34" s="277">
        <f t="shared" si="1"/>
        <v>104.12</v>
      </c>
      <c r="I34" s="288"/>
    </row>
    <row r="35" spans="1:9" ht="18.600000000000001" customHeight="1" x14ac:dyDescent="0.25">
      <c r="A35" s="525"/>
      <c r="B35" s="289" t="s">
        <v>196</v>
      </c>
      <c r="C35" s="265" t="s">
        <v>299</v>
      </c>
      <c r="D35" s="110">
        <v>71.319999999999993</v>
      </c>
      <c r="E35" s="89"/>
      <c r="F35" s="111">
        <v>44747</v>
      </c>
      <c r="G35" s="282"/>
      <c r="H35" s="277">
        <f t="shared" si="1"/>
        <v>71.319999999999993</v>
      </c>
      <c r="I35" s="288"/>
    </row>
    <row r="36" spans="1:9" ht="18.600000000000001" customHeight="1" x14ac:dyDescent="0.25">
      <c r="A36" s="525"/>
      <c r="B36" s="289" t="s">
        <v>196</v>
      </c>
      <c r="C36" s="265" t="s">
        <v>300</v>
      </c>
      <c r="D36" s="110">
        <v>89.4</v>
      </c>
      <c r="E36" s="89"/>
      <c r="F36" s="111">
        <v>44747</v>
      </c>
      <c r="G36" s="282"/>
      <c r="H36" s="277">
        <f t="shared" si="1"/>
        <v>89.4</v>
      </c>
      <c r="I36" s="288"/>
    </row>
    <row r="37" spans="1:9" ht="18.600000000000001" customHeight="1" x14ac:dyDescent="0.25">
      <c r="A37" s="525"/>
      <c r="B37" s="289" t="s">
        <v>196</v>
      </c>
      <c r="C37" s="265" t="s">
        <v>199</v>
      </c>
      <c r="D37" s="114">
        <v>99.97</v>
      </c>
      <c r="E37" s="97" t="s">
        <v>200</v>
      </c>
      <c r="F37" s="111">
        <v>44747</v>
      </c>
      <c r="G37" s="283"/>
      <c r="H37" s="277">
        <f t="shared" si="1"/>
        <v>99.97</v>
      </c>
      <c r="I37" s="288"/>
    </row>
    <row r="38" spans="1:9" ht="18.600000000000001" customHeight="1" x14ac:dyDescent="0.25">
      <c r="A38" s="525"/>
      <c r="B38" s="289" t="s">
        <v>533</v>
      </c>
      <c r="C38" s="265"/>
      <c r="D38" s="110">
        <v>53.88</v>
      </c>
      <c r="E38" s="89"/>
      <c r="F38" s="111">
        <v>44747</v>
      </c>
      <c r="G38" s="282"/>
      <c r="H38" s="277">
        <f t="shared" si="1"/>
        <v>53.88</v>
      </c>
      <c r="I38" s="288"/>
    </row>
    <row r="39" spans="1:9" ht="18.600000000000001" customHeight="1" x14ac:dyDescent="0.25">
      <c r="A39" s="525"/>
      <c r="B39" s="289" t="s">
        <v>282</v>
      </c>
      <c r="C39" s="265"/>
      <c r="D39" s="110">
        <v>50</v>
      </c>
      <c r="E39" s="89" t="s">
        <v>287</v>
      </c>
      <c r="F39" s="111">
        <v>44748</v>
      </c>
      <c r="G39" s="282"/>
      <c r="H39" s="277">
        <f t="shared" si="1"/>
        <v>50</v>
      </c>
      <c r="I39" s="288"/>
    </row>
    <row r="40" spans="1:9" ht="18.600000000000001" customHeight="1" x14ac:dyDescent="0.25">
      <c r="A40" s="525"/>
      <c r="B40" s="289" t="s">
        <v>282</v>
      </c>
      <c r="C40" s="265"/>
      <c r="D40" s="110">
        <v>38</v>
      </c>
      <c r="E40" s="89"/>
      <c r="F40" s="111">
        <v>44748</v>
      </c>
      <c r="G40" s="282"/>
      <c r="H40" s="277">
        <f t="shared" si="1"/>
        <v>38</v>
      </c>
      <c r="I40" s="288"/>
    </row>
    <row r="41" spans="1:9" ht="18.600000000000001" customHeight="1" x14ac:dyDescent="0.25">
      <c r="A41" s="525"/>
      <c r="B41" s="289" t="s">
        <v>140</v>
      </c>
      <c r="C41" s="265" t="s">
        <v>607</v>
      </c>
      <c r="D41" s="110">
        <v>2500</v>
      </c>
      <c r="E41" s="89"/>
      <c r="F41" s="111">
        <v>44752</v>
      </c>
      <c r="G41" s="282"/>
      <c r="H41" s="277">
        <f t="shared" si="1"/>
        <v>2500</v>
      </c>
      <c r="I41" s="288"/>
    </row>
    <row r="42" spans="1:9" ht="18.600000000000001" customHeight="1" x14ac:dyDescent="0.25">
      <c r="A42" s="525"/>
      <c r="B42" s="289" t="s">
        <v>288</v>
      </c>
      <c r="C42" s="265" t="s">
        <v>532</v>
      </c>
      <c r="D42" s="110">
        <f>15.95*2</f>
        <v>31.9</v>
      </c>
      <c r="E42" s="89" t="s">
        <v>677</v>
      </c>
      <c r="F42" s="111">
        <v>44752</v>
      </c>
      <c r="G42" s="282"/>
      <c r="H42" s="277">
        <f t="shared" si="1"/>
        <v>31.9</v>
      </c>
      <c r="I42" s="288">
        <v>44671</v>
      </c>
    </row>
    <row r="43" spans="1:9" ht="18.600000000000001" customHeight="1" x14ac:dyDescent="0.25">
      <c r="A43" s="525"/>
      <c r="B43" s="289" t="s">
        <v>530</v>
      </c>
      <c r="C43" s="265"/>
      <c r="D43" s="114">
        <v>16.989999999999998</v>
      </c>
      <c r="E43" s="97" t="s">
        <v>531</v>
      </c>
      <c r="F43" s="111">
        <v>44752</v>
      </c>
      <c r="G43" s="283"/>
      <c r="H43" s="277">
        <f t="shared" si="1"/>
        <v>16.989999999999998</v>
      </c>
      <c r="I43" s="288"/>
    </row>
    <row r="44" spans="1:9" ht="18.600000000000001" customHeight="1" x14ac:dyDescent="0.25">
      <c r="A44" s="525"/>
      <c r="B44" s="289" t="s">
        <v>318</v>
      </c>
      <c r="C44" s="265" t="s">
        <v>464</v>
      </c>
      <c r="D44" s="110">
        <v>277.95999999999998</v>
      </c>
      <c r="E44" s="89" t="s">
        <v>465</v>
      </c>
      <c r="F44" s="111">
        <v>44752</v>
      </c>
      <c r="G44" s="282"/>
      <c r="H44" s="277">
        <f t="shared" si="1"/>
        <v>277.95999999999998</v>
      </c>
      <c r="I44" s="288"/>
    </row>
    <row r="45" spans="1:9" ht="18.600000000000001" customHeight="1" x14ac:dyDescent="0.25">
      <c r="A45" s="525"/>
      <c r="B45" s="322" t="s">
        <v>291</v>
      </c>
      <c r="C45" s="323"/>
      <c r="D45" s="324">
        <v>11213</v>
      </c>
      <c r="E45" s="325" t="s">
        <v>312</v>
      </c>
      <c r="F45" s="326">
        <v>44757</v>
      </c>
      <c r="G45" s="336"/>
      <c r="H45" s="327">
        <f t="shared" si="1"/>
        <v>11213</v>
      </c>
      <c r="I45" s="328"/>
    </row>
    <row r="46" spans="1:9" ht="18.600000000000001" customHeight="1" x14ac:dyDescent="0.25">
      <c r="A46" s="525"/>
      <c r="B46" s="289" t="s">
        <v>196</v>
      </c>
      <c r="C46" s="265" t="s">
        <v>197</v>
      </c>
      <c r="D46" s="114">
        <v>15.24</v>
      </c>
      <c r="E46" s="97" t="s">
        <v>198</v>
      </c>
      <c r="F46" s="115">
        <v>44761</v>
      </c>
      <c r="G46" s="283"/>
      <c r="H46" s="277">
        <f t="shared" si="1"/>
        <v>15.24</v>
      </c>
      <c r="I46" s="288"/>
    </row>
    <row r="47" spans="1:9" ht="18.600000000000001" customHeight="1" x14ac:dyDescent="0.25">
      <c r="A47" s="525"/>
      <c r="B47" s="289" t="s">
        <v>196</v>
      </c>
      <c r="C47" s="265" t="s">
        <v>313</v>
      </c>
      <c r="D47" s="110">
        <v>93.87</v>
      </c>
      <c r="E47" s="89"/>
      <c r="F47" s="111">
        <v>44761</v>
      </c>
      <c r="G47" s="282"/>
      <c r="H47" s="277">
        <f t="shared" si="1"/>
        <v>93.87</v>
      </c>
      <c r="I47" s="288"/>
    </row>
    <row r="48" spans="1:9" ht="18.600000000000001" customHeight="1" x14ac:dyDescent="0.25">
      <c r="A48" s="525"/>
      <c r="B48" s="322" t="s">
        <v>292</v>
      </c>
      <c r="C48" s="265" t="s">
        <v>293</v>
      </c>
      <c r="D48" s="337">
        <v>6024</v>
      </c>
      <c r="E48" s="338" t="s">
        <v>588</v>
      </c>
      <c r="F48" s="339">
        <v>44763</v>
      </c>
      <c r="G48" s="340"/>
      <c r="H48" s="327">
        <f t="shared" si="1"/>
        <v>6024</v>
      </c>
      <c r="I48" s="328"/>
    </row>
    <row r="49" spans="1:9" ht="18.600000000000001" customHeight="1" x14ac:dyDescent="0.25">
      <c r="A49" s="525"/>
      <c r="B49" s="322" t="s">
        <v>295</v>
      </c>
      <c r="C49" s="323"/>
      <c r="D49" s="324">
        <v>1799.9</v>
      </c>
      <c r="E49" s="325"/>
      <c r="F49" s="339">
        <v>44763</v>
      </c>
      <c r="G49" s="336"/>
      <c r="H49" s="327">
        <f t="shared" si="1"/>
        <v>1799.9</v>
      </c>
      <c r="I49" s="328">
        <v>44671</v>
      </c>
    </row>
    <row r="50" spans="1:9" ht="18.600000000000001" customHeight="1" x14ac:dyDescent="0.25">
      <c r="A50" s="525"/>
      <c r="B50" s="289" t="s">
        <v>282</v>
      </c>
      <c r="C50" s="265"/>
      <c r="D50" s="110">
        <v>31</v>
      </c>
      <c r="E50" s="89"/>
      <c r="F50" s="339">
        <v>44763</v>
      </c>
      <c r="G50" s="282"/>
      <c r="H50" s="277">
        <f t="shared" si="1"/>
        <v>31</v>
      </c>
      <c r="I50" s="288"/>
    </row>
    <row r="51" spans="1:9" ht="18.600000000000001" customHeight="1" x14ac:dyDescent="0.25">
      <c r="A51" s="525"/>
      <c r="B51" s="289" t="s">
        <v>282</v>
      </c>
      <c r="C51" s="265"/>
      <c r="D51" s="110">
        <v>31</v>
      </c>
      <c r="E51" s="89"/>
      <c r="F51" s="339">
        <v>44763</v>
      </c>
      <c r="G51" s="282"/>
      <c r="H51" s="277">
        <f t="shared" si="1"/>
        <v>31</v>
      </c>
      <c r="I51" s="288"/>
    </row>
    <row r="52" spans="1:9" ht="18.600000000000001" customHeight="1" x14ac:dyDescent="0.25">
      <c r="A52" s="525"/>
      <c r="B52" s="289" t="s">
        <v>282</v>
      </c>
      <c r="C52" s="265" t="s">
        <v>328</v>
      </c>
      <c r="D52" s="114">
        <v>31</v>
      </c>
      <c r="E52" s="97" t="s">
        <v>327</v>
      </c>
      <c r="F52" s="339">
        <v>44763</v>
      </c>
      <c r="G52" s="283"/>
      <c r="H52" s="277">
        <f t="shared" si="1"/>
        <v>31</v>
      </c>
      <c r="I52" s="288"/>
    </row>
    <row r="53" spans="1:9" ht="18.600000000000001" customHeight="1" x14ac:dyDescent="0.25">
      <c r="A53" s="525"/>
      <c r="B53" s="289" t="s">
        <v>140</v>
      </c>
      <c r="C53" s="265" t="s">
        <v>566</v>
      </c>
      <c r="D53" s="110">
        <v>2219.29</v>
      </c>
      <c r="E53" s="89"/>
      <c r="F53" s="111">
        <v>44769</v>
      </c>
      <c r="G53" s="282"/>
      <c r="H53" s="277">
        <f t="shared" si="1"/>
        <v>2219.29</v>
      </c>
      <c r="I53" s="288"/>
    </row>
    <row r="54" spans="1:9" ht="18.600000000000001" customHeight="1" x14ac:dyDescent="0.25">
      <c r="A54" s="525"/>
      <c r="B54" s="322" t="s">
        <v>294</v>
      </c>
      <c r="C54" s="265"/>
      <c r="D54" s="324">
        <v>2159.14</v>
      </c>
      <c r="E54" s="325" t="s">
        <v>697</v>
      </c>
      <c r="F54" s="111">
        <v>44769</v>
      </c>
      <c r="G54" s="336"/>
      <c r="H54" s="327">
        <f t="shared" si="1"/>
        <v>2159.14</v>
      </c>
      <c r="I54" s="328"/>
    </row>
    <row r="55" spans="1:9" ht="18.600000000000001" customHeight="1" x14ac:dyDescent="0.25">
      <c r="A55" s="525"/>
      <c r="B55" s="289" t="s">
        <v>430</v>
      </c>
      <c r="C55" s="265" t="s">
        <v>431</v>
      </c>
      <c r="D55" s="114">
        <v>1188</v>
      </c>
      <c r="E55" s="97" t="s">
        <v>432</v>
      </c>
      <c r="F55" s="111">
        <v>44769</v>
      </c>
      <c r="G55" s="283"/>
      <c r="H55" s="277">
        <f t="shared" si="1"/>
        <v>1188</v>
      </c>
      <c r="I55" s="288">
        <v>44677</v>
      </c>
    </row>
    <row r="56" spans="1:9" ht="18.600000000000001" customHeight="1" x14ac:dyDescent="0.25">
      <c r="A56" s="525"/>
      <c r="B56" s="289" t="s">
        <v>140</v>
      </c>
      <c r="C56" s="265" t="s">
        <v>684</v>
      </c>
      <c r="D56" s="110">
        <v>2219.29</v>
      </c>
      <c r="E56" s="89" t="s">
        <v>696</v>
      </c>
      <c r="F56" s="111">
        <v>44769</v>
      </c>
      <c r="G56" s="282"/>
      <c r="H56" s="277">
        <f t="shared" si="1"/>
        <v>2219.29</v>
      </c>
      <c r="I56" s="288" t="s">
        <v>695</v>
      </c>
    </row>
    <row r="57" spans="1:9" ht="18.600000000000001" customHeight="1" x14ac:dyDescent="0.25">
      <c r="A57" s="525"/>
      <c r="B57" s="289" t="s">
        <v>693</v>
      </c>
      <c r="C57" s="265" t="s">
        <v>694</v>
      </c>
      <c r="D57" s="110">
        <v>34.43</v>
      </c>
      <c r="E57" s="89" t="s">
        <v>698</v>
      </c>
      <c r="F57" s="111">
        <v>44769</v>
      </c>
      <c r="G57" s="282"/>
      <c r="H57" s="277">
        <f t="shared" si="1"/>
        <v>34.43</v>
      </c>
      <c r="I57" s="328">
        <v>44676</v>
      </c>
    </row>
    <row r="58" spans="1:9" ht="18.600000000000001" customHeight="1" x14ac:dyDescent="0.25">
      <c r="A58" s="525"/>
      <c r="B58" s="289" t="s">
        <v>285</v>
      </c>
      <c r="C58" s="265" t="s">
        <v>286</v>
      </c>
      <c r="D58" s="110">
        <v>5283.09</v>
      </c>
      <c r="E58" s="89"/>
      <c r="F58" s="111">
        <v>44769</v>
      </c>
      <c r="G58" s="282"/>
      <c r="H58" s="277">
        <f t="shared" si="1"/>
        <v>5283.09</v>
      </c>
      <c r="I58" s="288"/>
    </row>
    <row r="59" spans="1:9" ht="18.600000000000001" customHeight="1" x14ac:dyDescent="0.25">
      <c r="A59" s="525"/>
      <c r="B59" s="289"/>
      <c r="C59" s="265"/>
      <c r="D59" s="114"/>
      <c r="E59" s="97"/>
      <c r="F59" s="111"/>
      <c r="G59" s="283"/>
      <c r="H59" s="277"/>
      <c r="I59" s="288"/>
    </row>
    <row r="60" spans="1:9" ht="18.600000000000001" customHeight="1" x14ac:dyDescent="0.25">
      <c r="A60" s="525"/>
      <c r="B60" s="291"/>
      <c r="C60" s="265"/>
      <c r="D60" s="371"/>
      <c r="E60" s="97"/>
      <c r="F60" s="115"/>
      <c r="G60" s="283"/>
      <c r="H60" s="277"/>
      <c r="I60" s="288"/>
    </row>
    <row r="61" spans="1:9" ht="18.600000000000001" customHeight="1" x14ac:dyDescent="0.25">
      <c r="A61" s="525"/>
      <c r="B61" s="289"/>
      <c r="C61" s="265"/>
      <c r="D61" s="114"/>
      <c r="E61" s="97"/>
      <c r="F61" s="115"/>
      <c r="G61" s="283"/>
      <c r="H61" s="277"/>
      <c r="I61" s="288"/>
    </row>
    <row r="62" spans="1:9" ht="18.600000000000001" customHeight="1" x14ac:dyDescent="0.25">
      <c r="A62" s="525"/>
      <c r="B62" s="289" t="s">
        <v>92</v>
      </c>
      <c r="C62" s="265" t="s">
        <v>888</v>
      </c>
      <c r="D62" s="110">
        <v>99.6</v>
      </c>
      <c r="E62" s="97"/>
      <c r="F62" s="115">
        <v>44793</v>
      </c>
      <c r="G62" s="283"/>
      <c r="H62" s="277" t="e">
        <f>#REF!-G62</f>
        <v>#REF!</v>
      </c>
      <c r="I62" s="313"/>
    </row>
    <row r="63" spans="1:9" ht="18.600000000000001" customHeight="1" x14ac:dyDescent="0.25">
      <c r="A63" s="525"/>
      <c r="B63" s="291"/>
      <c r="C63" s="265"/>
      <c r="D63" s="371"/>
      <c r="E63" s="97"/>
      <c r="F63" s="115"/>
      <c r="G63" s="283"/>
      <c r="H63" s="277">
        <f t="shared" si="1"/>
        <v>0</v>
      </c>
      <c r="I63" s="372"/>
    </row>
    <row r="64" spans="1:9" ht="18.600000000000001" customHeight="1" x14ac:dyDescent="0.25">
      <c r="A64" s="525"/>
      <c r="B64" s="384"/>
      <c r="C64" s="265"/>
      <c r="D64" s="371"/>
      <c r="E64" s="97"/>
      <c r="F64" s="115"/>
      <c r="G64" s="283"/>
      <c r="H64" s="277">
        <f t="shared" si="1"/>
        <v>0</v>
      </c>
      <c r="I64" s="372"/>
    </row>
    <row r="65" spans="1:9" ht="18.600000000000001" customHeight="1" x14ac:dyDescent="0.25">
      <c r="A65" s="525"/>
      <c r="B65" s="291"/>
      <c r="C65" s="265"/>
      <c r="D65" s="371"/>
      <c r="E65" s="97"/>
      <c r="F65" s="115"/>
      <c r="G65" s="283"/>
      <c r="H65" s="277">
        <f t="shared" si="1"/>
        <v>0</v>
      </c>
      <c r="I65" s="372"/>
    </row>
    <row r="66" spans="1:9" ht="18.600000000000001" customHeight="1" x14ac:dyDescent="0.25">
      <c r="A66" s="525"/>
      <c r="B66" s="291" t="s">
        <v>854</v>
      </c>
      <c r="C66" s="265"/>
      <c r="D66" s="371">
        <v>40000</v>
      </c>
      <c r="E66" s="97"/>
      <c r="F66" s="115"/>
      <c r="G66" s="283"/>
      <c r="H66" s="277">
        <f t="shared" si="1"/>
        <v>40000</v>
      </c>
      <c r="I66" s="288"/>
    </row>
    <row r="67" spans="1:9" ht="18.600000000000001" customHeight="1" x14ac:dyDescent="0.25">
      <c r="A67" s="525"/>
      <c r="B67" s="289"/>
      <c r="C67" s="265"/>
      <c r="D67" s="110"/>
      <c r="E67" s="89"/>
      <c r="F67" s="111"/>
      <c r="G67" s="281"/>
      <c r="H67" s="277">
        <f t="shared" si="1"/>
        <v>0</v>
      </c>
      <c r="I67" s="288"/>
    </row>
    <row r="68" spans="1:9" ht="18.600000000000001" customHeight="1" thickBot="1" x14ac:dyDescent="0.3">
      <c r="A68" s="525"/>
      <c r="B68" s="380"/>
      <c r="C68" s="381"/>
      <c r="D68" s="381"/>
      <c r="E68" s="376"/>
      <c r="F68" s="377"/>
      <c r="G68" s="378"/>
      <c r="H68" s="277">
        <f t="shared" si="1"/>
        <v>0</v>
      </c>
      <c r="I68" s="383"/>
    </row>
    <row r="69" spans="1:9" ht="18.600000000000001" customHeight="1" thickTop="1" thickBot="1" x14ac:dyDescent="0.3">
      <c r="A69" s="525"/>
      <c r="B69" s="374" t="s">
        <v>140</v>
      </c>
      <c r="C69" s="380"/>
      <c r="D69" s="375">
        <f>SUM(D29:D66)</f>
        <v>80117.260000000009</v>
      </c>
      <c r="E69" s="376"/>
      <c r="F69" s="377"/>
      <c r="G69" s="378"/>
      <c r="H69" s="373">
        <f>+SUM(H29:H61)</f>
        <v>40017.660000000003</v>
      </c>
      <c r="I69" s="379"/>
    </row>
    <row r="70" spans="1:9" ht="18.600000000000001" customHeight="1" thickTop="1" x14ac:dyDescent="0.25">
      <c r="A70" s="522"/>
      <c r="B70" s="103" t="s">
        <v>536</v>
      </c>
      <c r="C70" s="265"/>
      <c r="D70" s="110">
        <v>1100</v>
      </c>
      <c r="E70" s="89" t="s">
        <v>537</v>
      </c>
      <c r="F70" s="111">
        <v>44748</v>
      </c>
      <c r="G70" s="281"/>
      <c r="H70" s="277">
        <f t="shared" ref="H70:H95" si="2">D70-G70</f>
        <v>1100</v>
      </c>
      <c r="I70" s="109"/>
    </row>
    <row r="71" spans="1:9" ht="18.600000000000001" customHeight="1" x14ac:dyDescent="0.25">
      <c r="A71" s="522"/>
      <c r="B71" s="329" t="s">
        <v>545</v>
      </c>
      <c r="C71" s="330"/>
      <c r="D71" s="331">
        <v>500</v>
      </c>
      <c r="E71" s="332" t="s">
        <v>394</v>
      </c>
      <c r="F71" s="111">
        <v>44748</v>
      </c>
      <c r="G71" s="333"/>
      <c r="H71" s="277">
        <f t="shared" si="2"/>
        <v>500</v>
      </c>
      <c r="I71" s="335"/>
    </row>
    <row r="72" spans="1:9" ht="18.600000000000001" customHeight="1" x14ac:dyDescent="0.25">
      <c r="A72" s="522"/>
      <c r="B72" s="341" t="s">
        <v>592</v>
      </c>
      <c r="C72" s="342"/>
      <c r="D72" s="331">
        <v>2100</v>
      </c>
      <c r="E72" s="332" t="s">
        <v>594</v>
      </c>
      <c r="F72" s="111">
        <v>44748</v>
      </c>
      <c r="G72" s="343"/>
      <c r="H72" s="277">
        <f t="shared" si="2"/>
        <v>2100</v>
      </c>
      <c r="I72" s="344"/>
    </row>
    <row r="73" spans="1:9" ht="18.600000000000001" customHeight="1" x14ac:dyDescent="0.25">
      <c r="A73" s="522"/>
      <c r="B73" s="341" t="s">
        <v>509</v>
      </c>
      <c r="C73" s="342"/>
      <c r="D73" s="331">
        <v>600</v>
      </c>
      <c r="E73" s="332" t="s">
        <v>508</v>
      </c>
      <c r="F73" s="111">
        <v>44748</v>
      </c>
      <c r="G73" s="343"/>
      <c r="H73" s="277">
        <f>D73-G73</f>
        <v>600</v>
      </c>
      <c r="I73" s="344"/>
    </row>
    <row r="74" spans="1:9" ht="18.600000000000001" customHeight="1" x14ac:dyDescent="0.25">
      <c r="A74" s="522"/>
      <c r="B74" s="103" t="s">
        <v>446</v>
      </c>
      <c r="C74" s="269"/>
      <c r="D74" s="110">
        <v>61155.18</v>
      </c>
      <c r="E74" s="89"/>
      <c r="F74" s="111">
        <v>44804</v>
      </c>
      <c r="G74" s="283"/>
      <c r="H74" s="277">
        <f t="shared" ref="H74:H79" si="3">D74-G74</f>
        <v>61155.18</v>
      </c>
      <c r="I74" s="112"/>
    </row>
    <row r="75" spans="1:9" ht="18.600000000000001" customHeight="1" x14ac:dyDescent="0.25">
      <c r="A75" s="522"/>
      <c r="B75" s="103"/>
      <c r="C75" s="269"/>
      <c r="D75" s="110"/>
      <c r="E75" s="89"/>
      <c r="F75" s="111"/>
      <c r="G75" s="283"/>
      <c r="H75" s="277">
        <f t="shared" si="3"/>
        <v>0</v>
      </c>
      <c r="I75" s="313"/>
    </row>
    <row r="76" spans="1:9" ht="18.600000000000001" customHeight="1" x14ac:dyDescent="0.25">
      <c r="A76" s="522"/>
      <c r="B76" s="103"/>
      <c r="C76" s="265"/>
      <c r="D76" s="118"/>
      <c r="E76" s="89"/>
      <c r="F76" s="111"/>
      <c r="G76" s="280"/>
      <c r="H76" s="277">
        <f t="shared" si="3"/>
        <v>0</v>
      </c>
      <c r="I76" s="112"/>
    </row>
    <row r="77" spans="1:9" ht="18.600000000000001" customHeight="1" x14ac:dyDescent="0.25">
      <c r="A77" s="522"/>
      <c r="B77" s="289"/>
      <c r="C77" s="265"/>
      <c r="D77" s="110"/>
      <c r="E77" s="89"/>
      <c r="F77" s="111"/>
      <c r="G77" s="281"/>
      <c r="H77" s="277">
        <f t="shared" si="3"/>
        <v>0</v>
      </c>
      <c r="I77" s="288"/>
    </row>
    <row r="78" spans="1:9" ht="18.600000000000001" customHeight="1" x14ac:dyDescent="0.25">
      <c r="A78" s="522"/>
      <c r="B78" s="102"/>
      <c r="C78" s="265"/>
      <c r="D78" s="110"/>
      <c r="E78" s="89"/>
      <c r="F78" s="111"/>
      <c r="G78" s="281"/>
      <c r="H78" s="277">
        <f t="shared" si="3"/>
        <v>0</v>
      </c>
      <c r="I78" s="109"/>
    </row>
    <row r="79" spans="1:9" ht="18.600000000000001" customHeight="1" x14ac:dyDescent="0.25">
      <c r="A79" s="522"/>
      <c r="B79" s="102"/>
      <c r="C79" s="265"/>
      <c r="D79" s="110"/>
      <c r="E79" s="385"/>
      <c r="F79" s="111"/>
      <c r="G79" s="281"/>
      <c r="H79" s="277">
        <f t="shared" si="3"/>
        <v>0</v>
      </c>
      <c r="I79" s="288"/>
    </row>
    <row r="80" spans="1:9" ht="18.600000000000001" customHeight="1" x14ac:dyDescent="0.25">
      <c r="A80" s="522"/>
      <c r="B80" s="102"/>
      <c r="C80" s="265"/>
      <c r="D80" s="110"/>
      <c r="E80" s="89"/>
      <c r="F80" s="111"/>
      <c r="G80" s="281"/>
      <c r="H80" s="277">
        <f t="shared" si="2"/>
        <v>0</v>
      </c>
      <c r="I80" s="109"/>
    </row>
    <row r="81" spans="1:9" ht="18.600000000000001" customHeight="1" x14ac:dyDescent="0.25">
      <c r="A81" s="522"/>
      <c r="B81" s="102"/>
      <c r="C81" s="265"/>
      <c r="D81" s="110"/>
      <c r="E81" s="89"/>
      <c r="F81" s="111"/>
      <c r="G81" s="281"/>
      <c r="H81" s="277">
        <f t="shared" si="2"/>
        <v>0</v>
      </c>
      <c r="I81" s="109"/>
    </row>
    <row r="82" spans="1:9" ht="18.600000000000001" customHeight="1" x14ac:dyDescent="0.25">
      <c r="A82" s="522"/>
      <c r="B82" s="103"/>
      <c r="C82" s="269"/>
      <c r="D82" s="110"/>
      <c r="E82" s="89"/>
      <c r="F82" s="117"/>
      <c r="G82" s="281"/>
      <c r="H82" s="277">
        <f t="shared" si="2"/>
        <v>0</v>
      </c>
      <c r="I82" s="112"/>
    </row>
    <row r="83" spans="1:9" ht="18.600000000000001" customHeight="1" x14ac:dyDescent="0.25">
      <c r="A83" s="522"/>
      <c r="B83" s="103"/>
      <c r="C83" s="269"/>
      <c r="D83" s="110"/>
      <c r="E83" s="89"/>
      <c r="F83" s="117"/>
      <c r="G83" s="281"/>
      <c r="H83" s="277">
        <f t="shared" si="2"/>
        <v>0</v>
      </c>
      <c r="I83" s="112"/>
    </row>
    <row r="84" spans="1:9" ht="18.600000000000001" customHeight="1" x14ac:dyDescent="0.25">
      <c r="A84" s="522"/>
      <c r="B84" s="103"/>
      <c r="C84" s="269"/>
      <c r="D84" s="110"/>
      <c r="E84" s="89"/>
      <c r="F84" s="117"/>
      <c r="G84" s="281"/>
      <c r="H84" s="277">
        <f t="shared" si="2"/>
        <v>0</v>
      </c>
      <c r="I84" s="112"/>
    </row>
    <row r="85" spans="1:9" ht="18.600000000000001" customHeight="1" x14ac:dyDescent="0.25">
      <c r="A85" s="522"/>
      <c r="B85" s="103"/>
      <c r="C85" s="269"/>
      <c r="D85" s="110"/>
      <c r="E85" s="89"/>
      <c r="F85" s="117"/>
      <c r="G85" s="281"/>
      <c r="H85" s="277">
        <f t="shared" si="2"/>
        <v>0</v>
      </c>
      <c r="I85" s="112"/>
    </row>
    <row r="86" spans="1:9" ht="20.25" customHeight="1" x14ac:dyDescent="0.25">
      <c r="A86" s="522"/>
      <c r="B86" s="103"/>
      <c r="C86" s="269"/>
      <c r="D86" s="110"/>
      <c r="E86" s="89"/>
      <c r="F86" s="117"/>
      <c r="G86" s="281"/>
      <c r="H86" s="277">
        <f t="shared" si="2"/>
        <v>0</v>
      </c>
      <c r="I86" s="112"/>
    </row>
    <row r="87" spans="1:9" ht="20.25" customHeight="1" x14ac:dyDescent="0.25">
      <c r="A87" s="522"/>
      <c r="B87" s="103"/>
      <c r="C87" s="269"/>
      <c r="D87" s="110"/>
      <c r="E87" s="89"/>
      <c r="F87" s="117"/>
      <c r="G87" s="281"/>
      <c r="H87" s="277">
        <f t="shared" si="2"/>
        <v>0</v>
      </c>
      <c r="I87" s="112"/>
    </row>
    <row r="88" spans="1:9" ht="20.25" customHeight="1" x14ac:dyDescent="0.25">
      <c r="A88" s="522"/>
      <c r="B88" s="103"/>
      <c r="C88" s="269"/>
      <c r="D88" s="110"/>
      <c r="E88" s="89"/>
      <c r="F88" s="117"/>
      <c r="G88" s="282"/>
      <c r="H88" s="277">
        <f t="shared" si="2"/>
        <v>0</v>
      </c>
      <c r="I88" s="112"/>
    </row>
    <row r="89" spans="1:9" ht="20.25" customHeight="1" x14ac:dyDescent="0.25">
      <c r="A89" s="522"/>
      <c r="B89" s="103"/>
      <c r="C89" s="269"/>
      <c r="D89" s="110"/>
      <c r="E89" s="89"/>
      <c r="F89" s="117"/>
      <c r="G89" s="282"/>
      <c r="H89" s="277">
        <f t="shared" si="2"/>
        <v>0</v>
      </c>
      <c r="I89" s="112"/>
    </row>
    <row r="90" spans="1:9" ht="20.25" customHeight="1" x14ac:dyDescent="0.25">
      <c r="A90" s="522"/>
      <c r="B90" s="103"/>
      <c r="C90" s="269"/>
      <c r="D90" s="110"/>
      <c r="E90" s="89"/>
      <c r="F90" s="117"/>
      <c r="G90" s="282"/>
      <c r="H90" s="277">
        <f t="shared" si="2"/>
        <v>0</v>
      </c>
      <c r="I90" s="313"/>
    </row>
    <row r="91" spans="1:9" ht="20.25" customHeight="1" x14ac:dyDescent="0.25">
      <c r="A91" s="522"/>
      <c r="B91" s="103"/>
      <c r="C91" s="269"/>
      <c r="D91" s="110"/>
      <c r="E91" s="89"/>
      <c r="F91" s="117"/>
      <c r="G91" s="282"/>
      <c r="H91" s="277">
        <f t="shared" si="2"/>
        <v>0</v>
      </c>
      <c r="I91" s="112"/>
    </row>
    <row r="92" spans="1:9" ht="20.25" customHeight="1" x14ac:dyDescent="0.25">
      <c r="A92" s="522"/>
      <c r="B92" s="103"/>
      <c r="C92" s="269"/>
      <c r="D92" s="110"/>
      <c r="E92" s="89"/>
      <c r="F92" s="117"/>
      <c r="G92" s="282"/>
      <c r="H92" s="277">
        <f t="shared" si="2"/>
        <v>0</v>
      </c>
      <c r="I92" s="313"/>
    </row>
    <row r="93" spans="1:9" ht="20.25" customHeight="1" x14ac:dyDescent="0.25">
      <c r="A93" s="522"/>
      <c r="B93" s="103"/>
      <c r="C93" s="269"/>
      <c r="D93" s="110"/>
      <c r="E93" s="101"/>
      <c r="F93" s="117"/>
      <c r="G93" s="282"/>
      <c r="H93" s="277">
        <f t="shared" si="2"/>
        <v>0</v>
      </c>
      <c r="I93" s="313"/>
    </row>
    <row r="94" spans="1:9" ht="20.25" customHeight="1" x14ac:dyDescent="0.25">
      <c r="A94" s="522"/>
      <c r="B94" s="102"/>
      <c r="C94" s="265"/>
      <c r="D94" s="110"/>
      <c r="E94" s="89"/>
      <c r="F94" s="111"/>
      <c r="G94" s="282"/>
      <c r="H94" s="277">
        <f t="shared" si="2"/>
        <v>0</v>
      </c>
      <c r="I94" s="109"/>
    </row>
    <row r="95" spans="1:9" ht="20.25" customHeight="1" x14ac:dyDescent="0.25">
      <c r="A95" s="522"/>
      <c r="B95" s="103"/>
      <c r="C95" s="269"/>
      <c r="D95" s="110"/>
      <c r="E95" s="93"/>
      <c r="F95" s="117"/>
      <c r="G95" s="282"/>
      <c r="H95" s="277">
        <f t="shared" si="2"/>
        <v>0</v>
      </c>
      <c r="I95" s="313"/>
    </row>
    <row r="96" spans="1:9" ht="20.25" customHeight="1" x14ac:dyDescent="0.25">
      <c r="A96" s="522"/>
      <c r="B96" s="103"/>
      <c r="C96" s="269"/>
      <c r="D96" s="110"/>
      <c r="E96" s="101"/>
      <c r="F96" s="117"/>
      <c r="G96" s="282"/>
      <c r="H96" s="277"/>
      <c r="I96" s="112"/>
    </row>
    <row r="97" spans="1:9" ht="20.25" customHeight="1" x14ac:dyDescent="0.25">
      <c r="A97" s="522"/>
      <c r="B97" s="103"/>
      <c r="C97" s="269"/>
      <c r="D97" s="110"/>
      <c r="E97" s="101"/>
      <c r="F97" s="117"/>
      <c r="G97" s="282"/>
      <c r="H97" s="277">
        <f>D97-G97</f>
        <v>0</v>
      </c>
      <c r="I97" s="112"/>
    </row>
    <row r="98" spans="1:9" ht="20.25" customHeight="1" x14ac:dyDescent="0.25">
      <c r="A98" s="522"/>
      <c r="B98" s="103"/>
      <c r="C98" s="269"/>
      <c r="D98" s="110"/>
      <c r="E98" s="101"/>
      <c r="F98" s="117"/>
      <c r="G98" s="282"/>
      <c r="H98" s="277">
        <f>D98-G98</f>
        <v>0</v>
      </c>
      <c r="I98" s="112"/>
    </row>
    <row r="99" spans="1:9" ht="18.600000000000001" customHeight="1" x14ac:dyDescent="0.25">
      <c r="A99" s="522"/>
      <c r="B99" s="260" t="s">
        <v>140</v>
      </c>
      <c r="C99" s="268"/>
      <c r="D99" s="261">
        <f>SUM(D70:D98)</f>
        <v>65455.18</v>
      </c>
      <c r="E99" s="262"/>
      <c r="F99" s="263"/>
      <c r="G99" s="286"/>
      <c r="H99" s="300">
        <f>+SUM(H70:H90)</f>
        <v>65455.18</v>
      </c>
      <c r="I99" s="255"/>
    </row>
    <row r="100" spans="1:9" ht="21" customHeight="1" x14ac:dyDescent="0.25">
      <c r="A100" s="304"/>
      <c r="B100" s="305"/>
      <c r="C100" s="306"/>
      <c r="D100" s="307"/>
      <c r="E100" s="84"/>
    </row>
    <row r="101" spans="1:9" ht="21" customHeight="1" x14ac:dyDescent="0.25">
      <c r="A101" s="119" t="s">
        <v>126</v>
      </c>
      <c r="B101" s="104"/>
      <c r="C101" s="271"/>
      <c r="D101" s="274">
        <f>+SUM(D99+D69+D28)</f>
        <v>145572.44</v>
      </c>
      <c r="H101" s="274">
        <f>+SUM(H99+H69+H28)</f>
        <v>105472.84</v>
      </c>
    </row>
  </sheetData>
  <mergeCells count="7">
    <mergeCell ref="A70:A99"/>
    <mergeCell ref="K8:M8"/>
    <mergeCell ref="K13:M13"/>
    <mergeCell ref="A2:A27"/>
    <mergeCell ref="K10:L10"/>
    <mergeCell ref="K16:M16"/>
    <mergeCell ref="A29:A69"/>
  </mergeCells>
  <conditionalFormatting sqref="C70:E70 C19:E19 B23 I12:I13 B2:I2 B73:D74 B77:D77 B82:D92 F82:G92 B93:G99 B71:E72 B53:G53 B68:G69 B78:G81 F3:F23 G3:G19 I3:I10 B3:E18 H3:H27 B60:G61 I70:I99 H29:H44 B41:G41 I43 B46:G46 I46 B48:G48 I48 C75:D76 B42:E43 G42:G43 F70:G77 I60:I65 I68 H46:H68 H70:H98 B63:G65 E62:G62">
    <cfRule type="expression" dxfId="272" priority="166">
      <formula>MOD(ROW(),2)=1</formula>
    </cfRule>
  </conditionalFormatting>
  <conditionalFormatting sqref="F2:G11">
    <cfRule type="timePeriod" dxfId="271" priority="161" timePeriod="yesterday">
      <formula>FLOOR(F2,1)=TODAY()-1</formula>
    </cfRule>
    <cfRule type="timePeriod" dxfId="270" priority="163" timePeriod="today">
      <formula>FLOOR(F2,1)=TODAY()</formula>
    </cfRule>
    <cfRule type="cellIs" dxfId="269" priority="164" operator="lessThan">
      <formula>_xludf.today()</formula>
    </cfRule>
  </conditionalFormatting>
  <conditionalFormatting sqref="F20:F23 F53:G53 F2:G19 F60:G65 F41:G41 F46:G46 F48:G48 G42:G43 F68:G99">
    <cfRule type="cellIs" dxfId="268" priority="156" operator="lessThan">
      <formula>TODAY()</formula>
    </cfRule>
    <cfRule type="timePeriod" dxfId="267" priority="157" timePeriod="last7Days">
      <formula>AND(TODAY()-FLOOR(F2,1)&lt;=6,FLOOR(F2,1)&lt;=TODAY())</formula>
    </cfRule>
    <cfRule type="timePeriod" dxfId="266" priority="158" timePeriod="yesterday">
      <formula>FLOOR(F2,1)=TODAY()-1</formula>
    </cfRule>
    <cfRule type="timePeriod" dxfId="265" priority="159" timePeriod="lastMonth">
      <formula>AND(MONTH(F2)=MONTH(EDATE(TODAY(),0-1)),YEAR(F2)=YEAR(EDATE(TODAY(),0-1)))</formula>
    </cfRule>
    <cfRule type="timePeriod" dxfId="264" priority="160" timePeriod="yesterday">
      <formula>FLOOR(F2,1)=TODAY()-1</formula>
    </cfRule>
    <cfRule type="timePeriod" dxfId="263" priority="162" timePeriod="today">
      <formula>FLOOR(F2,1)=TODAY()</formula>
    </cfRule>
  </conditionalFormatting>
  <conditionalFormatting sqref="B70">
    <cfRule type="expression" dxfId="262" priority="154">
      <formula>MOD(ROW(),2)=1</formula>
    </cfRule>
  </conditionalFormatting>
  <conditionalFormatting sqref="F12:G12">
    <cfRule type="timePeriod" dxfId="261" priority="151" timePeriod="yesterday">
      <formula>FLOOR(F12,1)=TODAY()-1</formula>
    </cfRule>
    <cfRule type="timePeriod" dxfId="260" priority="152" timePeriod="today">
      <formula>FLOOR(F12,1)=TODAY()</formula>
    </cfRule>
    <cfRule type="cellIs" dxfId="259" priority="153" operator="lessThan">
      <formula>_xludf.today()</formula>
    </cfRule>
  </conditionalFormatting>
  <conditionalFormatting sqref="F13:G13">
    <cfRule type="timePeriod" dxfId="258" priority="148" timePeriod="yesterday">
      <formula>FLOOR(F13,1)=TODAY()-1</formula>
    </cfRule>
    <cfRule type="timePeriod" dxfId="257" priority="149" timePeriod="today">
      <formula>FLOOR(F13,1)=TODAY()</formula>
    </cfRule>
    <cfRule type="cellIs" dxfId="256" priority="150" operator="lessThan">
      <formula>_xludf.today()</formula>
    </cfRule>
  </conditionalFormatting>
  <conditionalFormatting sqref="B20:G23 B24:C24 F24:G24">
    <cfRule type="expression" dxfId="255" priority="147">
      <formula>MOD(ROW(),2)=1</formula>
    </cfRule>
  </conditionalFormatting>
  <conditionalFormatting sqref="F20:G24">
    <cfRule type="cellIs" dxfId="254" priority="141" operator="lessThan">
      <formula>TODAY()</formula>
    </cfRule>
    <cfRule type="timePeriod" dxfId="253" priority="142" timePeriod="last7Days">
      <formula>AND(TODAY()-FLOOR(F20,1)&lt;=6,FLOOR(F20,1)&lt;=TODAY())</formula>
    </cfRule>
    <cfRule type="timePeriod" dxfId="252" priority="143" timePeriod="yesterday">
      <formula>FLOOR(F20,1)=TODAY()-1</formula>
    </cfRule>
    <cfRule type="timePeriod" dxfId="251" priority="144" timePeriod="lastMonth">
      <formula>AND(MONTH(F20)=MONTH(EDATE(TODAY(),0-1)),YEAR(F20)=YEAR(EDATE(TODAY(),0-1)))</formula>
    </cfRule>
    <cfRule type="timePeriod" dxfId="250" priority="145" timePeriod="yesterday">
      <formula>FLOOR(F20,1)=TODAY()-1</formula>
    </cfRule>
    <cfRule type="timePeriod" dxfId="249" priority="146" timePeriod="today">
      <formula>FLOOR(F20,1)=TODAY()</formula>
    </cfRule>
  </conditionalFormatting>
  <conditionalFormatting sqref="B25:G27">
    <cfRule type="expression" dxfId="248" priority="140">
      <formula>MOD(ROW(),2)=1</formula>
    </cfRule>
  </conditionalFormatting>
  <conditionalFormatting sqref="F25:G27">
    <cfRule type="cellIs" dxfId="247" priority="134" operator="lessThan">
      <formula>TODAY()</formula>
    </cfRule>
    <cfRule type="timePeriod" dxfId="246" priority="135" timePeriod="last7Days">
      <formula>AND(TODAY()-FLOOR(F25,1)&lt;=6,FLOOR(F25,1)&lt;=TODAY())</formula>
    </cfRule>
    <cfRule type="timePeriod" dxfId="245" priority="136" timePeriod="yesterday">
      <formula>FLOOR(F25,1)=TODAY()-1</formula>
    </cfRule>
    <cfRule type="timePeriod" dxfId="244" priority="137" timePeriod="lastMonth">
      <formula>AND(MONTH(F25)=MONTH(EDATE(TODAY(),0-1)),YEAR(F25)=YEAR(EDATE(TODAY(),0-1)))</formula>
    </cfRule>
    <cfRule type="timePeriod" dxfId="243" priority="138" timePeriod="yesterday">
      <formula>FLOOR(F25,1)=TODAY()-1</formula>
    </cfRule>
    <cfRule type="timePeriod" dxfId="242" priority="139" timePeriod="today">
      <formula>FLOOR(F25,1)=TODAY()</formula>
    </cfRule>
  </conditionalFormatting>
  <conditionalFormatting sqref="I14:I24">
    <cfRule type="expression" dxfId="241" priority="129">
      <formula>MOD(ROW(),2)=1</formula>
    </cfRule>
  </conditionalFormatting>
  <conditionalFormatting sqref="B75:B76">
    <cfRule type="expression" dxfId="240" priority="125">
      <formula>MOD(ROW(),2)=1</formula>
    </cfRule>
  </conditionalFormatting>
  <conditionalFormatting sqref="E76">
    <cfRule type="expression" dxfId="239" priority="124">
      <formula>MOD(ROW(),2)=1</formula>
    </cfRule>
  </conditionalFormatting>
  <conditionalFormatting sqref="F13:F14">
    <cfRule type="timePeriod" dxfId="238" priority="114" timePeriod="yesterday">
      <formula>FLOOR(F13,1)=TODAY()-1</formula>
    </cfRule>
    <cfRule type="timePeriod" dxfId="237" priority="115" timePeriod="today">
      <formula>FLOOR(F13,1)=TODAY()</formula>
    </cfRule>
    <cfRule type="cellIs" dxfId="236" priority="116" operator="lessThan">
      <formula>_xludf.today()</formula>
    </cfRule>
  </conditionalFormatting>
  <conditionalFormatting sqref="F15">
    <cfRule type="timePeriod" dxfId="235" priority="111" timePeriod="yesterday">
      <formula>FLOOR(F15,1)=TODAY()-1</formula>
    </cfRule>
    <cfRule type="timePeriod" dxfId="234" priority="112" timePeriod="today">
      <formula>FLOOR(F15,1)=TODAY()</formula>
    </cfRule>
    <cfRule type="cellIs" dxfId="233" priority="113" operator="lessThan">
      <formula>_xludf.today()</formula>
    </cfRule>
  </conditionalFormatting>
  <conditionalFormatting sqref="F18">
    <cfRule type="timePeriod" dxfId="232" priority="108" timePeriod="yesterday">
      <formula>FLOOR(F18,1)=TODAY()-1</formula>
    </cfRule>
    <cfRule type="timePeriod" dxfId="231" priority="109" timePeriod="today">
      <formula>FLOOR(F18,1)=TODAY()</formula>
    </cfRule>
    <cfRule type="cellIs" dxfId="230" priority="110" operator="lessThan">
      <formula>_xludf.today()</formula>
    </cfRule>
  </conditionalFormatting>
  <conditionalFormatting sqref="B19">
    <cfRule type="expression" dxfId="229" priority="107">
      <formula>MOD(ROW(),2)=1</formula>
    </cfRule>
  </conditionalFormatting>
  <conditionalFormatting sqref="B19">
    <cfRule type="expression" dxfId="228" priority="106">
      <formula>MOD(ROW(),2)=1</formula>
    </cfRule>
  </conditionalFormatting>
  <conditionalFormatting sqref="B20:B22">
    <cfRule type="expression" dxfId="227" priority="105">
      <formula>MOD(ROW(),2)=1</formula>
    </cfRule>
  </conditionalFormatting>
  <conditionalFormatting sqref="I69">
    <cfRule type="expression" dxfId="226" priority="104">
      <formula>MOD(ROW(),2)=1</formula>
    </cfRule>
  </conditionalFormatting>
  <conditionalFormatting sqref="I69">
    <cfRule type="expression" dxfId="225" priority="103">
      <formula>MOD(ROW(),2)=1</formula>
    </cfRule>
  </conditionalFormatting>
  <conditionalFormatting sqref="H69">
    <cfRule type="expression" dxfId="224" priority="102">
      <formula>MOD(ROW(),2)=1</formula>
    </cfRule>
  </conditionalFormatting>
  <conditionalFormatting sqref="H99">
    <cfRule type="expression" dxfId="223" priority="101">
      <formula>MOD(ROW(),2)=1</formula>
    </cfRule>
  </conditionalFormatting>
  <conditionalFormatting sqref="I25:I27">
    <cfRule type="expression" dxfId="222" priority="100">
      <formula>MOD(ROW(),2)=1</formula>
    </cfRule>
  </conditionalFormatting>
  <conditionalFormatting sqref="I11">
    <cfRule type="expression" dxfId="221" priority="98">
      <formula>MOD(ROW(),2)=1</formula>
    </cfRule>
  </conditionalFormatting>
  <conditionalFormatting sqref="D29:G29 D32:E33 D36:E37 D40:G40 D51:E52 D54:E55 D58:E59 G58:G59 G54:G55 G51:G52 G36:G37 G32:G33">
    <cfRule type="expression" dxfId="220" priority="97">
      <formula>MOD(ROW(),2)=1</formula>
    </cfRule>
  </conditionalFormatting>
  <conditionalFormatting sqref="F29:G29 G32:G33 G36:G37 F40:G40 G51:G52 G54:G55 G58:G59">
    <cfRule type="cellIs" dxfId="219" priority="91" operator="lessThan">
      <formula>TODAY()</formula>
    </cfRule>
    <cfRule type="timePeriod" dxfId="218" priority="92" timePeriod="last7Days">
      <formula>AND(TODAY()-FLOOR(F29,1)&lt;=6,FLOOR(F29,1)&lt;=TODAY())</formula>
    </cfRule>
    <cfRule type="timePeriod" dxfId="217" priority="93" timePeriod="yesterday">
      <formula>FLOOR(F29,1)=TODAY()-1</formula>
    </cfRule>
    <cfRule type="timePeriod" dxfId="216" priority="94" timePeriod="lastMonth">
      <formula>AND(MONTH(F29)=MONTH(EDATE(TODAY(),0-1)),YEAR(F29)=YEAR(EDATE(TODAY(),0-1)))</formula>
    </cfRule>
    <cfRule type="timePeriod" dxfId="215" priority="95" timePeriod="yesterday">
      <formula>FLOOR(F29,1)=TODAY()-1</formula>
    </cfRule>
    <cfRule type="timePeriod" dxfId="214" priority="96" timePeriod="today">
      <formula>FLOOR(F29,1)=TODAY()</formula>
    </cfRule>
  </conditionalFormatting>
  <conditionalFormatting sqref="B30:G30 B34:E35 B39:G39 B44:E44 B47:G47 B49:E50 B56:E57 B29:C29 B32:C33 B36:C37 B40:C40 B51:C52 B54:C55 B58:C59 G56:G57 G49:G50 B38:E38 G38 G34:G35 B31:E31 G31 G44">
    <cfRule type="expression" dxfId="213" priority="90">
      <formula>MOD(ROW(),2)=1</formula>
    </cfRule>
  </conditionalFormatting>
  <conditionalFormatting sqref="F30:G30 G34:G35 F39:G39 G44 F47:G47 G49:G50 G56:G57 G38 G31">
    <cfRule type="cellIs" dxfId="212" priority="84" operator="lessThan">
      <formula>TODAY()</formula>
    </cfRule>
    <cfRule type="timePeriod" dxfId="211" priority="85" timePeriod="last7Days">
      <formula>AND(TODAY()-FLOOR(F30,1)&lt;=6,FLOOR(F30,1)&lt;=TODAY())</formula>
    </cfRule>
    <cfRule type="timePeriod" dxfId="210" priority="86" timePeriod="yesterday">
      <formula>FLOOR(F30,1)=TODAY()-1</formula>
    </cfRule>
    <cfRule type="timePeriod" dxfId="209" priority="87" timePeriod="lastMonth">
      <formula>AND(MONTH(F30)=MONTH(EDATE(TODAY(),0-1)),YEAR(F30)=YEAR(EDATE(TODAY(),0-1)))</formula>
    </cfRule>
    <cfRule type="timePeriod" dxfId="208" priority="88" timePeriod="yesterday">
      <formula>FLOOR(F30,1)=TODAY()-1</formula>
    </cfRule>
    <cfRule type="timePeriod" dxfId="207" priority="89" timePeriod="today">
      <formula>FLOOR(F30,1)=TODAY()</formula>
    </cfRule>
  </conditionalFormatting>
  <conditionalFormatting sqref="I30 I34 I38 I41 I44 I47 I49 I94">
    <cfRule type="expression" dxfId="206" priority="82">
      <formula>MOD(ROW(),2)=1</formula>
    </cfRule>
  </conditionalFormatting>
  <conditionalFormatting sqref="I31 I35 I39 I42 I45 I50 I53 I57">
    <cfRule type="expression" dxfId="205" priority="81">
      <formula>MOD(ROW(),2)=1</formula>
    </cfRule>
  </conditionalFormatting>
  <conditionalFormatting sqref="I29 I32:I33 I36:I37 I40 I51:I52 I54:I55 I58:I59">
    <cfRule type="expression" dxfId="204" priority="80">
      <formula>MOD(ROW(),2)=1</formula>
    </cfRule>
  </conditionalFormatting>
  <conditionalFormatting sqref="E73:E75">
    <cfRule type="expression" dxfId="203" priority="79">
      <formula>MOD(ROW(),2)=1</formula>
    </cfRule>
  </conditionalFormatting>
  <conditionalFormatting sqref="E77 E82:E92">
    <cfRule type="expression" dxfId="202" priority="78">
      <formula>MOD(ROW(),2)=1</formula>
    </cfRule>
  </conditionalFormatting>
  <conditionalFormatting sqref="D24">
    <cfRule type="expression" dxfId="201" priority="77">
      <formula>MOD(ROW(),2)=1</formula>
    </cfRule>
  </conditionalFormatting>
  <conditionalFormatting sqref="E24">
    <cfRule type="expression" dxfId="200" priority="76">
      <formula>MOD(ROW(),2)=1</formula>
    </cfRule>
  </conditionalFormatting>
  <conditionalFormatting sqref="H45">
    <cfRule type="expression" dxfId="199" priority="75">
      <formula>MOD(ROW(),2)=1</formula>
    </cfRule>
  </conditionalFormatting>
  <conditionalFormatting sqref="B45:G45">
    <cfRule type="expression" dxfId="198" priority="74">
      <formula>MOD(ROW(),2)=1</formula>
    </cfRule>
  </conditionalFormatting>
  <conditionalFormatting sqref="F45:G45">
    <cfRule type="cellIs" dxfId="197" priority="68" operator="lessThan">
      <formula>TODAY()</formula>
    </cfRule>
    <cfRule type="timePeriod" dxfId="196" priority="69" timePeriod="last7Days">
      <formula>AND(TODAY()-FLOOR(F45,1)&lt;=6,FLOOR(F45,1)&lt;=TODAY())</formula>
    </cfRule>
    <cfRule type="timePeriod" dxfId="195" priority="70" timePeriod="yesterday">
      <formula>FLOOR(F45,1)=TODAY()-1</formula>
    </cfRule>
    <cfRule type="timePeriod" dxfId="194" priority="71" timePeriod="lastMonth">
      <formula>AND(MONTH(F45)=MONTH(EDATE(TODAY(),0-1)),YEAR(F45)=YEAR(EDATE(TODAY(),0-1)))</formula>
    </cfRule>
    <cfRule type="timePeriod" dxfId="193" priority="72" timePeriod="yesterday">
      <formula>FLOOR(F45,1)=TODAY()-1</formula>
    </cfRule>
    <cfRule type="timePeriod" dxfId="192" priority="73" timePeriod="today">
      <formula>FLOOR(F45,1)=TODAY()</formula>
    </cfRule>
  </conditionalFormatting>
  <conditionalFormatting sqref="B66:G66">
    <cfRule type="expression" dxfId="191" priority="67">
      <formula>MOD(ROW(),2)=1</formula>
    </cfRule>
  </conditionalFormatting>
  <conditionalFormatting sqref="F66:G66">
    <cfRule type="cellIs" dxfId="190" priority="61" operator="lessThan">
      <formula>TODAY()</formula>
    </cfRule>
    <cfRule type="timePeriod" dxfId="189" priority="62" timePeriod="last7Days">
      <formula>AND(TODAY()-FLOOR(F66,1)&lt;=6,FLOOR(F66,1)&lt;=TODAY())</formula>
    </cfRule>
    <cfRule type="timePeriod" dxfId="188" priority="63" timePeriod="yesterday">
      <formula>FLOOR(F66,1)=TODAY()-1</formula>
    </cfRule>
    <cfRule type="timePeriod" dxfId="187" priority="64" timePeriod="lastMonth">
      <formula>AND(MONTH(F66)=MONTH(EDATE(TODAY(),0-1)),YEAR(F66)=YEAR(EDATE(TODAY(),0-1)))</formula>
    </cfRule>
    <cfRule type="timePeriod" dxfId="186" priority="65" timePeriod="yesterday">
      <formula>FLOOR(F66,1)=TODAY()-1</formula>
    </cfRule>
    <cfRule type="timePeriod" dxfId="185" priority="66" timePeriod="today">
      <formula>FLOOR(F66,1)=TODAY()</formula>
    </cfRule>
  </conditionalFormatting>
  <conditionalFormatting sqref="I66">
    <cfRule type="expression" dxfId="184" priority="59">
      <formula>MOD(ROW(),2)=1</formula>
    </cfRule>
  </conditionalFormatting>
  <conditionalFormatting sqref="B67:D67 F67:G67 I67">
    <cfRule type="expression" dxfId="183" priority="57">
      <formula>MOD(ROW(),2)=1</formula>
    </cfRule>
  </conditionalFormatting>
  <conditionalFormatting sqref="F67:G67">
    <cfRule type="cellIs" dxfId="182" priority="51" operator="lessThan">
      <formula>TODAY()</formula>
    </cfRule>
    <cfRule type="timePeriod" dxfId="181" priority="52" timePeriod="last7Days">
      <formula>AND(TODAY()-FLOOR(F67,1)&lt;=6,FLOOR(F67,1)&lt;=TODAY())</formula>
    </cfRule>
    <cfRule type="timePeriod" dxfId="180" priority="53" timePeriod="yesterday">
      <formula>FLOOR(F67,1)=TODAY()-1</formula>
    </cfRule>
    <cfRule type="timePeriod" dxfId="179" priority="54" timePeriod="lastMonth">
      <formula>AND(MONTH(F67)=MONTH(EDATE(TODAY(),0-1)),YEAR(F67)=YEAR(EDATE(TODAY(),0-1)))</formula>
    </cfRule>
    <cfRule type="timePeriod" dxfId="178" priority="55" timePeriod="yesterday">
      <formula>FLOOR(F67,1)=TODAY()-1</formula>
    </cfRule>
    <cfRule type="timePeriod" dxfId="177" priority="56" timePeriod="today">
      <formula>FLOOR(F67,1)=TODAY()</formula>
    </cfRule>
  </conditionalFormatting>
  <conditionalFormatting sqref="E67">
    <cfRule type="expression" dxfId="176" priority="50">
      <formula>MOD(ROW(),2)=1</formula>
    </cfRule>
  </conditionalFormatting>
  <conditionalFormatting sqref="B28:G28">
    <cfRule type="expression" dxfId="175" priority="49">
      <formula>MOD(ROW(),2)=1</formula>
    </cfRule>
  </conditionalFormatting>
  <conditionalFormatting sqref="F28:G28">
    <cfRule type="cellIs" dxfId="174" priority="43" operator="lessThan">
      <formula>TODAY()</formula>
    </cfRule>
    <cfRule type="timePeriod" dxfId="173" priority="44" timePeriod="last7Days">
      <formula>AND(TODAY()-FLOOR(F28,1)&lt;=6,FLOOR(F28,1)&lt;=TODAY())</formula>
    </cfRule>
    <cfRule type="timePeriod" dxfId="172" priority="45" timePeriod="yesterday">
      <formula>FLOOR(F28,1)=TODAY()-1</formula>
    </cfRule>
    <cfRule type="timePeriod" dxfId="171" priority="46" timePeriod="lastMonth">
      <formula>AND(MONTH(F28)=MONTH(EDATE(TODAY(),0-1)),YEAR(F28)=YEAR(EDATE(TODAY(),0-1)))</formula>
    </cfRule>
    <cfRule type="timePeriod" dxfId="170" priority="47" timePeriod="yesterday">
      <formula>FLOOR(F28,1)=TODAY()-1</formula>
    </cfRule>
    <cfRule type="timePeriod" dxfId="169" priority="48" timePeriod="today">
      <formula>FLOOR(F28,1)=TODAY()</formula>
    </cfRule>
  </conditionalFormatting>
  <conditionalFormatting sqref="I28">
    <cfRule type="expression" dxfId="168" priority="41">
      <formula>MOD(ROW(),2)=1</formula>
    </cfRule>
  </conditionalFormatting>
  <conditionalFormatting sqref="I28">
    <cfRule type="expression" dxfId="167" priority="40">
      <formula>MOD(ROW(),2)=1</formula>
    </cfRule>
  </conditionalFormatting>
  <conditionalFormatting sqref="H28">
    <cfRule type="expression" dxfId="166" priority="39">
      <formula>MOD(ROW(),2)=1</formula>
    </cfRule>
  </conditionalFormatting>
  <conditionalFormatting sqref="I56">
    <cfRule type="expression" dxfId="165" priority="37">
      <formula>MOD(ROW(),2)=1</formula>
    </cfRule>
  </conditionalFormatting>
  <conditionalFormatting sqref="F54:F59">
    <cfRule type="expression" dxfId="164" priority="29">
      <formula>MOD(ROW(),2)=1</formula>
    </cfRule>
  </conditionalFormatting>
  <conditionalFormatting sqref="F54:F59">
    <cfRule type="cellIs" dxfId="163" priority="23" operator="lessThan">
      <formula>TODAY()</formula>
    </cfRule>
    <cfRule type="timePeriod" dxfId="162" priority="24" timePeriod="last7Days">
      <formula>AND(TODAY()-FLOOR(F54,1)&lt;=6,FLOOR(F54,1)&lt;=TODAY())</formula>
    </cfRule>
    <cfRule type="timePeriod" dxfId="161" priority="25" timePeriod="yesterday">
      <formula>FLOOR(F54,1)=TODAY()-1</formula>
    </cfRule>
    <cfRule type="timePeriod" dxfId="160" priority="26" timePeriod="lastMonth">
      <formula>AND(MONTH(F54)=MONTH(EDATE(TODAY(),0-1)),YEAR(F54)=YEAR(EDATE(TODAY(),0-1)))</formula>
    </cfRule>
    <cfRule type="timePeriod" dxfId="159" priority="27" timePeriod="yesterday">
      <formula>FLOOR(F54,1)=TODAY()-1</formula>
    </cfRule>
    <cfRule type="timePeriod" dxfId="158" priority="28" timePeriod="today">
      <formula>FLOOR(F54,1)=TODAY()</formula>
    </cfRule>
  </conditionalFormatting>
  <conditionalFormatting sqref="F49:F52">
    <cfRule type="expression" dxfId="157" priority="22">
      <formula>MOD(ROW(),2)=1</formula>
    </cfRule>
  </conditionalFormatting>
  <conditionalFormatting sqref="F49:F52">
    <cfRule type="cellIs" dxfId="156" priority="16" operator="lessThan">
      <formula>TODAY()</formula>
    </cfRule>
    <cfRule type="timePeriod" dxfId="155" priority="17" timePeriod="last7Days">
      <formula>AND(TODAY()-FLOOR(F49,1)&lt;=6,FLOOR(F49,1)&lt;=TODAY())</formula>
    </cfRule>
    <cfRule type="timePeriod" dxfId="154" priority="18" timePeriod="yesterday">
      <formula>FLOOR(F49,1)=TODAY()-1</formula>
    </cfRule>
    <cfRule type="timePeriod" dxfId="153" priority="19" timePeriod="lastMonth">
      <formula>AND(MONTH(F49)=MONTH(EDATE(TODAY(),0-1)),YEAR(F49)=YEAR(EDATE(TODAY(),0-1)))</formula>
    </cfRule>
    <cfRule type="timePeriod" dxfId="152" priority="20" timePeriod="yesterday">
      <formula>FLOOR(F49,1)=TODAY()-1</formula>
    </cfRule>
    <cfRule type="timePeriod" dxfId="151" priority="21" timePeriod="today">
      <formula>FLOOR(F49,1)=TODAY()</formula>
    </cfRule>
  </conditionalFormatting>
  <conditionalFormatting sqref="F31:F38">
    <cfRule type="expression" dxfId="150" priority="15">
      <formula>MOD(ROW(),2)=1</formula>
    </cfRule>
  </conditionalFormatting>
  <conditionalFormatting sqref="F31:F38">
    <cfRule type="cellIs" dxfId="149" priority="9" operator="lessThan">
      <formula>TODAY()</formula>
    </cfRule>
    <cfRule type="timePeriod" dxfId="148" priority="10" timePeriod="last7Days">
      <formula>AND(TODAY()-FLOOR(F31,1)&lt;=6,FLOOR(F31,1)&lt;=TODAY())</formula>
    </cfRule>
    <cfRule type="timePeriod" dxfId="147" priority="11" timePeriod="yesterday">
      <formula>FLOOR(F31,1)=TODAY()-1</formula>
    </cfRule>
    <cfRule type="timePeriod" dxfId="146" priority="12" timePeriod="lastMonth">
      <formula>AND(MONTH(F31)=MONTH(EDATE(TODAY(),0-1)),YEAR(F31)=YEAR(EDATE(TODAY(),0-1)))</formula>
    </cfRule>
    <cfRule type="timePeriod" dxfId="145" priority="13" timePeriod="yesterday">
      <formula>FLOOR(F31,1)=TODAY()-1</formula>
    </cfRule>
    <cfRule type="timePeriod" dxfId="144" priority="14" timePeriod="today">
      <formula>FLOOR(F31,1)=TODAY()</formula>
    </cfRule>
  </conditionalFormatting>
  <conditionalFormatting sqref="F42:F44">
    <cfRule type="expression" dxfId="143" priority="8">
      <formula>MOD(ROW(),2)=1</formula>
    </cfRule>
  </conditionalFormatting>
  <conditionalFormatting sqref="F42:F44">
    <cfRule type="cellIs" dxfId="142" priority="2" operator="lessThan">
      <formula>TODAY()</formula>
    </cfRule>
    <cfRule type="timePeriod" dxfId="141" priority="3" timePeriod="last7Days">
      <formula>AND(TODAY()-FLOOR(F42,1)&lt;=6,FLOOR(F42,1)&lt;=TODAY())</formula>
    </cfRule>
    <cfRule type="timePeriod" dxfId="140" priority="4" timePeriod="yesterday">
      <formula>FLOOR(F42,1)=TODAY()-1</formula>
    </cfRule>
    <cfRule type="timePeriod" dxfId="139" priority="5" timePeriod="lastMonth">
      <formula>AND(MONTH(F42)=MONTH(EDATE(TODAY(),0-1)),YEAR(F42)=YEAR(EDATE(TODAY(),0-1)))</formula>
    </cfRule>
    <cfRule type="timePeriod" dxfId="138" priority="6" timePeriod="yesterday">
      <formula>FLOOR(F42,1)=TODAY()-1</formula>
    </cfRule>
    <cfRule type="timePeriod" dxfId="137" priority="7" timePeriod="today">
      <formula>FLOOR(F42,1)=TODAY()</formula>
    </cfRule>
  </conditionalFormatting>
  <conditionalFormatting sqref="B62:D62">
    <cfRule type="expression" dxfId="136" priority="1">
      <formula>MOD(ROW(),2)=1</formula>
    </cfRule>
  </conditionalFormatting>
  <printOptions horizontalCentered="1"/>
  <pageMargins left="0.25" right="0.25" top="0.75" bottom="0.75" header="0.3" footer="0.3"/>
  <pageSetup paperSize="9" scale="63" fitToHeight="0" orientation="landscape" r:id="rId1"/>
  <headerFooter>
    <oddHeader>&amp;C&amp;"+,Bold"&amp;12&amp;K04-047Bill Paying&amp;"+,Regular" - CHECKLIST</oddHeader>
    <oddFooter>&amp;C&amp;K04+000Page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7" id="{64022B16-5901-450B-A616-C4094F8FD06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165" id="{9DEEC349-44E7-4F92-AA77-8A391294179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I76</xm:sqref>
        </x14:conditionalFormatting>
        <x14:conditionalFormatting xmlns:xm="http://schemas.microsoft.com/office/excel/2006/main">
          <x14:cfRule type="iconSet" priority="133" id="{E102C2B4-6EB7-47EA-BA28-63D3C0349D1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132" id="{BA14D2DC-9046-411D-BF82-E59341BCA50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I6:I7</xm:sqref>
        </x14:conditionalFormatting>
        <x14:conditionalFormatting xmlns:xm="http://schemas.microsoft.com/office/excel/2006/main">
          <x14:cfRule type="iconSet" priority="131" id="{D2093EF3-D75D-4D5D-B9CB-7C06D6D997B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I10</xm:sqref>
        </x14:conditionalFormatting>
        <x14:conditionalFormatting xmlns:xm="http://schemas.microsoft.com/office/excel/2006/main">
          <x14:cfRule type="iconSet" priority="130" id="{1D94F667-8A09-40B0-90E3-78E09AE8B98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I14:I24</xm:sqref>
        </x14:conditionalFormatting>
        <x14:conditionalFormatting xmlns:xm="http://schemas.microsoft.com/office/excel/2006/main">
          <x14:cfRule type="iconSet" priority="128" id="{856AB33A-0C32-4203-AE6A-3569C7BCA28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127" id="{FEBD5246-D33B-4BDD-90B3-8CD375BCC8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I15</xm:sqref>
        </x14:conditionalFormatting>
        <x14:conditionalFormatting xmlns:xm="http://schemas.microsoft.com/office/excel/2006/main">
          <x14:cfRule type="iconSet" priority="126" id="{6C62F5E9-D92D-4A73-83C3-B27ABFB9C5A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I19</xm:sqref>
        </x14:conditionalFormatting>
        <x14:conditionalFormatting xmlns:xm="http://schemas.microsoft.com/office/excel/2006/main">
          <x14:cfRule type="iconSet" priority="169" id="{4110B008-8D6A-4FEF-8D48-D9D0BF4025F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I12:I13 I3:I10</xm:sqref>
        </x14:conditionalFormatting>
        <x14:conditionalFormatting xmlns:xm="http://schemas.microsoft.com/office/excel/2006/main">
          <x14:cfRule type="iconSet" priority="99" id="{6DCB9568-3C17-4975-A085-A72B70758EC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I11</xm:sqref>
        </x14:conditionalFormatting>
        <x14:conditionalFormatting xmlns:xm="http://schemas.microsoft.com/office/excel/2006/main">
          <x14:cfRule type="iconSet" priority="170" id="{205F69B2-C118-4856-91CD-BD989EE0CC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I3:I7</xm:sqref>
        </x14:conditionalFormatting>
        <x14:conditionalFormatting xmlns:xm="http://schemas.microsoft.com/office/excel/2006/main">
          <x14:cfRule type="iconSet" priority="83" id="{4268E13E-1081-4C26-9E75-B7A72F9CF61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I94 I30 I34 I38 I41 I44 I47 I49</xm:sqref>
        </x14:conditionalFormatting>
        <x14:conditionalFormatting xmlns:xm="http://schemas.microsoft.com/office/excel/2006/main">
          <x14:cfRule type="iconSet" priority="171" id="{67B556C9-D7FB-4D9A-A473-6A3E188DA12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I82:I93 I77 I95:I99</xm:sqref>
        </x14:conditionalFormatting>
        <x14:conditionalFormatting xmlns:xm="http://schemas.microsoft.com/office/excel/2006/main">
          <x14:cfRule type="iconSet" priority="172" id="{6A0455CF-639D-4152-AE9F-5E4A075E79D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I70:I76</xm:sqref>
        </x14:conditionalFormatting>
        <x14:conditionalFormatting xmlns:xm="http://schemas.microsoft.com/office/excel/2006/main">
          <x14:cfRule type="iconSet" priority="173" id="{C198BD2E-BC86-42F2-BE00-EC18558A27B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I51:I52 I48 I46 I43 I29 I32:I33 I36:I37 I40 I54:I55 I58:I62</xm:sqref>
        </x14:conditionalFormatting>
        <x14:conditionalFormatting xmlns:xm="http://schemas.microsoft.com/office/excel/2006/main">
          <x14:cfRule type="iconSet" priority="60" id="{961A0D95-0110-4E59-9903-44F7E398594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I66</xm:sqref>
        </x14:conditionalFormatting>
        <x14:conditionalFormatting xmlns:xm="http://schemas.microsoft.com/office/excel/2006/main">
          <x14:cfRule type="iconSet" priority="58" id="{DEE68B08-5D36-4300-B59E-D24985F4369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I67</xm:sqref>
        </x14:conditionalFormatting>
        <x14:conditionalFormatting xmlns:xm="http://schemas.microsoft.com/office/excel/2006/main">
          <x14:cfRule type="iconSet" priority="174" id="{37CB26B6-7C5D-47C6-90A3-01D6D615E6B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I50 I45 I42 I31 I35 I39 I53 I57</xm:sqref>
        </x14:conditionalFormatting>
        <x14:conditionalFormatting xmlns:xm="http://schemas.microsoft.com/office/excel/2006/main">
          <x14:cfRule type="iconSet" priority="175" id="{5663F887-D348-4B7A-AAB5-E9ADAB6DCC0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I78:I81</xm:sqref>
        </x14:conditionalFormatting>
        <x14:conditionalFormatting xmlns:xm="http://schemas.microsoft.com/office/excel/2006/main">
          <x14:cfRule type="iconSet" priority="42" id="{A3D2DCAA-9158-435E-B3B3-401A1937641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I28</xm:sqref>
        </x14:conditionalFormatting>
        <x14:conditionalFormatting xmlns:xm="http://schemas.microsoft.com/office/excel/2006/main">
          <x14:cfRule type="iconSet" priority="38" id="{5848604E-211A-4A7B-A47A-C3DF09CE6D9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I56</xm:sqref>
        </x14:conditionalFormatting>
        <x14:conditionalFormatting xmlns:xm="http://schemas.microsoft.com/office/excel/2006/main">
          <x14:cfRule type="iconSet" priority="176" id="{CE912D4F-A8E9-4A37-9731-225E4578285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I25:I27</xm:sqref>
        </x14:conditionalFormatting>
        <x14:conditionalFormatting xmlns:xm="http://schemas.microsoft.com/office/excel/2006/main">
          <x14:cfRule type="iconSet" priority="177" id="{46E7ACD2-9214-4154-891B-848385E44D4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I69</xm:sqref>
        </x14:conditionalFormatting>
        <x14:conditionalFormatting xmlns:xm="http://schemas.microsoft.com/office/excel/2006/main">
          <x14:cfRule type="iconSet" priority="1947" id="{D7F3F1C4-3F56-4B9B-A624-8CBC272739D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A29 A2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0031-E1B5-4B86-B3AC-1B5A4177687A}">
  <sheetPr>
    <tabColor rgb="FF002060"/>
    <pageSetUpPr autoPageBreaks="0" fitToPage="1"/>
  </sheetPr>
  <dimension ref="A1:M101"/>
  <sheetViews>
    <sheetView showGridLines="0" zoomScale="85" zoomScaleNormal="85" zoomScaleSheetLayoutView="85" zoomScalePageLayoutView="55" workbookViewId="0">
      <pane ySplit="1" topLeftCell="A35" activePane="bottomLeft" state="frozen"/>
      <selection activeCell="C73" sqref="C73"/>
      <selection pane="bottomLeft" activeCell="G87" sqref="G87"/>
    </sheetView>
  </sheetViews>
  <sheetFormatPr baseColWidth="10" defaultColWidth="9.140625" defaultRowHeight="21" customHeight="1" x14ac:dyDescent="0.25"/>
  <cols>
    <col min="1" max="1" width="22.85546875" style="122" customWidth="1"/>
    <col min="2" max="2" width="27.140625" style="105" customWidth="1"/>
    <col min="3" max="3" width="24.5703125" style="272" customWidth="1"/>
    <col min="4" max="4" width="24" style="123" customWidth="1"/>
    <col min="5" max="5" width="45.7109375" style="83" customWidth="1"/>
    <col min="6" max="6" width="20.42578125" style="120" customWidth="1"/>
    <col min="7" max="7" width="20.42578125" style="287" customWidth="1"/>
    <col min="8" max="8" width="21" style="83" customWidth="1"/>
    <col min="9" max="9" width="19.85546875" style="121" customWidth="1"/>
    <col min="10" max="11" width="9.140625" style="58"/>
    <col min="12" max="12" width="11.42578125" style="58" bestFit="1" customWidth="1"/>
    <col min="13" max="16384" width="9.140625" style="58"/>
  </cols>
  <sheetData>
    <row r="1" spans="1:13" s="163" customFormat="1" ht="24" customHeight="1" x14ac:dyDescent="0.25">
      <c r="A1" s="99" t="s">
        <v>101</v>
      </c>
      <c r="B1" s="99" t="s">
        <v>143</v>
      </c>
      <c r="C1" s="264" t="s">
        <v>142</v>
      </c>
      <c r="D1" s="99" t="s">
        <v>148</v>
      </c>
      <c r="E1" s="99" t="s">
        <v>141</v>
      </c>
      <c r="F1" s="99" t="s">
        <v>103</v>
      </c>
      <c r="G1" s="279" t="s">
        <v>487</v>
      </c>
      <c r="H1" s="99" t="s">
        <v>494</v>
      </c>
      <c r="I1" s="107" t="s">
        <v>105</v>
      </c>
    </row>
    <row r="2" spans="1:13" ht="18.600000000000001" customHeight="1" x14ac:dyDescent="0.25">
      <c r="A2" s="523" t="s">
        <v>122</v>
      </c>
      <c r="B2" s="289"/>
      <c r="C2" s="265"/>
      <c r="D2" s="365"/>
      <c r="E2" s="89"/>
      <c r="F2" s="108"/>
      <c r="G2" s="280"/>
      <c r="H2" s="277">
        <f t="shared" ref="H2:H27" si="0">D2-G2</f>
        <v>0</v>
      </c>
      <c r="I2" s="109"/>
    </row>
    <row r="3" spans="1:13" ht="18.600000000000001" customHeight="1" x14ac:dyDescent="0.25">
      <c r="A3" s="523"/>
      <c r="B3" s="289"/>
      <c r="C3" s="265"/>
      <c r="D3" s="110"/>
      <c r="E3" s="89"/>
      <c r="F3" s="108"/>
      <c r="G3" s="280"/>
      <c r="H3" s="277">
        <f t="shared" si="0"/>
        <v>0</v>
      </c>
      <c r="I3" s="109"/>
    </row>
    <row r="4" spans="1:13" ht="18.600000000000001" customHeight="1" x14ac:dyDescent="0.3">
      <c r="A4" s="523"/>
      <c r="B4" s="289"/>
      <c r="C4" s="265"/>
      <c r="D4" s="110"/>
      <c r="E4" s="89"/>
      <c r="F4" s="108"/>
      <c r="G4" s="280"/>
      <c r="H4" s="277">
        <f t="shared" si="0"/>
        <v>0</v>
      </c>
      <c r="I4" s="109"/>
      <c r="K4" s="249"/>
    </row>
    <row r="5" spans="1:13" ht="18.600000000000001" customHeight="1" x14ac:dyDescent="0.3">
      <c r="A5" s="523"/>
      <c r="B5" s="289"/>
      <c r="C5" s="265"/>
      <c r="D5" s="110"/>
      <c r="E5" s="89"/>
      <c r="F5" s="108"/>
      <c r="G5" s="280"/>
      <c r="H5" s="277">
        <f t="shared" si="0"/>
        <v>0</v>
      </c>
      <c r="I5" s="109"/>
      <c r="K5" s="76"/>
    </row>
    <row r="6" spans="1:13" ht="18.600000000000001" customHeight="1" x14ac:dyDescent="0.25">
      <c r="A6" s="523"/>
      <c r="B6" s="289"/>
      <c r="C6" s="265"/>
      <c r="D6" s="110"/>
      <c r="E6" s="89"/>
      <c r="F6" s="108"/>
      <c r="G6" s="280"/>
      <c r="H6" s="277">
        <f t="shared" si="0"/>
        <v>0</v>
      </c>
      <c r="I6" s="109"/>
      <c r="K6" s="488"/>
    </row>
    <row r="7" spans="1:13" ht="18.600000000000001" customHeight="1" x14ac:dyDescent="0.3">
      <c r="A7" s="523"/>
      <c r="B7" s="289"/>
      <c r="C7" s="265"/>
      <c r="D7" s="110"/>
      <c r="E7" s="89"/>
      <c r="F7" s="108"/>
      <c r="G7" s="280"/>
      <c r="H7" s="277">
        <f t="shared" si="0"/>
        <v>0</v>
      </c>
      <c r="I7" s="109"/>
      <c r="K7" s="76"/>
    </row>
    <row r="8" spans="1:13" ht="18.600000000000001" customHeight="1" x14ac:dyDescent="0.3">
      <c r="A8" s="523"/>
      <c r="B8" s="322"/>
      <c r="C8" s="265"/>
      <c r="D8" s="110"/>
      <c r="E8" s="89"/>
      <c r="F8" s="108"/>
      <c r="G8" s="280"/>
      <c r="H8" s="277">
        <f t="shared" si="0"/>
        <v>0</v>
      </c>
      <c r="I8" s="109"/>
      <c r="K8" s="502"/>
      <c r="L8" s="502"/>
      <c r="M8" s="502"/>
    </row>
    <row r="9" spans="1:13" ht="18.600000000000001" customHeight="1" x14ac:dyDescent="0.3">
      <c r="A9" s="523"/>
      <c r="B9" s="289"/>
      <c r="C9" s="265"/>
      <c r="D9" s="110"/>
      <c r="E9" s="89"/>
      <c r="F9" s="108"/>
      <c r="G9" s="280"/>
      <c r="H9" s="277">
        <f t="shared" si="0"/>
        <v>0</v>
      </c>
      <c r="I9" s="109"/>
      <c r="K9" s="76"/>
    </row>
    <row r="10" spans="1:13" ht="18.600000000000001" customHeight="1" x14ac:dyDescent="0.3">
      <c r="A10" s="523"/>
      <c r="B10" s="289"/>
      <c r="C10" s="265"/>
      <c r="D10" s="110"/>
      <c r="E10" s="89"/>
      <c r="F10" s="108"/>
      <c r="G10" s="280"/>
      <c r="H10" s="277">
        <f t="shared" si="0"/>
        <v>0</v>
      </c>
      <c r="I10" s="288"/>
      <c r="K10" s="502"/>
      <c r="L10" s="502"/>
    </row>
    <row r="11" spans="1:13" ht="18.600000000000001" customHeight="1" x14ac:dyDescent="0.25">
      <c r="A11" s="523"/>
      <c r="B11" s="289"/>
      <c r="C11" s="265"/>
      <c r="D11" s="110"/>
      <c r="E11" s="89"/>
      <c r="F11" s="108"/>
      <c r="G11" s="280"/>
      <c r="H11" s="277">
        <f t="shared" si="0"/>
        <v>0</v>
      </c>
      <c r="I11" s="288"/>
    </row>
    <row r="12" spans="1:13" ht="18.600000000000001" customHeight="1" x14ac:dyDescent="0.25">
      <c r="A12" s="523"/>
      <c r="B12" s="289"/>
      <c r="C12" s="265"/>
      <c r="D12" s="365"/>
      <c r="E12" s="368"/>
      <c r="F12" s="108"/>
      <c r="G12" s="280"/>
      <c r="H12" s="277">
        <f t="shared" si="0"/>
        <v>0</v>
      </c>
      <c r="I12" s="288"/>
      <c r="K12" s="488"/>
    </row>
    <row r="13" spans="1:13" ht="18.600000000000001" customHeight="1" x14ac:dyDescent="0.3">
      <c r="A13" s="523"/>
      <c r="B13" s="289"/>
      <c r="C13" s="265"/>
      <c r="D13" s="110"/>
      <c r="E13" s="89"/>
      <c r="F13" s="108"/>
      <c r="G13" s="280"/>
      <c r="H13" s="277">
        <f t="shared" si="0"/>
        <v>0</v>
      </c>
      <c r="I13" s="288"/>
      <c r="K13" s="502"/>
      <c r="L13" s="502"/>
      <c r="M13" s="502"/>
    </row>
    <row r="14" spans="1:13" ht="18.600000000000001" customHeight="1" x14ac:dyDescent="0.25">
      <c r="A14" s="523"/>
      <c r="B14" s="289"/>
      <c r="C14" s="265"/>
      <c r="D14" s="110"/>
      <c r="E14" s="89"/>
      <c r="F14" s="108"/>
      <c r="G14" s="281"/>
      <c r="H14" s="277">
        <f t="shared" si="0"/>
        <v>0</v>
      </c>
      <c r="I14" s="288"/>
    </row>
    <row r="15" spans="1:13" ht="18.600000000000001" customHeight="1" x14ac:dyDescent="0.25">
      <c r="A15" s="523"/>
      <c r="B15" s="289"/>
      <c r="C15" s="265"/>
      <c r="D15" s="110"/>
      <c r="E15" s="89"/>
      <c r="F15" s="108"/>
      <c r="G15" s="281"/>
      <c r="H15" s="277">
        <f t="shared" si="0"/>
        <v>0</v>
      </c>
      <c r="I15" s="288"/>
      <c r="K15" s="488"/>
    </row>
    <row r="16" spans="1:13" ht="18.600000000000001" customHeight="1" x14ac:dyDescent="0.3">
      <c r="A16" s="523"/>
      <c r="B16" s="289"/>
      <c r="C16" s="265"/>
      <c r="D16" s="110"/>
      <c r="E16" s="89"/>
      <c r="F16" s="111"/>
      <c r="G16" s="281"/>
      <c r="H16" s="277">
        <f t="shared" si="0"/>
        <v>0</v>
      </c>
      <c r="I16" s="288"/>
      <c r="K16" s="503"/>
      <c r="L16" s="503"/>
      <c r="M16" s="503"/>
    </row>
    <row r="17" spans="1:9" ht="18.600000000000001" customHeight="1" x14ac:dyDescent="0.25">
      <c r="A17" s="523"/>
      <c r="B17" s="289"/>
      <c r="C17" s="265"/>
      <c r="D17" s="110"/>
      <c r="E17" s="89"/>
      <c r="F17" s="111"/>
      <c r="G17" s="281"/>
      <c r="H17" s="277">
        <f t="shared" si="0"/>
        <v>0</v>
      </c>
      <c r="I17" s="288"/>
    </row>
    <row r="18" spans="1:9" ht="18.600000000000001" customHeight="1" x14ac:dyDescent="0.25">
      <c r="A18" s="523"/>
      <c r="B18" s="289"/>
      <c r="C18" s="265"/>
      <c r="D18" s="110"/>
      <c r="E18" s="89"/>
      <c r="F18" s="108"/>
      <c r="G18" s="281"/>
      <c r="H18" s="277">
        <f t="shared" si="0"/>
        <v>0</v>
      </c>
      <c r="I18" s="288"/>
    </row>
    <row r="19" spans="1:9" ht="18.600000000000001" customHeight="1" x14ac:dyDescent="0.25">
      <c r="A19" s="523"/>
      <c r="B19" s="289"/>
      <c r="C19" s="265"/>
      <c r="D19" s="110"/>
      <c r="E19" s="89"/>
      <c r="F19" s="111"/>
      <c r="G19" s="281"/>
      <c r="H19" s="277">
        <f t="shared" si="0"/>
        <v>0</v>
      </c>
      <c r="I19" s="288"/>
    </row>
    <row r="20" spans="1:9" ht="18.600000000000001" customHeight="1" x14ac:dyDescent="0.25">
      <c r="A20" s="523"/>
      <c r="B20" s="289"/>
      <c r="C20" s="265"/>
      <c r="D20" s="110"/>
      <c r="E20" s="89"/>
      <c r="F20" s="111"/>
      <c r="G20" s="281"/>
      <c r="H20" s="277">
        <f t="shared" si="0"/>
        <v>0</v>
      </c>
      <c r="I20" s="288"/>
    </row>
    <row r="21" spans="1:9" ht="18.600000000000001" customHeight="1" x14ac:dyDescent="0.25">
      <c r="A21" s="523"/>
      <c r="B21" s="289"/>
      <c r="C21" s="265"/>
      <c r="D21" s="365"/>
      <c r="E21" s="89"/>
      <c r="F21" s="111"/>
      <c r="G21" s="281"/>
      <c r="H21" s="277">
        <f t="shared" si="0"/>
        <v>0</v>
      </c>
      <c r="I21" s="288"/>
    </row>
    <row r="22" spans="1:9" ht="18.600000000000001" customHeight="1" x14ac:dyDescent="0.25">
      <c r="A22" s="523"/>
      <c r="B22" s="289"/>
      <c r="C22" s="265"/>
      <c r="D22" s="365"/>
      <c r="E22" s="89"/>
      <c r="F22" s="111"/>
      <c r="G22" s="281"/>
      <c r="H22" s="277">
        <f t="shared" si="0"/>
        <v>0</v>
      </c>
      <c r="I22" s="288"/>
    </row>
    <row r="23" spans="1:9" ht="18.600000000000001" customHeight="1" x14ac:dyDescent="0.25">
      <c r="A23" s="523"/>
      <c r="B23" s="289"/>
      <c r="C23" s="265"/>
      <c r="D23" s="110"/>
      <c r="E23" s="89"/>
      <c r="F23" s="111"/>
      <c r="G23" s="281"/>
      <c r="H23" s="277">
        <f t="shared" si="0"/>
        <v>0</v>
      </c>
      <c r="I23" s="288"/>
    </row>
    <row r="24" spans="1:9" ht="18.600000000000001" customHeight="1" x14ac:dyDescent="0.25">
      <c r="A24" s="523"/>
      <c r="B24" s="289"/>
      <c r="C24" s="265"/>
      <c r="D24" s="365"/>
      <c r="E24" s="369"/>
      <c r="F24" s="111"/>
      <c r="G24" s="281"/>
      <c r="H24" s="277">
        <f t="shared" si="0"/>
        <v>0</v>
      </c>
      <c r="I24" s="288"/>
    </row>
    <row r="25" spans="1:9" ht="18.600000000000001" customHeight="1" x14ac:dyDescent="0.25">
      <c r="A25" s="523"/>
      <c r="B25" s="289"/>
      <c r="C25" s="265"/>
      <c r="D25" s="110"/>
      <c r="E25" s="89"/>
      <c r="F25" s="111"/>
      <c r="G25" s="281"/>
      <c r="H25" s="277">
        <f t="shared" si="0"/>
        <v>0</v>
      </c>
      <c r="I25" s="288"/>
    </row>
    <row r="26" spans="1:9" ht="18.600000000000001" customHeight="1" x14ac:dyDescent="0.25">
      <c r="A26" s="523"/>
      <c r="B26" s="289"/>
      <c r="C26" s="265"/>
      <c r="D26" s="110"/>
      <c r="E26" s="89"/>
      <c r="F26" s="111"/>
      <c r="G26" s="282"/>
      <c r="H26" s="277">
        <f t="shared" si="0"/>
        <v>0</v>
      </c>
      <c r="I26" s="288"/>
    </row>
    <row r="27" spans="1:9" ht="18.600000000000001" customHeight="1" x14ac:dyDescent="0.25">
      <c r="A27" s="523"/>
      <c r="B27" s="289"/>
      <c r="C27" s="265"/>
      <c r="D27" s="110"/>
      <c r="E27" s="89"/>
      <c r="F27" s="111"/>
      <c r="G27" s="282"/>
      <c r="H27" s="277">
        <f t="shared" si="0"/>
        <v>0</v>
      </c>
      <c r="I27" s="288"/>
    </row>
    <row r="28" spans="1:9" ht="18.600000000000001" customHeight="1" thickBot="1" x14ac:dyDescent="0.3">
      <c r="A28" s="113"/>
      <c r="B28" s="374" t="s">
        <v>140</v>
      </c>
      <c r="C28" s="380"/>
      <c r="D28" s="375">
        <f>+SUM(D2:D27)</f>
        <v>0</v>
      </c>
      <c r="E28" s="376"/>
      <c r="F28" s="377"/>
      <c r="G28" s="378"/>
      <c r="H28" s="373">
        <f>+SUM(H2:H27)</f>
        <v>0</v>
      </c>
      <c r="I28" s="379"/>
    </row>
    <row r="29" spans="1:9" ht="18.600000000000001" customHeight="1" thickTop="1" x14ac:dyDescent="0.25">
      <c r="A29" s="524" t="s">
        <v>123</v>
      </c>
      <c r="B29" s="289" t="s">
        <v>587</v>
      </c>
      <c r="C29" s="265" t="s">
        <v>567</v>
      </c>
      <c r="D29" s="114">
        <v>891.47</v>
      </c>
      <c r="E29" s="97"/>
      <c r="F29" s="115">
        <v>44743</v>
      </c>
      <c r="G29" s="283"/>
      <c r="H29" s="277">
        <f t="shared" ref="H29:H68" si="1">D29-G29</f>
        <v>891.47</v>
      </c>
      <c r="I29" s="288"/>
    </row>
    <row r="30" spans="1:9" ht="18.600000000000001" customHeight="1" x14ac:dyDescent="0.25">
      <c r="A30" s="525"/>
      <c r="B30" s="289" t="s">
        <v>277</v>
      </c>
      <c r="C30" s="265"/>
      <c r="D30" s="110">
        <v>19.38</v>
      </c>
      <c r="E30" s="89"/>
      <c r="F30" s="111">
        <v>44747</v>
      </c>
      <c r="G30" s="282"/>
      <c r="H30" s="277">
        <f t="shared" si="1"/>
        <v>19.38</v>
      </c>
      <c r="I30" s="288"/>
    </row>
    <row r="31" spans="1:9" ht="18.600000000000001" customHeight="1" x14ac:dyDescent="0.25">
      <c r="A31" s="525"/>
      <c r="B31" s="289" t="s">
        <v>307</v>
      </c>
      <c r="C31" s="265"/>
      <c r="D31" s="110">
        <v>3203.09</v>
      </c>
      <c r="E31" s="89" t="s">
        <v>395</v>
      </c>
      <c r="F31" s="111">
        <v>44747</v>
      </c>
      <c r="G31" s="282"/>
      <c r="H31" s="277">
        <f t="shared" si="1"/>
        <v>3203.09</v>
      </c>
      <c r="I31" s="288"/>
    </row>
    <row r="32" spans="1:9" ht="18.600000000000001" customHeight="1" x14ac:dyDescent="0.25">
      <c r="A32" s="525"/>
      <c r="B32" s="289" t="s">
        <v>196</v>
      </c>
      <c r="C32" s="265" t="s">
        <v>201</v>
      </c>
      <c r="D32" s="110">
        <v>127.11</v>
      </c>
      <c r="E32" s="89" t="s">
        <v>200</v>
      </c>
      <c r="F32" s="111">
        <v>44747</v>
      </c>
      <c r="G32" s="282"/>
      <c r="H32" s="277">
        <f t="shared" si="1"/>
        <v>127.11</v>
      </c>
      <c r="I32" s="288"/>
    </row>
    <row r="33" spans="1:9" ht="18.600000000000001" customHeight="1" x14ac:dyDescent="0.25">
      <c r="A33" s="525"/>
      <c r="B33" s="289" t="s">
        <v>196</v>
      </c>
      <c r="C33" s="265" t="s">
        <v>297</v>
      </c>
      <c r="D33" s="114">
        <v>100.82</v>
      </c>
      <c r="E33" s="97"/>
      <c r="F33" s="111">
        <v>44747</v>
      </c>
      <c r="G33" s="283"/>
      <c r="H33" s="277">
        <f t="shared" si="1"/>
        <v>100.82</v>
      </c>
      <c r="I33" s="288"/>
    </row>
    <row r="34" spans="1:9" ht="18.600000000000001" customHeight="1" x14ac:dyDescent="0.25">
      <c r="A34" s="525"/>
      <c r="B34" s="289" t="s">
        <v>196</v>
      </c>
      <c r="C34" s="265" t="s">
        <v>298</v>
      </c>
      <c r="D34" s="110">
        <v>104.12</v>
      </c>
      <c r="E34" s="89"/>
      <c r="F34" s="111">
        <v>44747</v>
      </c>
      <c r="G34" s="282"/>
      <c r="H34" s="277">
        <f t="shared" si="1"/>
        <v>104.12</v>
      </c>
      <c r="I34" s="288"/>
    </row>
    <row r="35" spans="1:9" ht="18.600000000000001" customHeight="1" x14ac:dyDescent="0.25">
      <c r="A35" s="525"/>
      <c r="B35" s="289" t="s">
        <v>196</v>
      </c>
      <c r="C35" s="265" t="s">
        <v>299</v>
      </c>
      <c r="D35" s="110">
        <v>71.319999999999993</v>
      </c>
      <c r="E35" s="89"/>
      <c r="F35" s="111">
        <v>44747</v>
      </c>
      <c r="G35" s="282"/>
      <c r="H35" s="277">
        <f t="shared" si="1"/>
        <v>71.319999999999993</v>
      </c>
      <c r="I35" s="288"/>
    </row>
    <row r="36" spans="1:9" ht="18.600000000000001" customHeight="1" x14ac:dyDescent="0.25">
      <c r="A36" s="525"/>
      <c r="B36" s="289" t="s">
        <v>196</v>
      </c>
      <c r="C36" s="265" t="s">
        <v>300</v>
      </c>
      <c r="D36" s="110">
        <v>89.4</v>
      </c>
      <c r="E36" s="89"/>
      <c r="F36" s="111">
        <v>44747</v>
      </c>
      <c r="G36" s="282"/>
      <c r="H36" s="277">
        <f t="shared" si="1"/>
        <v>89.4</v>
      </c>
      <c r="I36" s="288"/>
    </row>
    <row r="37" spans="1:9" ht="18.600000000000001" customHeight="1" x14ac:dyDescent="0.25">
      <c r="A37" s="525"/>
      <c r="B37" s="289" t="s">
        <v>196</v>
      </c>
      <c r="C37" s="265" t="s">
        <v>199</v>
      </c>
      <c r="D37" s="114">
        <v>99.97</v>
      </c>
      <c r="E37" s="97" t="s">
        <v>200</v>
      </c>
      <c r="F37" s="111">
        <v>44747</v>
      </c>
      <c r="G37" s="283"/>
      <c r="H37" s="277">
        <f t="shared" si="1"/>
        <v>99.97</v>
      </c>
      <c r="I37" s="288"/>
    </row>
    <row r="38" spans="1:9" ht="18.600000000000001" customHeight="1" x14ac:dyDescent="0.25">
      <c r="A38" s="525"/>
      <c r="B38" s="289" t="s">
        <v>533</v>
      </c>
      <c r="C38" s="265"/>
      <c r="D38" s="110">
        <v>53.88</v>
      </c>
      <c r="E38" s="89"/>
      <c r="F38" s="111">
        <v>44747</v>
      </c>
      <c r="G38" s="282"/>
      <c r="H38" s="277">
        <f t="shared" si="1"/>
        <v>53.88</v>
      </c>
      <c r="I38" s="288"/>
    </row>
    <row r="39" spans="1:9" ht="18.600000000000001" customHeight="1" x14ac:dyDescent="0.25">
      <c r="A39" s="525"/>
      <c r="B39" s="289" t="s">
        <v>282</v>
      </c>
      <c r="C39" s="265"/>
      <c r="D39" s="110">
        <v>50</v>
      </c>
      <c r="E39" s="89" t="s">
        <v>287</v>
      </c>
      <c r="F39" s="111">
        <v>44748</v>
      </c>
      <c r="G39" s="282"/>
      <c r="H39" s="277">
        <f t="shared" si="1"/>
        <v>50</v>
      </c>
      <c r="I39" s="288"/>
    </row>
    <row r="40" spans="1:9" ht="18.600000000000001" customHeight="1" x14ac:dyDescent="0.25">
      <c r="A40" s="525"/>
      <c r="B40" s="289" t="s">
        <v>282</v>
      </c>
      <c r="C40" s="265"/>
      <c r="D40" s="110">
        <v>38</v>
      </c>
      <c r="E40" s="89"/>
      <c r="F40" s="111">
        <v>44748</v>
      </c>
      <c r="G40" s="282"/>
      <c r="H40" s="277">
        <f t="shared" si="1"/>
        <v>38</v>
      </c>
      <c r="I40" s="288"/>
    </row>
    <row r="41" spans="1:9" ht="18.600000000000001" customHeight="1" x14ac:dyDescent="0.25">
      <c r="A41" s="525"/>
      <c r="B41" s="289" t="s">
        <v>140</v>
      </c>
      <c r="C41" s="265" t="s">
        <v>607</v>
      </c>
      <c r="D41" s="110">
        <v>2500</v>
      </c>
      <c r="E41" s="89"/>
      <c r="F41" s="111">
        <v>44752</v>
      </c>
      <c r="G41" s="282"/>
      <c r="H41" s="277">
        <f t="shared" si="1"/>
        <v>2500</v>
      </c>
      <c r="I41" s="288"/>
    </row>
    <row r="42" spans="1:9" ht="18.600000000000001" customHeight="1" x14ac:dyDescent="0.25">
      <c r="A42" s="525"/>
      <c r="B42" s="289" t="s">
        <v>288</v>
      </c>
      <c r="C42" s="265" t="s">
        <v>532</v>
      </c>
      <c r="D42" s="110">
        <f>15.95*2</f>
        <v>31.9</v>
      </c>
      <c r="E42" s="89" t="s">
        <v>677</v>
      </c>
      <c r="F42" s="111">
        <v>44752</v>
      </c>
      <c r="G42" s="282"/>
      <c r="H42" s="277">
        <f t="shared" si="1"/>
        <v>31.9</v>
      </c>
      <c r="I42" s="288">
        <v>44671</v>
      </c>
    </row>
    <row r="43" spans="1:9" ht="18.600000000000001" customHeight="1" x14ac:dyDescent="0.25">
      <c r="A43" s="525"/>
      <c r="B43" s="289" t="s">
        <v>530</v>
      </c>
      <c r="C43" s="265"/>
      <c r="D43" s="114">
        <v>16.989999999999998</v>
      </c>
      <c r="E43" s="97" t="s">
        <v>531</v>
      </c>
      <c r="F43" s="111">
        <v>44752</v>
      </c>
      <c r="G43" s="283"/>
      <c r="H43" s="277">
        <f t="shared" si="1"/>
        <v>16.989999999999998</v>
      </c>
      <c r="I43" s="288"/>
    </row>
    <row r="44" spans="1:9" ht="18.600000000000001" customHeight="1" x14ac:dyDescent="0.25">
      <c r="A44" s="525"/>
      <c r="B44" s="289" t="s">
        <v>318</v>
      </c>
      <c r="C44" s="265" t="s">
        <v>464</v>
      </c>
      <c r="D44" s="110">
        <v>277.95999999999998</v>
      </c>
      <c r="E44" s="89" t="s">
        <v>465</v>
      </c>
      <c r="F44" s="111">
        <v>44752</v>
      </c>
      <c r="G44" s="282"/>
      <c r="H44" s="277">
        <f t="shared" si="1"/>
        <v>277.95999999999998</v>
      </c>
      <c r="I44" s="288"/>
    </row>
    <row r="45" spans="1:9" ht="18.600000000000001" customHeight="1" x14ac:dyDescent="0.25">
      <c r="A45" s="525"/>
      <c r="B45" s="322" t="s">
        <v>291</v>
      </c>
      <c r="C45" s="323"/>
      <c r="D45" s="324">
        <v>11213</v>
      </c>
      <c r="E45" s="325" t="s">
        <v>312</v>
      </c>
      <c r="F45" s="326">
        <v>44757</v>
      </c>
      <c r="G45" s="336"/>
      <c r="H45" s="327">
        <f t="shared" si="1"/>
        <v>11213</v>
      </c>
      <c r="I45" s="328"/>
    </row>
    <row r="46" spans="1:9" ht="18.600000000000001" customHeight="1" x14ac:dyDescent="0.25">
      <c r="A46" s="525"/>
      <c r="B46" s="289" t="s">
        <v>196</v>
      </c>
      <c r="C46" s="265" t="s">
        <v>197</v>
      </c>
      <c r="D46" s="114">
        <v>15.24</v>
      </c>
      <c r="E46" s="97" t="s">
        <v>198</v>
      </c>
      <c r="F46" s="115">
        <v>44761</v>
      </c>
      <c r="G46" s="283"/>
      <c r="H46" s="277">
        <f t="shared" si="1"/>
        <v>15.24</v>
      </c>
      <c r="I46" s="288"/>
    </row>
    <row r="47" spans="1:9" ht="18.600000000000001" customHeight="1" x14ac:dyDescent="0.25">
      <c r="A47" s="525"/>
      <c r="B47" s="289" t="s">
        <v>196</v>
      </c>
      <c r="C47" s="265" t="s">
        <v>313</v>
      </c>
      <c r="D47" s="110">
        <v>93.87</v>
      </c>
      <c r="E47" s="89"/>
      <c r="F47" s="111">
        <v>44761</v>
      </c>
      <c r="G47" s="282"/>
      <c r="H47" s="277">
        <f t="shared" si="1"/>
        <v>93.87</v>
      </c>
      <c r="I47" s="288"/>
    </row>
    <row r="48" spans="1:9" ht="18.600000000000001" customHeight="1" x14ac:dyDescent="0.25">
      <c r="A48" s="525"/>
      <c r="B48" s="322" t="s">
        <v>292</v>
      </c>
      <c r="C48" s="265" t="s">
        <v>293</v>
      </c>
      <c r="D48" s="337">
        <v>6024</v>
      </c>
      <c r="E48" s="338" t="s">
        <v>588</v>
      </c>
      <c r="F48" s="339">
        <v>44763</v>
      </c>
      <c r="G48" s="340"/>
      <c r="H48" s="327">
        <f t="shared" si="1"/>
        <v>6024</v>
      </c>
      <c r="I48" s="328"/>
    </row>
    <row r="49" spans="1:9" ht="18.600000000000001" customHeight="1" x14ac:dyDescent="0.25">
      <c r="A49" s="525"/>
      <c r="B49" s="322" t="s">
        <v>295</v>
      </c>
      <c r="C49" s="323"/>
      <c r="D49" s="324">
        <v>1799.9</v>
      </c>
      <c r="E49" s="325"/>
      <c r="F49" s="339">
        <v>44763</v>
      </c>
      <c r="G49" s="336"/>
      <c r="H49" s="327">
        <f t="shared" si="1"/>
        <v>1799.9</v>
      </c>
      <c r="I49" s="328">
        <v>44671</v>
      </c>
    </row>
    <row r="50" spans="1:9" ht="18.600000000000001" customHeight="1" x14ac:dyDescent="0.25">
      <c r="A50" s="525"/>
      <c r="B50" s="289" t="s">
        <v>282</v>
      </c>
      <c r="C50" s="265"/>
      <c r="D50" s="110">
        <v>31</v>
      </c>
      <c r="E50" s="89"/>
      <c r="F50" s="339">
        <v>44763</v>
      </c>
      <c r="G50" s="282"/>
      <c r="H50" s="277">
        <f t="shared" si="1"/>
        <v>31</v>
      </c>
      <c r="I50" s="288"/>
    </row>
    <row r="51" spans="1:9" ht="18.600000000000001" customHeight="1" x14ac:dyDescent="0.25">
      <c r="A51" s="525"/>
      <c r="B51" s="289" t="s">
        <v>282</v>
      </c>
      <c r="C51" s="265"/>
      <c r="D51" s="110">
        <v>31</v>
      </c>
      <c r="E51" s="89"/>
      <c r="F51" s="339">
        <v>44763</v>
      </c>
      <c r="G51" s="282"/>
      <c r="H51" s="277">
        <f t="shared" si="1"/>
        <v>31</v>
      </c>
      <c r="I51" s="288"/>
    </row>
    <row r="52" spans="1:9" ht="18.600000000000001" customHeight="1" x14ac:dyDescent="0.25">
      <c r="A52" s="525"/>
      <c r="B52" s="289" t="s">
        <v>282</v>
      </c>
      <c r="C52" s="265" t="s">
        <v>328</v>
      </c>
      <c r="D52" s="114">
        <v>31</v>
      </c>
      <c r="E52" s="97" t="s">
        <v>327</v>
      </c>
      <c r="F52" s="339">
        <v>44763</v>
      </c>
      <c r="G52" s="283"/>
      <c r="H52" s="277">
        <f t="shared" si="1"/>
        <v>31</v>
      </c>
      <c r="I52" s="288"/>
    </row>
    <row r="53" spans="1:9" ht="18.600000000000001" customHeight="1" x14ac:dyDescent="0.25">
      <c r="A53" s="525"/>
      <c r="B53" s="289" t="s">
        <v>140</v>
      </c>
      <c r="C53" s="265" t="s">
        <v>566</v>
      </c>
      <c r="D53" s="110">
        <v>2219.29</v>
      </c>
      <c r="E53" s="89"/>
      <c r="F53" s="111">
        <v>44769</v>
      </c>
      <c r="G53" s="282"/>
      <c r="H53" s="277">
        <f t="shared" si="1"/>
        <v>2219.29</v>
      </c>
      <c r="I53" s="288"/>
    </row>
    <row r="54" spans="1:9" ht="18.600000000000001" customHeight="1" x14ac:dyDescent="0.25">
      <c r="A54" s="525"/>
      <c r="B54" s="322" t="s">
        <v>294</v>
      </c>
      <c r="C54" s="265"/>
      <c r="D54" s="324">
        <v>2159.14</v>
      </c>
      <c r="E54" s="325" t="s">
        <v>697</v>
      </c>
      <c r="F54" s="111">
        <v>44769</v>
      </c>
      <c r="G54" s="336"/>
      <c r="H54" s="327">
        <f t="shared" si="1"/>
        <v>2159.14</v>
      </c>
      <c r="I54" s="328"/>
    </row>
    <row r="55" spans="1:9" ht="18.600000000000001" customHeight="1" x14ac:dyDescent="0.25">
      <c r="A55" s="525"/>
      <c r="B55" s="289" t="s">
        <v>430</v>
      </c>
      <c r="C55" s="265" t="s">
        <v>431</v>
      </c>
      <c r="D55" s="114">
        <v>1188</v>
      </c>
      <c r="E55" s="97" t="s">
        <v>432</v>
      </c>
      <c r="F55" s="111">
        <v>44769</v>
      </c>
      <c r="G55" s="283"/>
      <c r="H55" s="277">
        <f t="shared" si="1"/>
        <v>1188</v>
      </c>
      <c r="I55" s="288">
        <v>44677</v>
      </c>
    </row>
    <row r="56" spans="1:9" ht="18.600000000000001" customHeight="1" x14ac:dyDescent="0.25">
      <c r="A56" s="525"/>
      <c r="B56" s="289" t="s">
        <v>140</v>
      </c>
      <c r="C56" s="265" t="s">
        <v>684</v>
      </c>
      <c r="D56" s="110">
        <v>2219.29</v>
      </c>
      <c r="E56" s="89" t="s">
        <v>696</v>
      </c>
      <c r="F56" s="111">
        <v>44769</v>
      </c>
      <c r="G56" s="282"/>
      <c r="H56" s="277">
        <f t="shared" si="1"/>
        <v>2219.29</v>
      </c>
      <c r="I56" s="288" t="s">
        <v>695</v>
      </c>
    </row>
    <row r="57" spans="1:9" ht="18.600000000000001" customHeight="1" x14ac:dyDescent="0.25">
      <c r="A57" s="525"/>
      <c r="B57" s="289" t="s">
        <v>693</v>
      </c>
      <c r="C57" s="265" t="s">
        <v>694</v>
      </c>
      <c r="D57" s="110">
        <v>34.43</v>
      </c>
      <c r="E57" s="89" t="s">
        <v>698</v>
      </c>
      <c r="F57" s="111">
        <v>44769</v>
      </c>
      <c r="G57" s="282"/>
      <c r="H57" s="277">
        <f t="shared" si="1"/>
        <v>34.43</v>
      </c>
      <c r="I57" s="328">
        <v>44676</v>
      </c>
    </row>
    <row r="58" spans="1:9" ht="18.600000000000001" customHeight="1" x14ac:dyDescent="0.25">
      <c r="A58" s="525"/>
      <c r="B58" s="289" t="s">
        <v>285</v>
      </c>
      <c r="C58" s="265" t="s">
        <v>286</v>
      </c>
      <c r="D58" s="110">
        <v>5283.09</v>
      </c>
      <c r="E58" s="89"/>
      <c r="F58" s="111">
        <v>44769</v>
      </c>
      <c r="G58" s="282"/>
      <c r="H58" s="277">
        <f t="shared" si="1"/>
        <v>5283.09</v>
      </c>
      <c r="I58" s="288"/>
    </row>
    <row r="59" spans="1:9" ht="18.600000000000001" customHeight="1" x14ac:dyDescent="0.25">
      <c r="A59" s="525"/>
      <c r="B59" s="289" t="s">
        <v>318</v>
      </c>
      <c r="C59" s="265" t="s">
        <v>685</v>
      </c>
      <c r="D59" s="114">
        <v>58.93</v>
      </c>
      <c r="E59" s="97" t="s">
        <v>686</v>
      </c>
      <c r="F59" s="111">
        <v>44769</v>
      </c>
      <c r="G59" s="283"/>
      <c r="H59" s="277">
        <f t="shared" si="1"/>
        <v>58.93</v>
      </c>
      <c r="I59" s="288"/>
    </row>
    <row r="60" spans="1:9" ht="18.600000000000001" customHeight="1" x14ac:dyDescent="0.25">
      <c r="A60" s="525"/>
      <c r="B60" s="291" t="s">
        <v>423</v>
      </c>
      <c r="C60" s="265" t="s">
        <v>424</v>
      </c>
      <c r="D60" s="371">
        <v>936.1</v>
      </c>
      <c r="E60" s="97"/>
      <c r="F60" s="115">
        <v>44773</v>
      </c>
      <c r="G60" s="283"/>
      <c r="H60" s="277">
        <f t="shared" si="1"/>
        <v>936.1</v>
      </c>
      <c r="I60" s="288"/>
    </row>
    <row r="61" spans="1:9" ht="18.600000000000001" customHeight="1" x14ac:dyDescent="0.25">
      <c r="A61" s="525"/>
      <c r="B61" s="289" t="s">
        <v>514</v>
      </c>
      <c r="C61" s="265" t="s">
        <v>858</v>
      </c>
      <c r="D61" s="114">
        <v>495.07</v>
      </c>
      <c r="E61" s="97" t="s">
        <v>188</v>
      </c>
      <c r="F61" s="115">
        <v>44773</v>
      </c>
      <c r="G61" s="283"/>
      <c r="H61" s="277">
        <f t="shared" si="1"/>
        <v>495.07</v>
      </c>
      <c r="I61" s="288"/>
    </row>
    <row r="62" spans="1:9" ht="18.600000000000001" customHeight="1" x14ac:dyDescent="0.25">
      <c r="A62" s="525"/>
      <c r="B62" s="291"/>
      <c r="C62" s="265"/>
      <c r="D62" s="371"/>
      <c r="E62" s="97"/>
      <c r="F62" s="115"/>
      <c r="G62" s="283"/>
      <c r="H62" s="277">
        <f t="shared" si="1"/>
        <v>0</v>
      </c>
      <c r="I62" s="313"/>
    </row>
    <row r="63" spans="1:9" ht="18.600000000000001" customHeight="1" x14ac:dyDescent="0.25">
      <c r="A63" s="525"/>
      <c r="B63" s="291"/>
      <c r="C63" s="265"/>
      <c r="D63" s="371"/>
      <c r="E63" s="97"/>
      <c r="F63" s="115"/>
      <c r="G63" s="283"/>
      <c r="H63" s="277">
        <f t="shared" si="1"/>
        <v>0</v>
      </c>
      <c r="I63" s="372"/>
    </row>
    <row r="64" spans="1:9" ht="18.600000000000001" customHeight="1" x14ac:dyDescent="0.25">
      <c r="A64" s="525"/>
      <c r="B64" s="384"/>
      <c r="C64" s="265"/>
      <c r="D64" s="371"/>
      <c r="E64" s="97"/>
      <c r="F64" s="115"/>
      <c r="G64" s="283"/>
      <c r="H64" s="277">
        <f t="shared" si="1"/>
        <v>0</v>
      </c>
      <c r="I64" s="372"/>
    </row>
    <row r="65" spans="1:9" ht="18.600000000000001" customHeight="1" x14ac:dyDescent="0.25">
      <c r="A65" s="525"/>
      <c r="B65" s="291"/>
      <c r="C65" s="265"/>
      <c r="D65" s="371"/>
      <c r="E65" s="97"/>
      <c r="F65" s="115"/>
      <c r="G65" s="283"/>
      <c r="H65" s="277">
        <f t="shared" si="1"/>
        <v>0</v>
      </c>
      <c r="I65" s="372"/>
    </row>
    <row r="66" spans="1:9" ht="18.600000000000001" customHeight="1" x14ac:dyDescent="0.25">
      <c r="A66" s="525"/>
      <c r="B66" s="291" t="s">
        <v>854</v>
      </c>
      <c r="C66" s="265"/>
      <c r="D66" s="371">
        <v>40000</v>
      </c>
      <c r="E66" s="97"/>
      <c r="F66" s="115"/>
      <c r="G66" s="283"/>
      <c r="H66" s="277">
        <f t="shared" si="1"/>
        <v>40000</v>
      </c>
      <c r="I66" s="288"/>
    </row>
    <row r="67" spans="1:9" ht="18.600000000000001" customHeight="1" x14ac:dyDescent="0.25">
      <c r="A67" s="525"/>
      <c r="B67" s="289"/>
      <c r="C67" s="265"/>
      <c r="D67" s="110"/>
      <c r="E67" s="89"/>
      <c r="F67" s="111"/>
      <c r="G67" s="281"/>
      <c r="H67" s="277">
        <f t="shared" si="1"/>
        <v>0</v>
      </c>
      <c r="I67" s="288"/>
    </row>
    <row r="68" spans="1:9" ht="18.600000000000001" customHeight="1" thickBot="1" x14ac:dyDescent="0.3">
      <c r="A68" s="525"/>
      <c r="B68" s="380"/>
      <c r="C68" s="381"/>
      <c r="D68" s="381"/>
      <c r="E68" s="376"/>
      <c r="F68" s="377"/>
      <c r="G68" s="378"/>
      <c r="H68" s="277">
        <f t="shared" si="1"/>
        <v>0</v>
      </c>
      <c r="I68" s="383"/>
    </row>
    <row r="69" spans="1:9" ht="18.600000000000001" customHeight="1" thickTop="1" thickBot="1" x14ac:dyDescent="0.3">
      <c r="A69" s="525"/>
      <c r="B69" s="374" t="s">
        <v>140</v>
      </c>
      <c r="C69" s="380"/>
      <c r="D69" s="375">
        <f>SUM(D29:D66)</f>
        <v>81507.760000000009</v>
      </c>
      <c r="E69" s="376"/>
      <c r="F69" s="377"/>
      <c r="G69" s="378"/>
      <c r="H69" s="373">
        <f>+SUM(H29:H61)</f>
        <v>41507.760000000002</v>
      </c>
      <c r="I69" s="379"/>
    </row>
    <row r="70" spans="1:9" ht="18.600000000000001" customHeight="1" thickTop="1" x14ac:dyDescent="0.25">
      <c r="A70" s="522"/>
      <c r="B70" s="103" t="s">
        <v>536</v>
      </c>
      <c r="C70" s="265"/>
      <c r="D70" s="110">
        <v>1100</v>
      </c>
      <c r="E70" s="89" t="s">
        <v>537</v>
      </c>
      <c r="F70" s="111">
        <v>44748</v>
      </c>
      <c r="G70" s="281"/>
      <c r="H70" s="277">
        <f t="shared" ref="H70:H95" si="2">D70-G70</f>
        <v>1100</v>
      </c>
      <c r="I70" s="109"/>
    </row>
    <row r="71" spans="1:9" ht="18.600000000000001" customHeight="1" x14ac:dyDescent="0.25">
      <c r="A71" s="522"/>
      <c r="B71" s="329" t="s">
        <v>545</v>
      </c>
      <c r="C71" s="330"/>
      <c r="D71" s="331">
        <v>500</v>
      </c>
      <c r="E71" s="332" t="s">
        <v>394</v>
      </c>
      <c r="F71" s="111">
        <v>44748</v>
      </c>
      <c r="G71" s="333"/>
      <c r="H71" s="277">
        <f t="shared" si="2"/>
        <v>500</v>
      </c>
      <c r="I71" s="335"/>
    </row>
    <row r="72" spans="1:9" ht="18.600000000000001" customHeight="1" x14ac:dyDescent="0.25">
      <c r="A72" s="522"/>
      <c r="B72" s="341" t="s">
        <v>592</v>
      </c>
      <c r="C72" s="342"/>
      <c r="D72" s="331">
        <v>2100</v>
      </c>
      <c r="E72" s="332" t="s">
        <v>594</v>
      </c>
      <c r="F72" s="111">
        <v>44748</v>
      </c>
      <c r="G72" s="343"/>
      <c r="H72" s="277">
        <f t="shared" si="2"/>
        <v>2100</v>
      </c>
      <c r="I72" s="344"/>
    </row>
    <row r="73" spans="1:9" ht="18.600000000000001" customHeight="1" x14ac:dyDescent="0.25">
      <c r="A73" s="522"/>
      <c r="B73" s="341" t="s">
        <v>509</v>
      </c>
      <c r="C73" s="342"/>
      <c r="D73" s="331">
        <v>600</v>
      </c>
      <c r="E73" s="332" t="s">
        <v>508</v>
      </c>
      <c r="F73" s="111">
        <v>44748</v>
      </c>
      <c r="G73" s="343"/>
      <c r="H73" s="277">
        <f>D73-G73</f>
        <v>600</v>
      </c>
      <c r="I73" s="344"/>
    </row>
    <row r="74" spans="1:9" ht="18.600000000000001" customHeight="1" x14ac:dyDescent="0.25">
      <c r="A74" s="522"/>
      <c r="B74" s="103"/>
      <c r="C74" s="269"/>
      <c r="D74" s="110"/>
      <c r="E74" s="89"/>
      <c r="F74" s="111"/>
      <c r="G74" s="283"/>
      <c r="H74" s="277">
        <f t="shared" ref="H74:H79" si="3">D74-G74</f>
        <v>0</v>
      </c>
      <c r="I74" s="112"/>
    </row>
    <row r="75" spans="1:9" ht="18.600000000000001" customHeight="1" x14ac:dyDescent="0.25">
      <c r="A75" s="522"/>
      <c r="B75" s="103"/>
      <c r="C75" s="269"/>
      <c r="D75" s="110"/>
      <c r="E75" s="89"/>
      <c r="F75" s="111"/>
      <c r="G75" s="283"/>
      <c r="H75" s="277">
        <f t="shared" si="3"/>
        <v>0</v>
      </c>
      <c r="I75" s="313"/>
    </row>
    <row r="76" spans="1:9" ht="18.600000000000001" customHeight="1" x14ac:dyDescent="0.25">
      <c r="A76" s="522"/>
      <c r="B76" s="103"/>
      <c r="C76" s="265"/>
      <c r="D76" s="118"/>
      <c r="E76" s="89"/>
      <c r="F76" s="111"/>
      <c r="G76" s="280"/>
      <c r="H76" s="277">
        <f t="shared" si="3"/>
        <v>0</v>
      </c>
      <c r="I76" s="112"/>
    </row>
    <row r="77" spans="1:9" ht="18.600000000000001" customHeight="1" x14ac:dyDescent="0.25">
      <c r="A77" s="522"/>
      <c r="B77" s="289"/>
      <c r="C77" s="265"/>
      <c r="D77" s="110"/>
      <c r="E77" s="89"/>
      <c r="F77" s="111"/>
      <c r="G77" s="281"/>
      <c r="H77" s="277">
        <f t="shared" si="3"/>
        <v>0</v>
      </c>
      <c r="I77" s="288"/>
    </row>
    <row r="78" spans="1:9" ht="18.600000000000001" customHeight="1" x14ac:dyDescent="0.25">
      <c r="A78" s="522"/>
      <c r="B78" s="102"/>
      <c r="C78" s="265"/>
      <c r="D78" s="110"/>
      <c r="E78" s="89"/>
      <c r="F78" s="111"/>
      <c r="G78" s="281"/>
      <c r="H78" s="277">
        <f t="shared" si="3"/>
        <v>0</v>
      </c>
      <c r="I78" s="109"/>
    </row>
    <row r="79" spans="1:9" ht="18.600000000000001" customHeight="1" x14ac:dyDescent="0.25">
      <c r="A79" s="522"/>
      <c r="B79" s="102"/>
      <c r="C79" s="265"/>
      <c r="D79" s="110"/>
      <c r="E79" s="385"/>
      <c r="F79" s="111"/>
      <c r="G79" s="281"/>
      <c r="H79" s="277">
        <f t="shared" si="3"/>
        <v>0</v>
      </c>
      <c r="I79" s="288"/>
    </row>
    <row r="80" spans="1:9" ht="18.600000000000001" customHeight="1" x14ac:dyDescent="0.25">
      <c r="A80" s="522"/>
      <c r="B80" s="102"/>
      <c r="C80" s="265"/>
      <c r="D80" s="110"/>
      <c r="E80" s="89"/>
      <c r="F80" s="111"/>
      <c r="G80" s="281"/>
      <c r="H80" s="277">
        <f t="shared" si="2"/>
        <v>0</v>
      </c>
      <c r="I80" s="109"/>
    </row>
    <row r="81" spans="1:9" ht="18.600000000000001" customHeight="1" x14ac:dyDescent="0.25">
      <c r="A81" s="522"/>
      <c r="B81" s="102"/>
      <c r="C81" s="265"/>
      <c r="D81" s="110"/>
      <c r="E81" s="89"/>
      <c r="F81" s="111"/>
      <c r="G81" s="281"/>
      <c r="H81" s="277">
        <f t="shared" si="2"/>
        <v>0</v>
      </c>
      <c r="I81" s="109"/>
    </row>
    <row r="82" spans="1:9" ht="18.600000000000001" customHeight="1" x14ac:dyDescent="0.25">
      <c r="A82" s="522"/>
      <c r="B82" s="103"/>
      <c r="C82" s="269"/>
      <c r="D82" s="110"/>
      <c r="E82" s="89"/>
      <c r="F82" s="117"/>
      <c r="G82" s="281"/>
      <c r="H82" s="277">
        <f t="shared" si="2"/>
        <v>0</v>
      </c>
      <c r="I82" s="112"/>
    </row>
    <row r="83" spans="1:9" ht="18.600000000000001" customHeight="1" x14ac:dyDescent="0.25">
      <c r="A83" s="522"/>
      <c r="B83" s="103"/>
      <c r="C83" s="269"/>
      <c r="D83" s="110"/>
      <c r="E83" s="89"/>
      <c r="F83" s="117"/>
      <c r="G83" s="281"/>
      <c r="H83" s="277">
        <f t="shared" si="2"/>
        <v>0</v>
      </c>
      <c r="I83" s="112"/>
    </row>
    <row r="84" spans="1:9" ht="18.600000000000001" customHeight="1" x14ac:dyDescent="0.25">
      <c r="A84" s="522"/>
      <c r="B84" s="103"/>
      <c r="C84" s="269"/>
      <c r="D84" s="110"/>
      <c r="E84" s="89"/>
      <c r="F84" s="117"/>
      <c r="G84" s="281"/>
      <c r="H84" s="277">
        <f t="shared" si="2"/>
        <v>0</v>
      </c>
      <c r="I84" s="112"/>
    </row>
    <row r="85" spans="1:9" ht="18.600000000000001" customHeight="1" x14ac:dyDescent="0.25">
      <c r="A85" s="522"/>
      <c r="B85" s="103"/>
      <c r="C85" s="269"/>
      <c r="D85" s="110"/>
      <c r="E85" s="89"/>
      <c r="F85" s="117"/>
      <c r="G85" s="281"/>
      <c r="H85" s="277">
        <f t="shared" si="2"/>
        <v>0</v>
      </c>
      <c r="I85" s="112"/>
    </row>
    <row r="86" spans="1:9" ht="20.25" customHeight="1" x14ac:dyDescent="0.25">
      <c r="A86" s="522"/>
      <c r="B86" s="103"/>
      <c r="C86" s="269"/>
      <c r="D86" s="110"/>
      <c r="E86" s="89"/>
      <c r="F86" s="117"/>
      <c r="G86" s="281"/>
      <c r="H86" s="277">
        <f t="shared" si="2"/>
        <v>0</v>
      </c>
      <c r="I86" s="112"/>
    </row>
    <row r="87" spans="1:9" ht="20.25" customHeight="1" x14ac:dyDescent="0.25">
      <c r="A87" s="522"/>
      <c r="B87" s="103"/>
      <c r="C87" s="269"/>
      <c r="D87" s="110"/>
      <c r="E87" s="89"/>
      <c r="F87" s="117"/>
      <c r="G87" s="281"/>
      <c r="H87" s="277">
        <f t="shared" si="2"/>
        <v>0</v>
      </c>
      <c r="I87" s="112"/>
    </row>
    <row r="88" spans="1:9" ht="20.25" customHeight="1" x14ac:dyDescent="0.25">
      <c r="A88" s="522"/>
      <c r="B88" s="103"/>
      <c r="C88" s="269"/>
      <c r="D88" s="110"/>
      <c r="E88" s="89"/>
      <c r="F88" s="117"/>
      <c r="G88" s="282"/>
      <c r="H88" s="277">
        <f t="shared" si="2"/>
        <v>0</v>
      </c>
      <c r="I88" s="112"/>
    </row>
    <row r="89" spans="1:9" ht="20.25" customHeight="1" x14ac:dyDescent="0.25">
      <c r="A89" s="522"/>
      <c r="B89" s="103"/>
      <c r="C89" s="269"/>
      <c r="D89" s="110"/>
      <c r="E89" s="89"/>
      <c r="F89" s="117"/>
      <c r="G89" s="282"/>
      <c r="H89" s="277">
        <f t="shared" si="2"/>
        <v>0</v>
      </c>
      <c r="I89" s="112"/>
    </row>
    <row r="90" spans="1:9" ht="20.25" customHeight="1" x14ac:dyDescent="0.25">
      <c r="A90" s="522"/>
      <c r="B90" s="103"/>
      <c r="C90" s="269"/>
      <c r="D90" s="110"/>
      <c r="E90" s="89"/>
      <c r="F90" s="117"/>
      <c r="G90" s="282"/>
      <c r="H90" s="277">
        <f t="shared" si="2"/>
        <v>0</v>
      </c>
      <c r="I90" s="313"/>
    </row>
    <row r="91" spans="1:9" ht="20.25" customHeight="1" x14ac:dyDescent="0.25">
      <c r="A91" s="522"/>
      <c r="B91" s="103"/>
      <c r="C91" s="269"/>
      <c r="D91" s="110"/>
      <c r="E91" s="89"/>
      <c r="F91" s="117"/>
      <c r="G91" s="282"/>
      <c r="H91" s="277">
        <f t="shared" si="2"/>
        <v>0</v>
      </c>
      <c r="I91" s="112"/>
    </row>
    <row r="92" spans="1:9" ht="20.25" customHeight="1" x14ac:dyDescent="0.25">
      <c r="A92" s="522"/>
      <c r="B92" s="103"/>
      <c r="C92" s="269"/>
      <c r="D92" s="110"/>
      <c r="E92" s="89"/>
      <c r="F92" s="117"/>
      <c r="G92" s="282"/>
      <c r="H92" s="277">
        <f t="shared" si="2"/>
        <v>0</v>
      </c>
      <c r="I92" s="313"/>
    </row>
    <row r="93" spans="1:9" ht="20.25" customHeight="1" x14ac:dyDescent="0.25">
      <c r="A93" s="522"/>
      <c r="B93" s="103"/>
      <c r="C93" s="269"/>
      <c r="D93" s="110"/>
      <c r="E93" s="101"/>
      <c r="F93" s="117"/>
      <c r="G93" s="282"/>
      <c r="H93" s="277">
        <f t="shared" si="2"/>
        <v>0</v>
      </c>
      <c r="I93" s="313"/>
    </row>
    <row r="94" spans="1:9" ht="20.25" customHeight="1" x14ac:dyDescent="0.25">
      <c r="A94" s="522"/>
      <c r="B94" s="102"/>
      <c r="C94" s="265"/>
      <c r="D94" s="110"/>
      <c r="E94" s="89"/>
      <c r="F94" s="111"/>
      <c r="G94" s="282"/>
      <c r="H94" s="277">
        <f t="shared" si="2"/>
        <v>0</v>
      </c>
      <c r="I94" s="109"/>
    </row>
    <row r="95" spans="1:9" ht="20.25" customHeight="1" x14ac:dyDescent="0.25">
      <c r="A95" s="522"/>
      <c r="B95" s="103"/>
      <c r="C95" s="269"/>
      <c r="D95" s="110"/>
      <c r="E95" s="93"/>
      <c r="F95" s="117"/>
      <c r="G95" s="282"/>
      <c r="H95" s="277">
        <f t="shared" si="2"/>
        <v>0</v>
      </c>
      <c r="I95" s="313"/>
    </row>
    <row r="96" spans="1:9" ht="20.25" customHeight="1" x14ac:dyDescent="0.25">
      <c r="A96" s="522"/>
      <c r="B96" s="103"/>
      <c r="C96" s="269"/>
      <c r="D96" s="110"/>
      <c r="E96" s="101"/>
      <c r="F96" s="117"/>
      <c r="G96" s="282"/>
      <c r="H96" s="277"/>
      <c r="I96" s="112"/>
    </row>
    <row r="97" spans="1:9" ht="20.25" customHeight="1" x14ac:dyDescent="0.25">
      <c r="A97" s="522"/>
      <c r="B97" s="103"/>
      <c r="C97" s="269"/>
      <c r="D97" s="110"/>
      <c r="E97" s="101"/>
      <c r="F97" s="117"/>
      <c r="G97" s="282"/>
      <c r="H97" s="277">
        <f>D97-G97</f>
        <v>0</v>
      </c>
      <c r="I97" s="112"/>
    </row>
    <row r="98" spans="1:9" ht="20.25" customHeight="1" x14ac:dyDescent="0.25">
      <c r="A98" s="522"/>
      <c r="B98" s="103"/>
      <c r="C98" s="269"/>
      <c r="D98" s="110"/>
      <c r="E98" s="101"/>
      <c r="F98" s="117"/>
      <c r="G98" s="282"/>
      <c r="H98" s="277">
        <f>D98-G98</f>
        <v>0</v>
      </c>
      <c r="I98" s="112"/>
    </row>
    <row r="99" spans="1:9" ht="18.600000000000001" customHeight="1" x14ac:dyDescent="0.25">
      <c r="A99" s="522"/>
      <c r="B99" s="260" t="s">
        <v>140</v>
      </c>
      <c r="C99" s="268"/>
      <c r="D99" s="261">
        <f>SUM(D70:D98)</f>
        <v>4300</v>
      </c>
      <c r="E99" s="262"/>
      <c r="F99" s="263"/>
      <c r="G99" s="286"/>
      <c r="H99" s="300">
        <f>+SUM(H70:H90)</f>
        <v>4300</v>
      </c>
      <c r="I99" s="255"/>
    </row>
    <row r="100" spans="1:9" ht="21" customHeight="1" x14ac:dyDescent="0.25">
      <c r="A100" s="304"/>
      <c r="B100" s="305"/>
      <c r="C100" s="306"/>
      <c r="D100" s="307"/>
      <c r="E100" s="84"/>
    </row>
    <row r="101" spans="1:9" ht="21" customHeight="1" x14ac:dyDescent="0.25">
      <c r="A101" s="119" t="s">
        <v>126</v>
      </c>
      <c r="B101" s="104"/>
      <c r="C101" s="271"/>
      <c r="D101" s="274">
        <f>+SUM(D99+D69+D28)</f>
        <v>85807.760000000009</v>
      </c>
      <c r="H101" s="274">
        <f>+SUM(H99+H69+H28)</f>
        <v>45807.76</v>
      </c>
    </row>
  </sheetData>
  <mergeCells count="7">
    <mergeCell ref="A70:A99"/>
    <mergeCell ref="A2:A27"/>
    <mergeCell ref="K8:M8"/>
    <mergeCell ref="K10:L10"/>
    <mergeCell ref="K13:M13"/>
    <mergeCell ref="K16:M16"/>
    <mergeCell ref="A29:A69"/>
  </mergeCells>
  <conditionalFormatting sqref="C70:E70 C19:E19 B23 I12:I13 B2:I2 B73:D74 B77:D77 B82:D92 F82:G92 B93:G99 B71:E72 B53:G53 B68:G69 B78:G81 F3:F23 G3:G19 I3:I10 B3:E18 H3:H27 B60:G65 I70:I99 H29:H44 B41:G41 I43 B46:G46 I46 B48:G48 I48 C75:D76 B42:E43 G42:G43 F70:G77 I60:I65 I68 H46:H68 H70:H98">
    <cfRule type="expression" dxfId="135" priority="150">
      <formula>MOD(ROW(),2)=1</formula>
    </cfRule>
  </conditionalFormatting>
  <conditionalFormatting sqref="F2:G11">
    <cfRule type="timePeriod" dxfId="134" priority="145" timePeriod="yesterday">
      <formula>FLOOR(F2,1)=TODAY()-1</formula>
    </cfRule>
    <cfRule type="timePeriod" dxfId="133" priority="147" timePeriod="today">
      <formula>FLOOR(F2,1)=TODAY()</formula>
    </cfRule>
    <cfRule type="cellIs" dxfId="132" priority="148" operator="lessThan">
      <formula>_xludf.today()</formula>
    </cfRule>
  </conditionalFormatting>
  <conditionalFormatting sqref="F20:F23 F53:G53 F2:G19 F60:G65 F41:G41 F46:G46 F48:G48 G42:G43 F68:G99">
    <cfRule type="cellIs" dxfId="131" priority="140" operator="lessThan">
      <formula>TODAY()</formula>
    </cfRule>
    <cfRule type="timePeriod" dxfId="130" priority="141" timePeriod="last7Days">
      <formula>AND(TODAY()-FLOOR(F2,1)&lt;=6,FLOOR(F2,1)&lt;=TODAY())</formula>
    </cfRule>
    <cfRule type="timePeriod" dxfId="129" priority="142" timePeriod="yesterday">
      <formula>FLOOR(F2,1)=TODAY()-1</formula>
    </cfRule>
    <cfRule type="timePeriod" dxfId="128" priority="143" timePeriod="lastMonth">
      <formula>AND(MONTH(F2)=MONTH(EDATE(TODAY(),0-1)),YEAR(F2)=YEAR(EDATE(TODAY(),0-1)))</formula>
    </cfRule>
    <cfRule type="timePeriod" dxfId="127" priority="144" timePeriod="yesterday">
      <formula>FLOOR(F2,1)=TODAY()-1</formula>
    </cfRule>
    <cfRule type="timePeriod" dxfId="126" priority="146" timePeriod="today">
      <formula>FLOOR(F2,1)=TODAY()</formula>
    </cfRule>
  </conditionalFormatting>
  <conditionalFormatting sqref="B70">
    <cfRule type="expression" dxfId="125" priority="139">
      <formula>MOD(ROW(),2)=1</formula>
    </cfRule>
  </conditionalFormatting>
  <conditionalFormatting sqref="F12:G12">
    <cfRule type="timePeriod" dxfId="124" priority="136" timePeriod="yesterday">
      <formula>FLOOR(F12,1)=TODAY()-1</formula>
    </cfRule>
    <cfRule type="timePeriod" dxfId="123" priority="137" timePeriod="today">
      <formula>FLOOR(F12,1)=TODAY()</formula>
    </cfRule>
    <cfRule type="cellIs" dxfId="122" priority="138" operator="lessThan">
      <formula>_xludf.today()</formula>
    </cfRule>
  </conditionalFormatting>
  <conditionalFormatting sqref="F13:G13">
    <cfRule type="timePeriod" dxfId="121" priority="133" timePeriod="yesterday">
      <formula>FLOOR(F13,1)=TODAY()-1</formula>
    </cfRule>
    <cfRule type="timePeriod" dxfId="120" priority="134" timePeriod="today">
      <formula>FLOOR(F13,1)=TODAY()</formula>
    </cfRule>
    <cfRule type="cellIs" dxfId="119" priority="135" operator="lessThan">
      <formula>_xludf.today()</formula>
    </cfRule>
  </conditionalFormatting>
  <conditionalFormatting sqref="B20:G23 B24:C24 F24:G24">
    <cfRule type="expression" dxfId="118" priority="132">
      <formula>MOD(ROW(),2)=1</formula>
    </cfRule>
  </conditionalFormatting>
  <conditionalFormatting sqref="F20:G24">
    <cfRule type="cellIs" dxfId="117" priority="126" operator="lessThan">
      <formula>TODAY()</formula>
    </cfRule>
    <cfRule type="timePeriod" dxfId="116" priority="127" timePeriod="last7Days">
      <formula>AND(TODAY()-FLOOR(F20,1)&lt;=6,FLOOR(F20,1)&lt;=TODAY())</formula>
    </cfRule>
    <cfRule type="timePeriod" dxfId="115" priority="128" timePeriod="yesterday">
      <formula>FLOOR(F20,1)=TODAY()-1</formula>
    </cfRule>
    <cfRule type="timePeriod" dxfId="114" priority="129" timePeriod="lastMonth">
      <formula>AND(MONTH(F20)=MONTH(EDATE(TODAY(),0-1)),YEAR(F20)=YEAR(EDATE(TODAY(),0-1)))</formula>
    </cfRule>
    <cfRule type="timePeriod" dxfId="113" priority="130" timePeriod="yesterday">
      <formula>FLOOR(F20,1)=TODAY()-1</formula>
    </cfRule>
    <cfRule type="timePeriod" dxfId="112" priority="131" timePeriod="today">
      <formula>FLOOR(F20,1)=TODAY()</formula>
    </cfRule>
  </conditionalFormatting>
  <conditionalFormatting sqref="B25:G27">
    <cfRule type="expression" dxfId="111" priority="125">
      <formula>MOD(ROW(),2)=1</formula>
    </cfRule>
  </conditionalFormatting>
  <conditionalFormatting sqref="F25:G27">
    <cfRule type="cellIs" dxfId="110" priority="119" operator="lessThan">
      <formula>TODAY()</formula>
    </cfRule>
    <cfRule type="timePeriod" dxfId="109" priority="120" timePeriod="last7Days">
      <formula>AND(TODAY()-FLOOR(F25,1)&lt;=6,FLOOR(F25,1)&lt;=TODAY())</formula>
    </cfRule>
    <cfRule type="timePeriod" dxfId="108" priority="121" timePeriod="yesterday">
      <formula>FLOOR(F25,1)=TODAY()-1</formula>
    </cfRule>
    <cfRule type="timePeriod" dxfId="107" priority="122" timePeriod="lastMonth">
      <formula>AND(MONTH(F25)=MONTH(EDATE(TODAY(),0-1)),YEAR(F25)=YEAR(EDATE(TODAY(),0-1)))</formula>
    </cfRule>
    <cfRule type="timePeriod" dxfId="106" priority="123" timePeriod="yesterday">
      <formula>FLOOR(F25,1)=TODAY()-1</formula>
    </cfRule>
    <cfRule type="timePeriod" dxfId="105" priority="124" timePeriod="today">
      <formula>FLOOR(F25,1)=TODAY()</formula>
    </cfRule>
  </conditionalFormatting>
  <conditionalFormatting sqref="I14:I24">
    <cfRule type="expression" dxfId="104" priority="114">
      <formula>MOD(ROW(),2)=1</formula>
    </cfRule>
  </conditionalFormatting>
  <conditionalFormatting sqref="B75:B76">
    <cfRule type="expression" dxfId="103" priority="110">
      <formula>MOD(ROW(),2)=1</formula>
    </cfRule>
  </conditionalFormatting>
  <conditionalFormatting sqref="E76">
    <cfRule type="expression" dxfId="102" priority="109">
      <formula>MOD(ROW(),2)=1</formula>
    </cfRule>
  </conditionalFormatting>
  <conditionalFormatting sqref="F13:F14">
    <cfRule type="timePeriod" dxfId="101" priority="106" timePeriod="yesterday">
      <formula>FLOOR(F13,1)=TODAY()-1</formula>
    </cfRule>
    <cfRule type="timePeriod" dxfId="100" priority="107" timePeriod="today">
      <formula>FLOOR(F13,1)=TODAY()</formula>
    </cfRule>
    <cfRule type="cellIs" dxfId="99" priority="108" operator="lessThan">
      <formula>_xludf.today()</formula>
    </cfRule>
  </conditionalFormatting>
  <conditionalFormatting sqref="F15">
    <cfRule type="timePeriod" dxfId="98" priority="103" timePeriod="yesterday">
      <formula>FLOOR(F15,1)=TODAY()-1</formula>
    </cfRule>
    <cfRule type="timePeriod" dxfId="97" priority="104" timePeriod="today">
      <formula>FLOOR(F15,1)=TODAY()</formula>
    </cfRule>
    <cfRule type="cellIs" dxfId="96" priority="105" operator="lessThan">
      <formula>_xludf.today()</formula>
    </cfRule>
  </conditionalFormatting>
  <conditionalFormatting sqref="F18">
    <cfRule type="timePeriod" dxfId="95" priority="100" timePeriod="yesterday">
      <formula>FLOOR(F18,1)=TODAY()-1</formula>
    </cfRule>
    <cfRule type="timePeriod" dxfId="94" priority="101" timePeriod="today">
      <formula>FLOOR(F18,1)=TODAY()</formula>
    </cfRule>
    <cfRule type="cellIs" dxfId="93" priority="102" operator="lessThan">
      <formula>_xludf.today()</formula>
    </cfRule>
  </conditionalFormatting>
  <conditionalFormatting sqref="B19">
    <cfRule type="expression" dxfId="92" priority="99">
      <formula>MOD(ROW(),2)=1</formula>
    </cfRule>
  </conditionalFormatting>
  <conditionalFormatting sqref="B19">
    <cfRule type="expression" dxfId="91" priority="98">
      <formula>MOD(ROW(),2)=1</formula>
    </cfRule>
  </conditionalFormatting>
  <conditionalFormatting sqref="B20:B22">
    <cfRule type="expression" dxfId="90" priority="97">
      <formula>MOD(ROW(),2)=1</formula>
    </cfRule>
  </conditionalFormatting>
  <conditionalFormatting sqref="I69">
    <cfRule type="expression" dxfId="89" priority="96">
      <formula>MOD(ROW(),2)=1</formula>
    </cfRule>
  </conditionalFormatting>
  <conditionalFormatting sqref="I69">
    <cfRule type="expression" dxfId="88" priority="95">
      <formula>MOD(ROW(),2)=1</formula>
    </cfRule>
  </conditionalFormatting>
  <conditionalFormatting sqref="H69">
    <cfRule type="expression" dxfId="87" priority="94">
      <formula>MOD(ROW(),2)=1</formula>
    </cfRule>
  </conditionalFormatting>
  <conditionalFormatting sqref="H99">
    <cfRule type="expression" dxfId="86" priority="93">
      <formula>MOD(ROW(),2)=1</formula>
    </cfRule>
  </conditionalFormatting>
  <conditionalFormatting sqref="I25:I27">
    <cfRule type="expression" dxfId="85" priority="92">
      <formula>MOD(ROW(),2)=1</formula>
    </cfRule>
  </conditionalFormatting>
  <conditionalFormatting sqref="I11">
    <cfRule type="expression" dxfId="84" priority="90">
      <formula>MOD(ROW(),2)=1</formula>
    </cfRule>
  </conditionalFormatting>
  <conditionalFormatting sqref="D29:G29 D32:E33 D36:E37 D40:G40 D51:E52 D54:E55 D58:E59 G58:G59 G54:G55 G51:G52 G36:G37 G32:G33">
    <cfRule type="expression" dxfId="83" priority="89">
      <formula>MOD(ROW(),2)=1</formula>
    </cfRule>
  </conditionalFormatting>
  <conditionalFormatting sqref="F29:G29 G32:G33 G36:G37 F40:G40 G51:G52 G54:G55 G58:G59">
    <cfRule type="cellIs" dxfId="82" priority="83" operator="lessThan">
      <formula>TODAY()</formula>
    </cfRule>
    <cfRule type="timePeriod" dxfId="81" priority="84" timePeriod="last7Days">
      <formula>AND(TODAY()-FLOOR(F29,1)&lt;=6,FLOOR(F29,1)&lt;=TODAY())</formula>
    </cfRule>
    <cfRule type="timePeriod" dxfId="80" priority="85" timePeriod="yesterday">
      <formula>FLOOR(F29,1)=TODAY()-1</formula>
    </cfRule>
    <cfRule type="timePeriod" dxfId="79" priority="86" timePeriod="lastMonth">
      <formula>AND(MONTH(F29)=MONTH(EDATE(TODAY(),0-1)),YEAR(F29)=YEAR(EDATE(TODAY(),0-1)))</formula>
    </cfRule>
    <cfRule type="timePeriod" dxfId="78" priority="87" timePeriod="yesterday">
      <formula>FLOOR(F29,1)=TODAY()-1</formula>
    </cfRule>
    <cfRule type="timePeriod" dxfId="77" priority="88" timePeriod="today">
      <formula>FLOOR(F29,1)=TODAY()</formula>
    </cfRule>
  </conditionalFormatting>
  <conditionalFormatting sqref="B30:G30 B34:E35 B39:G39 B44:E44 B47:G47 B49:E50 B56:E57 B29:C29 B32:C33 B36:C37 B40:C40 B51:C52 B54:C55 B58:C59 G56:G57 G49:G50 B38:E38 G38 G34:G35 B31:E31 G31 G44">
    <cfRule type="expression" dxfId="76" priority="82">
      <formula>MOD(ROW(),2)=1</formula>
    </cfRule>
  </conditionalFormatting>
  <conditionalFormatting sqref="F30:G30 G34:G35 F39:G39 G44 F47:G47 G49:G50 G56:G57 G38 G31">
    <cfRule type="cellIs" dxfId="75" priority="76" operator="lessThan">
      <formula>TODAY()</formula>
    </cfRule>
    <cfRule type="timePeriod" dxfId="74" priority="77" timePeriod="last7Days">
      <formula>AND(TODAY()-FLOOR(F30,1)&lt;=6,FLOOR(F30,1)&lt;=TODAY())</formula>
    </cfRule>
    <cfRule type="timePeriod" dxfId="73" priority="78" timePeriod="yesterday">
      <formula>FLOOR(F30,1)=TODAY()-1</formula>
    </cfRule>
    <cfRule type="timePeriod" dxfId="72" priority="79" timePeriod="lastMonth">
      <formula>AND(MONTH(F30)=MONTH(EDATE(TODAY(),0-1)),YEAR(F30)=YEAR(EDATE(TODAY(),0-1)))</formula>
    </cfRule>
    <cfRule type="timePeriod" dxfId="71" priority="80" timePeriod="yesterday">
      <formula>FLOOR(F30,1)=TODAY()-1</formula>
    </cfRule>
    <cfRule type="timePeriod" dxfId="70" priority="81" timePeriod="today">
      <formula>FLOOR(F30,1)=TODAY()</formula>
    </cfRule>
  </conditionalFormatting>
  <conditionalFormatting sqref="I30 I34 I38 I41 I44 I47 I49 I94">
    <cfRule type="expression" dxfId="69" priority="74">
      <formula>MOD(ROW(),2)=1</formula>
    </cfRule>
  </conditionalFormatting>
  <conditionalFormatting sqref="I31 I35 I39 I42 I45 I50 I53 I57">
    <cfRule type="expression" dxfId="68" priority="73">
      <formula>MOD(ROW(),2)=1</formula>
    </cfRule>
  </conditionalFormatting>
  <conditionalFormatting sqref="I29 I32:I33 I36:I37 I40 I51:I52 I54:I55 I58:I59">
    <cfRule type="expression" dxfId="67" priority="72">
      <formula>MOD(ROW(),2)=1</formula>
    </cfRule>
  </conditionalFormatting>
  <conditionalFormatting sqref="E73:E75">
    <cfRule type="expression" dxfId="66" priority="71">
      <formula>MOD(ROW(),2)=1</formula>
    </cfRule>
  </conditionalFormatting>
  <conditionalFormatting sqref="E77 E82:E92">
    <cfRule type="expression" dxfId="65" priority="70">
      <formula>MOD(ROW(),2)=1</formula>
    </cfRule>
  </conditionalFormatting>
  <conditionalFormatting sqref="D24">
    <cfRule type="expression" dxfId="64" priority="69">
      <formula>MOD(ROW(),2)=1</formula>
    </cfRule>
  </conditionalFormatting>
  <conditionalFormatting sqref="E24">
    <cfRule type="expression" dxfId="63" priority="68">
      <formula>MOD(ROW(),2)=1</formula>
    </cfRule>
  </conditionalFormatting>
  <conditionalFormatting sqref="H45">
    <cfRule type="expression" dxfId="62" priority="67">
      <formula>MOD(ROW(),2)=1</formula>
    </cfRule>
  </conditionalFormatting>
  <conditionalFormatting sqref="B45:G45">
    <cfRule type="expression" dxfId="61" priority="66">
      <formula>MOD(ROW(),2)=1</formula>
    </cfRule>
  </conditionalFormatting>
  <conditionalFormatting sqref="F45:G45">
    <cfRule type="cellIs" dxfId="60" priority="60" operator="lessThan">
      <formula>TODAY()</formula>
    </cfRule>
    <cfRule type="timePeriod" dxfId="59" priority="61" timePeriod="last7Days">
      <formula>AND(TODAY()-FLOOR(F45,1)&lt;=6,FLOOR(F45,1)&lt;=TODAY())</formula>
    </cfRule>
    <cfRule type="timePeriod" dxfId="58" priority="62" timePeriod="yesterday">
      <formula>FLOOR(F45,1)=TODAY()-1</formula>
    </cfRule>
    <cfRule type="timePeriod" dxfId="57" priority="63" timePeriod="lastMonth">
      <formula>AND(MONTH(F45)=MONTH(EDATE(TODAY(),0-1)),YEAR(F45)=YEAR(EDATE(TODAY(),0-1)))</formula>
    </cfRule>
    <cfRule type="timePeriod" dxfId="56" priority="64" timePeriod="yesterday">
      <formula>FLOOR(F45,1)=TODAY()-1</formula>
    </cfRule>
    <cfRule type="timePeriod" dxfId="55" priority="65" timePeriod="today">
      <formula>FLOOR(F45,1)=TODAY()</formula>
    </cfRule>
  </conditionalFormatting>
  <conditionalFormatting sqref="B66:G66">
    <cfRule type="expression" dxfId="54" priority="59">
      <formula>MOD(ROW(),2)=1</formula>
    </cfRule>
  </conditionalFormatting>
  <conditionalFormatting sqref="F66:G66">
    <cfRule type="cellIs" dxfId="53" priority="53" operator="lessThan">
      <formula>TODAY()</formula>
    </cfRule>
    <cfRule type="timePeriod" dxfId="52" priority="54" timePeriod="last7Days">
      <formula>AND(TODAY()-FLOOR(F66,1)&lt;=6,FLOOR(F66,1)&lt;=TODAY())</formula>
    </cfRule>
    <cfRule type="timePeriod" dxfId="51" priority="55" timePeriod="yesterday">
      <formula>FLOOR(F66,1)=TODAY()-1</formula>
    </cfRule>
    <cfRule type="timePeriod" dxfId="50" priority="56" timePeriod="lastMonth">
      <formula>AND(MONTH(F66)=MONTH(EDATE(TODAY(),0-1)),YEAR(F66)=YEAR(EDATE(TODAY(),0-1)))</formula>
    </cfRule>
    <cfRule type="timePeriod" dxfId="49" priority="57" timePeriod="yesterday">
      <formula>FLOOR(F66,1)=TODAY()-1</formula>
    </cfRule>
    <cfRule type="timePeriod" dxfId="48" priority="58" timePeriod="today">
      <formula>FLOOR(F66,1)=TODAY()</formula>
    </cfRule>
  </conditionalFormatting>
  <conditionalFormatting sqref="I66">
    <cfRule type="expression" dxfId="47" priority="51">
      <formula>MOD(ROW(),2)=1</formula>
    </cfRule>
  </conditionalFormatting>
  <conditionalFormatting sqref="B67:D67 F67:G67 I67">
    <cfRule type="expression" dxfId="46" priority="49">
      <formula>MOD(ROW(),2)=1</formula>
    </cfRule>
  </conditionalFormatting>
  <conditionalFormatting sqref="F67:G67">
    <cfRule type="cellIs" dxfId="45" priority="43" operator="lessThan">
      <formula>TODAY()</formula>
    </cfRule>
    <cfRule type="timePeriod" dxfId="44" priority="44" timePeriod="last7Days">
      <formula>AND(TODAY()-FLOOR(F67,1)&lt;=6,FLOOR(F67,1)&lt;=TODAY())</formula>
    </cfRule>
    <cfRule type="timePeriod" dxfId="43" priority="45" timePeriod="yesterday">
      <formula>FLOOR(F67,1)=TODAY()-1</formula>
    </cfRule>
    <cfRule type="timePeriod" dxfId="42" priority="46" timePeriod="lastMonth">
      <formula>AND(MONTH(F67)=MONTH(EDATE(TODAY(),0-1)),YEAR(F67)=YEAR(EDATE(TODAY(),0-1)))</formula>
    </cfRule>
    <cfRule type="timePeriod" dxfId="41" priority="47" timePeriod="yesterday">
      <formula>FLOOR(F67,1)=TODAY()-1</formula>
    </cfRule>
    <cfRule type="timePeriod" dxfId="40" priority="48" timePeriod="today">
      <formula>FLOOR(F67,1)=TODAY()</formula>
    </cfRule>
  </conditionalFormatting>
  <conditionalFormatting sqref="E67">
    <cfRule type="expression" dxfId="39" priority="42">
      <formula>MOD(ROW(),2)=1</formula>
    </cfRule>
  </conditionalFormatting>
  <conditionalFormatting sqref="B28:G28">
    <cfRule type="expression" dxfId="38" priority="41">
      <formula>MOD(ROW(),2)=1</formula>
    </cfRule>
  </conditionalFormatting>
  <conditionalFormatting sqref="F28:G28">
    <cfRule type="cellIs" dxfId="37" priority="35" operator="lessThan">
      <formula>TODAY()</formula>
    </cfRule>
    <cfRule type="timePeriod" dxfId="36" priority="36" timePeriod="last7Days">
      <formula>AND(TODAY()-FLOOR(F28,1)&lt;=6,FLOOR(F28,1)&lt;=TODAY())</formula>
    </cfRule>
    <cfRule type="timePeriod" dxfId="35" priority="37" timePeriod="yesterday">
      <formula>FLOOR(F28,1)=TODAY()-1</formula>
    </cfRule>
    <cfRule type="timePeriod" dxfId="34" priority="38" timePeriod="lastMonth">
      <formula>AND(MONTH(F28)=MONTH(EDATE(TODAY(),0-1)),YEAR(F28)=YEAR(EDATE(TODAY(),0-1)))</formula>
    </cfRule>
    <cfRule type="timePeriod" dxfId="33" priority="39" timePeriod="yesterday">
      <formula>FLOOR(F28,1)=TODAY()-1</formula>
    </cfRule>
    <cfRule type="timePeriod" dxfId="32" priority="40" timePeriod="today">
      <formula>FLOOR(F28,1)=TODAY()</formula>
    </cfRule>
  </conditionalFormatting>
  <conditionalFormatting sqref="I28">
    <cfRule type="expression" dxfId="31" priority="33">
      <formula>MOD(ROW(),2)=1</formula>
    </cfRule>
  </conditionalFormatting>
  <conditionalFormatting sqref="I28">
    <cfRule type="expression" dxfId="30" priority="32">
      <formula>MOD(ROW(),2)=1</formula>
    </cfRule>
  </conditionalFormatting>
  <conditionalFormatting sqref="H28">
    <cfRule type="expression" dxfId="29" priority="31">
      <formula>MOD(ROW(),2)=1</formula>
    </cfRule>
  </conditionalFormatting>
  <conditionalFormatting sqref="I56">
    <cfRule type="expression" dxfId="28" priority="29">
      <formula>MOD(ROW(),2)=1</formula>
    </cfRule>
  </conditionalFormatting>
  <conditionalFormatting sqref="F54:F59">
    <cfRule type="expression" dxfId="27" priority="28">
      <formula>MOD(ROW(),2)=1</formula>
    </cfRule>
  </conditionalFormatting>
  <conditionalFormatting sqref="F54:F59">
    <cfRule type="cellIs" dxfId="26" priority="22" operator="lessThan">
      <formula>TODAY()</formula>
    </cfRule>
    <cfRule type="timePeriod" dxfId="25" priority="23" timePeriod="last7Days">
      <formula>AND(TODAY()-FLOOR(F54,1)&lt;=6,FLOOR(F54,1)&lt;=TODAY())</formula>
    </cfRule>
    <cfRule type="timePeriod" dxfId="24" priority="24" timePeriod="yesterday">
      <formula>FLOOR(F54,1)=TODAY()-1</formula>
    </cfRule>
    <cfRule type="timePeriod" dxfId="23" priority="25" timePeriod="lastMonth">
      <formula>AND(MONTH(F54)=MONTH(EDATE(TODAY(),0-1)),YEAR(F54)=YEAR(EDATE(TODAY(),0-1)))</formula>
    </cfRule>
    <cfRule type="timePeriod" dxfId="22" priority="26" timePeriod="yesterday">
      <formula>FLOOR(F54,1)=TODAY()-1</formula>
    </cfRule>
    <cfRule type="timePeriod" dxfId="21" priority="27" timePeriod="today">
      <formula>FLOOR(F54,1)=TODAY()</formula>
    </cfRule>
  </conditionalFormatting>
  <conditionalFormatting sqref="F49:F52">
    <cfRule type="expression" dxfId="20" priority="21">
      <formula>MOD(ROW(),2)=1</formula>
    </cfRule>
  </conditionalFormatting>
  <conditionalFormatting sqref="F49:F52">
    <cfRule type="cellIs" dxfId="19" priority="15" operator="lessThan">
      <formula>TODAY()</formula>
    </cfRule>
    <cfRule type="timePeriod" dxfId="18" priority="16" timePeriod="last7Days">
      <formula>AND(TODAY()-FLOOR(F49,1)&lt;=6,FLOOR(F49,1)&lt;=TODAY())</formula>
    </cfRule>
    <cfRule type="timePeriod" dxfId="17" priority="17" timePeriod="yesterday">
      <formula>FLOOR(F49,1)=TODAY()-1</formula>
    </cfRule>
    <cfRule type="timePeriod" dxfId="16" priority="18" timePeriod="lastMonth">
      <formula>AND(MONTH(F49)=MONTH(EDATE(TODAY(),0-1)),YEAR(F49)=YEAR(EDATE(TODAY(),0-1)))</formula>
    </cfRule>
    <cfRule type="timePeriod" dxfId="15" priority="19" timePeriod="yesterday">
      <formula>FLOOR(F49,1)=TODAY()-1</formula>
    </cfRule>
    <cfRule type="timePeriod" dxfId="14" priority="20" timePeriod="today">
      <formula>FLOOR(F49,1)=TODAY()</formula>
    </cfRule>
  </conditionalFormatting>
  <conditionalFormatting sqref="F31:F38">
    <cfRule type="expression" dxfId="13" priority="14">
      <formula>MOD(ROW(),2)=1</formula>
    </cfRule>
  </conditionalFormatting>
  <conditionalFormatting sqref="F31:F38">
    <cfRule type="cellIs" dxfId="12" priority="8" operator="lessThan">
      <formula>TODAY()</formula>
    </cfRule>
    <cfRule type="timePeriod" dxfId="11" priority="9" timePeriod="last7Days">
      <formula>AND(TODAY()-FLOOR(F31,1)&lt;=6,FLOOR(F31,1)&lt;=TODAY())</formula>
    </cfRule>
    <cfRule type="timePeriod" dxfId="10" priority="10" timePeriod="yesterday">
      <formula>FLOOR(F31,1)=TODAY()-1</formula>
    </cfRule>
    <cfRule type="timePeriod" dxfId="9" priority="11" timePeriod="lastMonth">
      <formula>AND(MONTH(F31)=MONTH(EDATE(TODAY(),0-1)),YEAR(F31)=YEAR(EDATE(TODAY(),0-1)))</formula>
    </cfRule>
    <cfRule type="timePeriod" dxfId="8" priority="12" timePeriod="yesterday">
      <formula>FLOOR(F31,1)=TODAY()-1</formula>
    </cfRule>
    <cfRule type="timePeriod" dxfId="7" priority="13" timePeriod="today">
      <formula>FLOOR(F31,1)=TODAY()</formula>
    </cfRule>
  </conditionalFormatting>
  <conditionalFormatting sqref="F42:F44">
    <cfRule type="expression" dxfId="6" priority="7">
      <formula>MOD(ROW(),2)=1</formula>
    </cfRule>
  </conditionalFormatting>
  <conditionalFormatting sqref="F42:F44">
    <cfRule type="cellIs" dxfId="5" priority="1" operator="lessThan">
      <formula>TODAY()</formula>
    </cfRule>
    <cfRule type="timePeriod" dxfId="4" priority="2" timePeriod="last7Days">
      <formula>AND(TODAY()-FLOOR(F42,1)&lt;=6,FLOOR(F42,1)&lt;=TODAY())</formula>
    </cfRule>
    <cfRule type="timePeriod" dxfId="3" priority="3" timePeriod="yesterday">
      <formula>FLOOR(F42,1)=TODAY()-1</formula>
    </cfRule>
    <cfRule type="timePeriod" dxfId="2" priority="4" timePeriod="lastMonth">
      <formula>AND(MONTH(F42)=MONTH(EDATE(TODAY(),0-1)),YEAR(F42)=YEAR(EDATE(TODAY(),0-1)))</formula>
    </cfRule>
    <cfRule type="timePeriod" dxfId="1" priority="5" timePeriod="yesterday">
      <formula>FLOOR(F42,1)=TODAY()-1</formula>
    </cfRule>
    <cfRule type="timePeriod" dxfId="0" priority="6" timePeriod="today">
      <formula>FLOOR(F42,1)=TODAY()</formula>
    </cfRule>
  </conditionalFormatting>
  <printOptions horizontalCentered="1"/>
  <pageMargins left="0.25" right="0.25" top="0.75" bottom="0.75" header="0.3" footer="0.3"/>
  <pageSetup paperSize="9" scale="63" fitToHeight="0" orientation="landscape" r:id="rId1"/>
  <headerFooter>
    <oddHeader>&amp;C&amp;"+,Bold"&amp;12&amp;K04-047Bill Paying&amp;"+,Regular" - CHECKLIST</oddHeader>
    <oddFooter>&amp;C&amp;K04+000Page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1" id="{FC3129D2-7619-4968-B0C5-63A8F91633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149" id="{DC55CC7F-20CB-46A5-9420-7DE1691BCCF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I76</xm:sqref>
        </x14:conditionalFormatting>
        <x14:conditionalFormatting xmlns:xm="http://schemas.microsoft.com/office/excel/2006/main">
          <x14:cfRule type="iconSet" priority="118" id="{F662F4E9-1CB7-411D-B133-848BF73746C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117" id="{BA940E32-CD7F-4E6C-82D7-15399068E6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I6:I7</xm:sqref>
        </x14:conditionalFormatting>
        <x14:conditionalFormatting xmlns:xm="http://schemas.microsoft.com/office/excel/2006/main">
          <x14:cfRule type="iconSet" priority="116" id="{F4FEE5AB-3442-4AE1-A8C6-E1310A7B3DA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I10</xm:sqref>
        </x14:conditionalFormatting>
        <x14:conditionalFormatting xmlns:xm="http://schemas.microsoft.com/office/excel/2006/main">
          <x14:cfRule type="iconSet" priority="115" id="{0C40E6AB-0A39-48C0-90EA-6263613DD5D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I14:I24</xm:sqref>
        </x14:conditionalFormatting>
        <x14:conditionalFormatting xmlns:xm="http://schemas.microsoft.com/office/excel/2006/main">
          <x14:cfRule type="iconSet" priority="113" id="{936B7DC6-70AB-4F03-B1EE-502E98AEA54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112" id="{13669BBF-A776-4512-8BF4-8BB9992C8F2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I15</xm:sqref>
        </x14:conditionalFormatting>
        <x14:conditionalFormatting xmlns:xm="http://schemas.microsoft.com/office/excel/2006/main">
          <x14:cfRule type="iconSet" priority="111" id="{0E7F6C16-B8AE-435F-BC6E-C79D0E0BFA2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I19</xm:sqref>
        </x14:conditionalFormatting>
        <x14:conditionalFormatting xmlns:xm="http://schemas.microsoft.com/office/excel/2006/main">
          <x14:cfRule type="iconSet" priority="152" id="{1AF2922C-34A0-4005-B7C0-128E6E363DB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I12:I13 I3:I10</xm:sqref>
        </x14:conditionalFormatting>
        <x14:conditionalFormatting xmlns:xm="http://schemas.microsoft.com/office/excel/2006/main">
          <x14:cfRule type="iconSet" priority="91" id="{AA08A2B0-8BD8-4C35-8AE1-81B1496A9F3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I11</xm:sqref>
        </x14:conditionalFormatting>
        <x14:conditionalFormatting xmlns:xm="http://schemas.microsoft.com/office/excel/2006/main">
          <x14:cfRule type="iconSet" priority="153" id="{AE39C979-EC22-4530-B21E-A8424C75DAC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I3:I7</xm:sqref>
        </x14:conditionalFormatting>
        <x14:conditionalFormatting xmlns:xm="http://schemas.microsoft.com/office/excel/2006/main">
          <x14:cfRule type="iconSet" priority="75" id="{AC654A95-132A-4BC1-BB2A-226DB31A80A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I94 I30 I34 I38 I41 I44 I47 I49</xm:sqref>
        </x14:conditionalFormatting>
        <x14:conditionalFormatting xmlns:xm="http://schemas.microsoft.com/office/excel/2006/main">
          <x14:cfRule type="iconSet" priority="154" id="{5D68E892-F220-47BE-B5F9-872D30A8960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I82:I93 I77 I95:I99</xm:sqref>
        </x14:conditionalFormatting>
        <x14:conditionalFormatting xmlns:xm="http://schemas.microsoft.com/office/excel/2006/main">
          <x14:cfRule type="iconSet" priority="155" id="{D1634585-E539-49B5-AF37-5D587882EFD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I70:I76</xm:sqref>
        </x14:conditionalFormatting>
        <x14:conditionalFormatting xmlns:xm="http://schemas.microsoft.com/office/excel/2006/main">
          <x14:cfRule type="iconSet" priority="156" id="{5BC365B1-62CE-42C2-80F4-339FFFD7B67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I51:I52 I48 I46 I43 I29 I32:I33 I36:I37 I40 I54:I55 I58:I62</xm:sqref>
        </x14:conditionalFormatting>
        <x14:conditionalFormatting xmlns:xm="http://schemas.microsoft.com/office/excel/2006/main">
          <x14:cfRule type="iconSet" priority="52" id="{42832BE2-DB4D-4A5B-8616-E16BE017D2B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I66</xm:sqref>
        </x14:conditionalFormatting>
        <x14:conditionalFormatting xmlns:xm="http://schemas.microsoft.com/office/excel/2006/main">
          <x14:cfRule type="iconSet" priority="50" id="{40C028AF-4B8C-49B5-8E73-3DBC5D31342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I67</xm:sqref>
        </x14:conditionalFormatting>
        <x14:conditionalFormatting xmlns:xm="http://schemas.microsoft.com/office/excel/2006/main">
          <x14:cfRule type="iconSet" priority="157" id="{2D9560CD-1E97-4270-9D61-48702D1B23C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I50 I45 I42 I31 I35 I39 I53 I57</xm:sqref>
        </x14:conditionalFormatting>
        <x14:conditionalFormatting xmlns:xm="http://schemas.microsoft.com/office/excel/2006/main">
          <x14:cfRule type="iconSet" priority="158" id="{E2E5EB6F-B644-4CA3-9CB2-9971ADD075D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I78:I81</xm:sqref>
        </x14:conditionalFormatting>
        <x14:conditionalFormatting xmlns:xm="http://schemas.microsoft.com/office/excel/2006/main">
          <x14:cfRule type="iconSet" priority="34" id="{31956535-457A-41FF-A7FF-2A3CC78279D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I28</xm:sqref>
        </x14:conditionalFormatting>
        <x14:conditionalFormatting xmlns:xm="http://schemas.microsoft.com/office/excel/2006/main">
          <x14:cfRule type="iconSet" priority="30" id="{BF633014-4C48-4FC9-B91B-ADEBD1788A2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I56</xm:sqref>
        </x14:conditionalFormatting>
        <x14:conditionalFormatting xmlns:xm="http://schemas.microsoft.com/office/excel/2006/main">
          <x14:cfRule type="iconSet" priority="159" id="{1C5FAD98-5D8F-441B-B160-961416A3B4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I25:I27</xm:sqref>
        </x14:conditionalFormatting>
        <x14:conditionalFormatting xmlns:xm="http://schemas.microsoft.com/office/excel/2006/main">
          <x14:cfRule type="iconSet" priority="160" id="{51D1DD42-E1BB-44F7-98C9-E1DD5319081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I69</xm:sqref>
        </x14:conditionalFormatting>
        <x14:conditionalFormatting xmlns:xm="http://schemas.microsoft.com/office/excel/2006/main">
          <x14:cfRule type="iconSet" priority="161" id="{B500DDDA-F087-44F3-BEA3-F746124ED7B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A29 A2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EEAF-D0EE-420A-BB8B-1ECF5F931475}">
  <sheetPr>
    <tabColor theme="4" tint="-0.249977111117893"/>
    <pageSetUpPr fitToPage="1"/>
  </sheetPr>
  <dimension ref="B1:T218"/>
  <sheetViews>
    <sheetView showGridLines="0" zoomScaleNormal="100" workbookViewId="0">
      <pane xSplit="3" ySplit="2" topLeftCell="D193" activePane="bottomRight" state="frozen"/>
      <selection pane="topRight" activeCell="D1" sqref="D1"/>
      <selection pane="bottomLeft" activeCell="A3" sqref="A3"/>
      <selection pane="bottomRight" activeCell="K219" sqref="K219"/>
    </sheetView>
  </sheetViews>
  <sheetFormatPr baseColWidth="10" defaultColWidth="10.140625" defaultRowHeight="17.25" customHeight="1" x14ac:dyDescent="0.2"/>
  <cols>
    <col min="1" max="1" width="2.5703125" style="2" customWidth="1"/>
    <col min="2" max="2" width="60.5703125" style="349" customWidth="1"/>
    <col min="3" max="3" width="4.5703125" style="2" customWidth="1"/>
    <col min="4" max="4" width="6.7109375" style="2" customWidth="1"/>
    <col min="5" max="9" width="13.85546875" style="2" customWidth="1"/>
    <col min="10" max="16" width="15.5703125" style="2" customWidth="1"/>
    <col min="17" max="17" width="3.140625" style="2" customWidth="1"/>
    <col min="18" max="18" width="18.42578125" style="2" customWidth="1"/>
    <col min="19" max="16384" width="10.140625" style="2"/>
  </cols>
  <sheetData>
    <row r="1" spans="2:20" ht="25.5" customHeight="1" x14ac:dyDescent="0.2">
      <c r="B1" s="157" t="s">
        <v>0</v>
      </c>
      <c r="D1" s="158" t="s">
        <v>1</v>
      </c>
      <c r="E1" s="159" t="str">
        <f>UPPER(TEXT(Débutexercicecomptable,"mmm"))</f>
        <v>JANV</v>
      </c>
      <c r="F1" s="159" t="str">
        <f>UPPER(TEXT(EOMONTH(Débutexercicecomptable,1),"mmm"))</f>
        <v>FÉVR</v>
      </c>
      <c r="G1" s="159" t="str">
        <f>UPPER(TEXT(EOMONTH(Débutexercicecomptable,2),"mmm"))</f>
        <v>MARS</v>
      </c>
      <c r="H1" s="159" t="str">
        <f>UPPER(TEXT(EOMONTH(Débutexercicecomptable,3),"mmm"))</f>
        <v>AVR</v>
      </c>
      <c r="I1" s="159" t="str">
        <f>UPPER(TEXT(EOMONTH(Débutexercicecomptable,4),"mmm"))</f>
        <v>MAI</v>
      </c>
      <c r="J1" s="159" t="str">
        <f>UPPER(TEXT(EOMONTH(Débutexercicecomptable,5),"mmm"))</f>
        <v>JUIN</v>
      </c>
      <c r="K1" s="159" t="str">
        <f>UPPER(TEXT(EOMONTH(Débutexercicecomptable,6),"mmm"))</f>
        <v>JUIL</v>
      </c>
      <c r="L1" s="159" t="str">
        <f>UPPER(TEXT(EOMONTH(Débutexercicecomptable,7),"mmm"))</f>
        <v>AOÛT</v>
      </c>
      <c r="M1" s="159" t="str">
        <f>UPPER(TEXT(EOMONTH(Débutexercicecomptable,8),"mmm"))</f>
        <v>SEPT</v>
      </c>
      <c r="N1" s="159" t="str">
        <f>UPPER(TEXT(EOMONTH(Débutexercicecomptable,9),"mmm"))</f>
        <v>OCT</v>
      </c>
      <c r="O1" s="159" t="str">
        <f>UPPER(TEXT(EOMONTH(Débutexercicecomptable,10),"mmm"))</f>
        <v>NOV</v>
      </c>
      <c r="P1" s="159" t="str">
        <f>UPPER(TEXT(EOMONTH(Débutexercicecomptable,11),"mmm"))</f>
        <v>DÉC</v>
      </c>
      <c r="Q1" s="160"/>
      <c r="R1" s="161" t="s">
        <v>2</v>
      </c>
      <c r="T1" s="50">
        <v>1667.11</v>
      </c>
    </row>
    <row r="2" spans="2:20" ht="12.75" customHeight="1" thickBot="1" x14ac:dyDescent="0.25">
      <c r="B2" s="345">
        <v>44218</v>
      </c>
      <c r="D2" s="3" t="s">
        <v>3</v>
      </c>
      <c r="E2" s="3">
        <f>Débutexercicecomptable</f>
        <v>44218</v>
      </c>
      <c r="F2" s="3">
        <f t="shared" ref="F2:P2" si="0">EOMONTH(E2,0)+DAY(Débutexercicecomptable)</f>
        <v>44249</v>
      </c>
      <c r="G2" s="3">
        <f t="shared" si="0"/>
        <v>44277</v>
      </c>
      <c r="H2" s="3">
        <f t="shared" si="0"/>
        <v>44308</v>
      </c>
      <c r="I2" s="3">
        <f t="shared" si="0"/>
        <v>44338</v>
      </c>
      <c r="J2" s="3">
        <f t="shared" si="0"/>
        <v>44369</v>
      </c>
      <c r="K2" s="3">
        <f t="shared" si="0"/>
        <v>44399</v>
      </c>
      <c r="L2" s="3">
        <f t="shared" si="0"/>
        <v>44430</v>
      </c>
      <c r="M2" s="3">
        <f t="shared" si="0"/>
        <v>44461</v>
      </c>
      <c r="N2" s="3">
        <f t="shared" si="0"/>
        <v>44491</v>
      </c>
      <c r="O2" s="3">
        <f t="shared" si="0"/>
        <v>44522</v>
      </c>
      <c r="P2" s="3">
        <f t="shared" si="0"/>
        <v>44552</v>
      </c>
      <c r="Q2" s="19"/>
      <c r="R2" s="18" t="s">
        <v>4</v>
      </c>
    </row>
    <row r="3" spans="2:20" ht="17.25" customHeight="1" thickTop="1" x14ac:dyDescent="0.2">
      <c r="B3" s="345"/>
      <c r="D3" s="20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21"/>
      <c r="R3" s="4"/>
    </row>
    <row r="4" spans="2:20" ht="17.25" customHeight="1" thickBot="1" x14ac:dyDescent="0.25">
      <c r="B4" s="346" t="s">
        <v>5</v>
      </c>
      <c r="D4" s="5">
        <v>102548.87</v>
      </c>
      <c r="E4" s="5">
        <v>15560.61</v>
      </c>
      <c r="F4" s="5">
        <f>E214</f>
        <v>6402.1900000000023</v>
      </c>
      <c r="G4" s="5">
        <f t="shared" ref="G4:P4" si="1">F214</f>
        <v>29803.490000000049</v>
      </c>
      <c r="H4" s="5">
        <f t="shared" si="1"/>
        <v>21685.090000000026</v>
      </c>
      <c r="I4" s="5">
        <f t="shared" si="1"/>
        <v>97823.14000000013</v>
      </c>
      <c r="J4" s="5">
        <f t="shared" si="1"/>
        <v>15322.990000000107</v>
      </c>
      <c r="K4" s="5">
        <f t="shared" si="1"/>
        <v>60697.130000000121</v>
      </c>
      <c r="L4" s="5">
        <f t="shared" si="1"/>
        <v>60697.130000000121</v>
      </c>
      <c r="M4" s="5">
        <f t="shared" si="1"/>
        <v>60697.130000000121</v>
      </c>
      <c r="N4" s="5">
        <f t="shared" si="1"/>
        <v>60697.130000000121</v>
      </c>
      <c r="O4" s="5">
        <f t="shared" si="1"/>
        <v>60697.130000000121</v>
      </c>
      <c r="P4" s="5">
        <f t="shared" si="1"/>
        <v>60697.130000000121</v>
      </c>
      <c r="Q4" s="22"/>
      <c r="R4" s="5">
        <f>P4</f>
        <v>60697.130000000121</v>
      </c>
      <c r="S4" s="23"/>
    </row>
    <row r="5" spans="2:20" ht="17.25" customHeight="1" thickBot="1" x14ac:dyDescent="0.25">
      <c r="B5" s="346" t="s">
        <v>6</v>
      </c>
      <c r="D5" s="6">
        <f>SUM(D4:D4)</f>
        <v>102548.87</v>
      </c>
      <c r="E5" s="6">
        <f>E4</f>
        <v>15560.61</v>
      </c>
      <c r="F5" s="6">
        <f>E214</f>
        <v>6402.1900000000023</v>
      </c>
      <c r="G5" s="6">
        <f t="shared" ref="G5:P5" si="2">F214</f>
        <v>29803.490000000049</v>
      </c>
      <c r="H5" s="6">
        <f t="shared" si="2"/>
        <v>21685.090000000026</v>
      </c>
      <c r="I5" s="6">
        <f t="shared" si="2"/>
        <v>97823.14000000013</v>
      </c>
      <c r="J5" s="6">
        <f t="shared" si="2"/>
        <v>15322.990000000107</v>
      </c>
      <c r="K5" s="6">
        <f t="shared" si="2"/>
        <v>60697.130000000121</v>
      </c>
      <c r="L5" s="6">
        <f t="shared" si="2"/>
        <v>60697.130000000121</v>
      </c>
      <c r="M5" s="6">
        <f t="shared" si="2"/>
        <v>60697.130000000121</v>
      </c>
      <c r="N5" s="6">
        <f t="shared" si="2"/>
        <v>60697.130000000121</v>
      </c>
      <c r="O5" s="6">
        <f t="shared" si="2"/>
        <v>60697.130000000121</v>
      </c>
      <c r="P5" s="6">
        <f t="shared" si="2"/>
        <v>60697.130000000121</v>
      </c>
      <c r="Q5" s="22"/>
      <c r="R5" s="5">
        <f>P5</f>
        <v>60697.130000000121</v>
      </c>
      <c r="S5" s="23"/>
    </row>
    <row r="6" spans="2:20" ht="11.25" customHeight="1" x14ac:dyDescent="0.2">
      <c r="B6" s="34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24"/>
      <c r="R6" s="7"/>
      <c r="S6" s="25"/>
    </row>
    <row r="7" spans="2:20" ht="17.25" customHeight="1" thickBot="1" x14ac:dyDescent="0.25">
      <c r="B7" s="348" t="s">
        <v>7</v>
      </c>
      <c r="Q7" s="14"/>
    </row>
    <row r="8" spans="2:20" ht="9" customHeight="1" x14ac:dyDescent="0.2">
      <c r="M8" s="41"/>
    </row>
    <row r="9" spans="2:20" ht="17.25" customHeight="1" x14ac:dyDescent="0.2">
      <c r="B9" s="350" t="s">
        <v>8</v>
      </c>
      <c r="C9" s="14"/>
      <c r="D9" s="1"/>
      <c r="E9" s="1">
        <f>115000+80000+45000</f>
        <v>240000</v>
      </c>
      <c r="F9" s="17">
        <f>100000+75000+85000</f>
        <v>260000</v>
      </c>
      <c r="G9" s="17">
        <f>40000+110000+70000+60000+175000</f>
        <v>455000</v>
      </c>
      <c r="H9" s="17">
        <f>20000+80000+164000</f>
        <v>264000</v>
      </c>
      <c r="I9" s="17">
        <f>26000+10000+30000+75000</f>
        <v>141000</v>
      </c>
      <c r="J9" s="17">
        <f t="shared" ref="J9" si="3">30000+30000+60000+30000+170000+46000</f>
        <v>366000</v>
      </c>
      <c r="K9" s="17"/>
      <c r="L9" s="1"/>
      <c r="M9" s="17"/>
      <c r="N9" s="1"/>
      <c r="O9" s="1"/>
      <c r="P9" s="1"/>
      <c r="Q9" s="14"/>
      <c r="R9" s="2">
        <f>SUM(Encaissements52[[#This Row],[Période 0]:[Période 12]])</f>
        <v>1726000</v>
      </c>
    </row>
    <row r="10" spans="2:20" ht="17.25" customHeight="1" x14ac:dyDescent="0.2">
      <c r="B10" s="350" t="s">
        <v>9</v>
      </c>
      <c r="C10" s="14"/>
      <c r="D10" s="1"/>
      <c r="E10" s="1"/>
      <c r="F10" s="17"/>
      <c r="G10" s="1"/>
      <c r="H10" s="17"/>
      <c r="I10" s="17"/>
      <c r="J10" s="17"/>
      <c r="K10" s="17"/>
      <c r="L10" s="1"/>
      <c r="M10" s="1"/>
      <c r="N10" s="1"/>
      <c r="O10" s="1"/>
      <c r="P10" s="1"/>
      <c r="Q10" s="14"/>
      <c r="R10" s="2">
        <f>SUM(Encaissements52[[#This Row],[Période 0]:[Période 12]])</f>
        <v>0</v>
      </c>
    </row>
    <row r="11" spans="2:20" ht="17.25" customHeight="1" x14ac:dyDescent="0.2">
      <c r="B11" s="350" t="s">
        <v>10</v>
      </c>
      <c r="C11" s="26"/>
      <c r="D11" s="1"/>
      <c r="E11" s="1"/>
      <c r="F11" s="1">
        <f>108.9+116.43+155.24+388.1</f>
        <v>768.67000000000007</v>
      </c>
      <c r="G11" s="1">
        <v>43</v>
      </c>
      <c r="H11" s="1">
        <f>176.67+611.14+248+620+186+1226.46+61.3+186</f>
        <v>3315.57</v>
      </c>
      <c r="I11" s="17">
        <f>4.16+68.92+579.73+80.37</f>
        <v>733.18000000000006</v>
      </c>
      <c r="J11" s="1">
        <f>13711.35+220.8+25.5+201.48+579.73+544.74+1739.99</f>
        <v>17023.59</v>
      </c>
      <c r="K11" s="1"/>
      <c r="L11" s="1"/>
      <c r="M11" s="1"/>
      <c r="N11" s="1"/>
      <c r="O11" s="1"/>
      <c r="P11" s="1"/>
      <c r="Q11" s="14"/>
      <c r="R11" s="2">
        <f>SUM(Encaissements52[[#This Row],[Période 0]:[Période 12]])</f>
        <v>21884.010000000002</v>
      </c>
    </row>
    <row r="12" spans="2:20" ht="17.25" customHeight="1" thickBot="1" x14ac:dyDescent="0.25">
      <c r="B12" s="351" t="s">
        <v>2</v>
      </c>
      <c r="C12" s="162"/>
      <c r="D12" s="52">
        <f>SUBTOTAL(109,Encaissements52[Période 0])</f>
        <v>0</v>
      </c>
      <c r="E12" s="52">
        <f>SUBTOTAL(109,Encaissements52[Période 1])</f>
        <v>240000</v>
      </c>
      <c r="F12" s="52">
        <f>SUBTOTAL(109,Encaissements52[Période 2])</f>
        <v>260768.67</v>
      </c>
      <c r="G12" s="52">
        <f>SUBTOTAL(109,Encaissements52[Période 3])</f>
        <v>455043</v>
      </c>
      <c r="H12" s="52">
        <f>SUBTOTAL(109,Encaissements52[Période 4])</f>
        <v>267315.57</v>
      </c>
      <c r="I12" s="52">
        <f>SUBTOTAL(109,Encaissements52[Période 5])</f>
        <v>141733.18</v>
      </c>
      <c r="J12" s="52">
        <f>SUBTOTAL(109,Encaissements52[Période 6])</f>
        <v>383023.59</v>
      </c>
      <c r="K12" s="52">
        <f>SUBTOTAL(109,Encaissements52[Période 7])</f>
        <v>0</v>
      </c>
      <c r="L12" s="52">
        <f>SUBTOTAL(109,Encaissements52[Période 8])</f>
        <v>0</v>
      </c>
      <c r="M12" s="52"/>
      <c r="N12" s="52">
        <f>SUBTOTAL(109,Encaissements52[Période 10])</f>
        <v>0</v>
      </c>
      <c r="O12" s="52">
        <f>SUBTOTAL(109,Encaissements52[Période 11])</f>
        <v>0</v>
      </c>
      <c r="P12" s="52">
        <f>SUBTOTAL(109,Encaissements52[Période 12])</f>
        <v>0</v>
      </c>
      <c r="Q12" s="51"/>
      <c r="R12" s="52">
        <f>SUBTOTAL(109,Encaissements52[Total])</f>
        <v>1747884.01</v>
      </c>
      <c r="S12" s="52"/>
      <c r="T12" s="52"/>
    </row>
    <row r="13" spans="2:20" ht="17.25" customHeight="1" thickTop="1" thickBot="1" x14ac:dyDescent="0.25">
      <c r="B13" s="352" t="s">
        <v>11</v>
      </c>
      <c r="C13" s="12"/>
      <c r="D13" s="8">
        <f>D5+SUM(Encaissements52[Période 0])</f>
        <v>102548.87</v>
      </c>
      <c r="E13" s="8">
        <f>E5+SUM(Encaissements52[Période 1])</f>
        <v>255560.61</v>
      </c>
      <c r="F13" s="8">
        <f>F4+SUM(Encaissements52[Période 2])</f>
        <v>267170.86</v>
      </c>
      <c r="G13" s="8">
        <f>G4+SUM(Encaissements52[Période 3])</f>
        <v>484846.49000000005</v>
      </c>
      <c r="H13" s="8">
        <f>H4+SUM(Encaissements52[Période 4])</f>
        <v>289000.66000000003</v>
      </c>
      <c r="I13" s="8">
        <f>I4+Encaissements52[[#Totals],[Période 5]]</f>
        <v>239556.32000000012</v>
      </c>
      <c r="J13" s="8">
        <f>J4+SUM(Encaissements52[Période 6])</f>
        <v>398346.58000000013</v>
      </c>
      <c r="K13" s="8">
        <f>K4+SUM(Encaissements52[Période 7])</f>
        <v>60697.130000000121</v>
      </c>
      <c r="L13" s="8">
        <f>L4+SUM(Encaissements52[Période 8])</f>
        <v>60697.130000000121</v>
      </c>
      <c r="M13" s="8">
        <f>M4+SUM(Encaissements52[Période 9])</f>
        <v>60697.130000000121</v>
      </c>
      <c r="N13" s="8">
        <f>N4+SUM(Encaissements52[Période 10])</f>
        <v>60697.130000000121</v>
      </c>
      <c r="O13" s="8">
        <f>O4+SUM(Encaissements52[Période 11])</f>
        <v>60697.130000000121</v>
      </c>
      <c r="P13" s="8">
        <f>P4+SUM(Encaissements52[Période 12])</f>
        <v>60697.130000000121</v>
      </c>
      <c r="Q13" s="15"/>
      <c r="R13" s="10">
        <f>R4+SUM(Encaissements52[Total])</f>
        <v>1808581.1400000001</v>
      </c>
      <c r="S13" s="16"/>
    </row>
    <row r="14" spans="2:20" ht="8.25" customHeight="1" x14ac:dyDescent="0.2">
      <c r="B14" s="504"/>
      <c r="C14" s="504"/>
      <c r="D14" s="504"/>
      <c r="E14" s="504"/>
      <c r="F14" s="504"/>
      <c r="G14" s="504"/>
      <c r="H14" s="504"/>
      <c r="I14" s="504"/>
      <c r="J14" s="504"/>
      <c r="K14" s="504"/>
      <c r="L14" s="504"/>
      <c r="M14" s="504"/>
      <c r="N14" s="504"/>
      <c r="O14" s="504"/>
      <c r="P14" s="504"/>
      <c r="Q14" s="504"/>
      <c r="R14" s="504"/>
      <c r="S14" s="504"/>
    </row>
    <row r="15" spans="2:20" ht="17.25" customHeight="1" x14ac:dyDescent="0.2">
      <c r="B15" s="353" t="s">
        <v>12</v>
      </c>
      <c r="C15" s="14"/>
      <c r="Q15" s="14"/>
    </row>
    <row r="16" spans="2:20" ht="6.75" customHeight="1" x14ac:dyDescent="0.2"/>
    <row r="17" spans="2:19" ht="17.25" customHeight="1" x14ac:dyDescent="0.2">
      <c r="B17" s="354" t="s">
        <v>13</v>
      </c>
      <c r="C17" s="14"/>
      <c r="D17" s="1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27"/>
      <c r="R17" s="2">
        <f>SUM(Décaissements63[[#This Row],[Période 0]:[Période 12]])</f>
        <v>0</v>
      </c>
      <c r="S17" s="2" t="e">
        <f>+AVERAGE(Décaissements63[[#This Row],[Période 1]:[Période 12]])</f>
        <v>#DIV/0!</v>
      </c>
    </row>
    <row r="18" spans="2:19" ht="17.25" customHeight="1" x14ac:dyDescent="0.2">
      <c r="B18" s="355" t="s">
        <v>14</v>
      </c>
      <c r="C18" s="2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29"/>
      <c r="R18" s="30">
        <f>SUM(Décaissements63[[#This Row],[Période 0]:[Période 12]])</f>
        <v>0</v>
      </c>
      <c r="S18" s="2" t="e">
        <f>+AVERAGE(Décaissements63[[#This Row],[Période 1]:[Période 12]])</f>
        <v>#DIV/0!</v>
      </c>
    </row>
    <row r="19" spans="2:19" ht="17.25" customHeight="1" x14ac:dyDescent="0.2">
      <c r="B19" s="356" t="s">
        <v>15</v>
      </c>
      <c r="C19" s="28"/>
      <c r="D19" s="31"/>
      <c r="E19" s="17">
        <v>5283.09</v>
      </c>
      <c r="F19" s="17">
        <v>5283.09</v>
      </c>
      <c r="G19" s="17">
        <v>5283.09</v>
      </c>
      <c r="H19" s="17">
        <v>5283.09</v>
      </c>
      <c r="I19" s="17">
        <v>5283.09</v>
      </c>
      <c r="J19" s="11">
        <v>5283.09</v>
      </c>
      <c r="K19" s="11"/>
      <c r="L19" s="31"/>
      <c r="M19" s="17"/>
      <c r="N19" s="31"/>
      <c r="O19" s="31"/>
      <c r="P19" s="31"/>
      <c r="Q19" s="29"/>
      <c r="R19" s="30">
        <f>SUM(Décaissements63[[#This Row],[Période 0]:[Période 12]])</f>
        <v>31698.54</v>
      </c>
      <c r="S19" s="2">
        <f>+AVERAGE(Décaissements63[[#This Row],[Période 1]:[Période 12]])</f>
        <v>5283.09</v>
      </c>
    </row>
    <row r="20" spans="2:19" ht="17.25" customHeight="1" x14ac:dyDescent="0.2">
      <c r="B20" s="357" t="s">
        <v>563</v>
      </c>
      <c r="C20" s="33"/>
      <c r="D20" s="11"/>
      <c r="E20" s="17"/>
      <c r="F20" s="17"/>
      <c r="G20" s="17">
        <f>120.9+6</f>
        <v>126.9</v>
      </c>
      <c r="H20" s="79">
        <f>186+93.8</f>
        <v>279.8</v>
      </c>
      <c r="I20" s="100"/>
      <c r="J20" s="100"/>
      <c r="K20" s="100"/>
      <c r="L20" s="100"/>
      <c r="M20" s="100"/>
      <c r="N20" s="100"/>
      <c r="O20" s="100"/>
      <c r="P20" s="100"/>
      <c r="Q20" s="301"/>
      <c r="R20" s="35">
        <f>SUM(Décaissements63[[#This Row],[Période 0]:[Période 12]])</f>
        <v>406.70000000000005</v>
      </c>
      <c r="S20" s="224">
        <f>+AVERAGE(Décaissements63[[#This Row],[Période 1]:[Période 12]])</f>
        <v>203.35000000000002</v>
      </c>
    </row>
    <row r="21" spans="2:19" ht="17.25" customHeight="1" x14ac:dyDescent="0.2">
      <c r="B21" s="356" t="s">
        <v>16</v>
      </c>
      <c r="C21" s="28"/>
      <c r="D21" s="31"/>
      <c r="E21" s="17">
        <v>1128</v>
      </c>
      <c r="F21" s="17">
        <v>1236</v>
      </c>
      <c r="G21" s="17">
        <v>1164</v>
      </c>
      <c r="H21" s="17">
        <v>1188</v>
      </c>
      <c r="I21" s="17">
        <v>1260</v>
      </c>
      <c r="J21" s="11">
        <v>1224</v>
      </c>
      <c r="K21" s="11"/>
      <c r="L21" s="31"/>
      <c r="M21" s="17"/>
      <c r="N21" s="31"/>
      <c r="O21" s="31"/>
      <c r="P21" s="31"/>
      <c r="Q21" s="28"/>
      <c r="R21" s="30">
        <f>SUM(Décaissements63[[#This Row],[Période 0]:[Période 12]])</f>
        <v>7200</v>
      </c>
      <c r="S21" s="2">
        <f>+AVERAGE(Décaissements63[[#This Row],[Période 1]:[Période 12]])</f>
        <v>1200</v>
      </c>
    </row>
    <row r="22" spans="2:19" ht="17.25" customHeight="1" x14ac:dyDescent="0.2">
      <c r="B22" s="355" t="s">
        <v>17</v>
      </c>
      <c r="C22" s="2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29"/>
      <c r="R22" s="30">
        <f>SUM(Décaissements63[[#This Row],[Période 0]:[Période 12]])</f>
        <v>0</v>
      </c>
      <c r="S22" s="2" t="e">
        <f>+AVERAGE(Décaissements63[[#This Row],[Période 1]:[Période 12]])</f>
        <v>#DIV/0!</v>
      </c>
    </row>
    <row r="23" spans="2:19" ht="17.25" customHeight="1" x14ac:dyDescent="0.2">
      <c r="B23" s="356" t="s">
        <v>18</v>
      </c>
      <c r="C23" s="28"/>
      <c r="D23" s="31"/>
      <c r="E23" s="17"/>
      <c r="F23" s="17">
        <v>940</v>
      </c>
      <c r="G23" s="17">
        <v>940</v>
      </c>
      <c r="H23" s="17"/>
      <c r="I23" s="17"/>
      <c r="J23" s="17"/>
      <c r="K23" s="17"/>
      <c r="L23" s="17"/>
      <c r="M23" s="17"/>
      <c r="N23" s="31"/>
      <c r="O23" s="31"/>
      <c r="P23" s="31"/>
      <c r="Q23" s="28"/>
      <c r="R23" s="30">
        <f>SUM(Décaissements63[[#This Row],[Période 0]:[Période 12]])</f>
        <v>1880</v>
      </c>
      <c r="S23" s="2">
        <f>+AVERAGE(Décaissements63[[#This Row],[Période 1]:[Période 12]])</f>
        <v>940</v>
      </c>
    </row>
    <row r="24" spans="2:19" ht="17.25" customHeight="1" x14ac:dyDescent="0.2">
      <c r="B24" s="356" t="s">
        <v>317</v>
      </c>
      <c r="C24" s="28"/>
      <c r="D24" s="31"/>
      <c r="E24" s="17">
        <v>590</v>
      </c>
      <c r="F24" s="278">
        <v>590</v>
      </c>
      <c r="G24" s="17">
        <v>590</v>
      </c>
      <c r="H24" s="17">
        <v>590</v>
      </c>
      <c r="I24" s="17"/>
      <c r="J24" s="17"/>
      <c r="K24" s="17"/>
      <c r="L24" s="17"/>
      <c r="M24" s="17"/>
      <c r="N24" s="31"/>
      <c r="O24" s="31"/>
      <c r="P24" s="31"/>
      <c r="Q24" s="28"/>
      <c r="R24" s="30">
        <f>SUM(Décaissements63[[#This Row],[Période 0]:[Période 12]])</f>
        <v>2360</v>
      </c>
      <c r="S24" s="2">
        <f>+AVERAGE(Décaissements63[[#This Row],[Période 1]:[Période 12]])</f>
        <v>590</v>
      </c>
    </row>
    <row r="25" spans="2:19" ht="17.25" customHeight="1" x14ac:dyDescent="0.2">
      <c r="B25" s="356" t="s">
        <v>108</v>
      </c>
      <c r="C25" s="33"/>
      <c r="D25" s="11"/>
      <c r="E25" s="11"/>
      <c r="F25" s="11"/>
      <c r="G25" s="11"/>
      <c r="H25" s="11"/>
      <c r="I25" s="17"/>
      <c r="J25" s="17"/>
      <c r="K25" s="17"/>
      <c r="L25" s="17"/>
      <c r="M25" s="17"/>
      <c r="N25" s="11"/>
      <c r="O25" s="11"/>
      <c r="P25" s="11"/>
      <c r="Q25" s="47"/>
      <c r="R25" s="35">
        <f>SUM(Décaissements63[[#This Row],[Période 0]:[Période 12]])</f>
        <v>0</v>
      </c>
      <c r="S25" s="36" t="e">
        <f>+AVERAGE(Décaissements63[[#This Row],[Période 1]:[Période 12]])</f>
        <v>#DIV/0!</v>
      </c>
    </row>
    <row r="26" spans="2:19" ht="17.25" customHeight="1" x14ac:dyDescent="0.2">
      <c r="B26" s="357" t="s">
        <v>179</v>
      </c>
      <c r="C26" s="33"/>
      <c r="D26" s="11"/>
      <c r="E26" s="17"/>
      <c r="F26" s="17"/>
      <c r="G26" s="17"/>
      <c r="H26" s="79"/>
      <c r="I26" s="100"/>
      <c r="J26" s="100"/>
      <c r="K26" s="100"/>
      <c r="L26" s="100"/>
      <c r="M26" s="100"/>
      <c r="N26" s="100"/>
      <c r="O26" s="100"/>
      <c r="P26" s="100"/>
      <c r="Q26" s="151"/>
      <c r="R26" s="35">
        <f>SUM(Décaissements63[[#This Row],[Période 0]:[Période 12]])</f>
        <v>0</v>
      </c>
      <c r="S26" s="36" t="e">
        <f>+AVERAGE(Décaissements63[[#This Row],[Période 1]:[Période 12]])</f>
        <v>#DIV/0!</v>
      </c>
    </row>
    <row r="27" spans="2:19" ht="17.25" customHeight="1" x14ac:dyDescent="0.2">
      <c r="B27" s="356" t="s">
        <v>370</v>
      </c>
      <c r="C27" s="33"/>
      <c r="D27" s="11"/>
      <c r="E27" s="17">
        <v>600</v>
      </c>
      <c r="F27" s="17">
        <v>600</v>
      </c>
      <c r="G27" s="17">
        <v>600</v>
      </c>
      <c r="H27" s="79">
        <f>1200+600</f>
        <v>1800</v>
      </c>
      <c r="I27" s="17"/>
      <c r="J27" s="17"/>
      <c r="K27" s="17"/>
      <c r="L27" s="17"/>
      <c r="M27" s="17"/>
      <c r="N27" s="100"/>
      <c r="O27" s="100"/>
      <c r="P27" s="100"/>
      <c r="Q27" s="34"/>
      <c r="R27" s="35">
        <f>SUM(Décaissements63[[#This Row],[Période 0]:[Période 12]])</f>
        <v>3600</v>
      </c>
      <c r="S27" s="36">
        <f>+AVERAGE(Décaissements63[[#This Row],[Période 1]:[Période 12]])</f>
        <v>900</v>
      </c>
    </row>
    <row r="28" spans="2:19" ht="17.25" customHeight="1" x14ac:dyDescent="0.2">
      <c r="B28" s="356" t="s">
        <v>452</v>
      </c>
      <c r="C28" s="28"/>
      <c r="D28" s="31"/>
      <c r="E28" s="17">
        <v>500</v>
      </c>
      <c r="F28" s="17">
        <v>500</v>
      </c>
      <c r="G28" s="17">
        <v>500</v>
      </c>
      <c r="H28" s="17">
        <v>500</v>
      </c>
      <c r="I28" s="17">
        <v>500</v>
      </c>
      <c r="J28" s="17">
        <v>500</v>
      </c>
      <c r="K28" s="17"/>
      <c r="L28" s="17"/>
      <c r="M28" s="17"/>
      <c r="N28" s="31"/>
      <c r="O28" s="31"/>
      <c r="P28" s="31"/>
      <c r="Q28" s="28"/>
      <c r="R28" s="30">
        <f>SUM(Décaissements63[[#This Row],[Période 0]:[Période 12]])</f>
        <v>3000</v>
      </c>
      <c r="S28" s="2">
        <f>+AVERAGE(Décaissements63[[#This Row],[Période 1]:[Période 12]])</f>
        <v>500</v>
      </c>
    </row>
    <row r="29" spans="2:19" ht="17.25" customHeight="1" x14ac:dyDescent="0.2">
      <c r="B29" s="356" t="s">
        <v>369</v>
      </c>
      <c r="C29" s="28"/>
      <c r="D29" s="31"/>
      <c r="E29" s="17">
        <v>1100</v>
      </c>
      <c r="F29" s="17"/>
      <c r="G29" s="17">
        <v>2200</v>
      </c>
      <c r="H29" s="17">
        <v>2200</v>
      </c>
      <c r="I29" s="17"/>
      <c r="J29" s="17">
        <v>1100</v>
      </c>
      <c r="K29" s="17"/>
      <c r="L29" s="17"/>
      <c r="M29" s="17"/>
      <c r="N29" s="31"/>
      <c r="O29" s="31"/>
      <c r="P29" s="31"/>
      <c r="Q29" s="28"/>
      <c r="R29" s="30">
        <f>SUM(Décaissements63[[#This Row],[Période 0]:[Période 12]])</f>
        <v>6600</v>
      </c>
      <c r="S29" s="2">
        <f>+AVERAGE(Décaissements63[[#This Row],[Période 1]:[Période 12]])</f>
        <v>1650</v>
      </c>
    </row>
    <row r="30" spans="2:19" ht="17.25" customHeight="1" x14ac:dyDescent="0.2">
      <c r="B30" s="356" t="s">
        <v>564</v>
      </c>
      <c r="C30" s="33"/>
      <c r="D30" s="11"/>
      <c r="E30" s="17">
        <v>29.45</v>
      </c>
      <c r="F30" s="17"/>
      <c r="G30" s="17">
        <f>304.78+1059.3</f>
        <v>1364.08</v>
      </c>
      <c r="H30" s="79">
        <v>77.3</v>
      </c>
      <c r="I30" s="17"/>
      <c r="J30" s="100">
        <v>1059.3</v>
      </c>
      <c r="K30" s="17"/>
      <c r="L30" s="17"/>
      <c r="M30" s="17"/>
      <c r="N30" s="100"/>
      <c r="O30" s="100"/>
      <c r="P30" s="100"/>
      <c r="Q30" s="34"/>
      <c r="R30" s="35">
        <f>SUM(Décaissements63[[#This Row],[Période 0]:[Période 12]])</f>
        <v>2530.13</v>
      </c>
      <c r="S30" s="36">
        <f>+AVERAGE(Décaissements63[[#This Row],[Période 1]:[Période 12]])</f>
        <v>632.53250000000003</v>
      </c>
    </row>
    <row r="31" spans="2:19" ht="17.25" customHeight="1" x14ac:dyDescent="0.2">
      <c r="B31" s="356" t="s">
        <v>315</v>
      </c>
      <c r="C31" s="33"/>
      <c r="D31" s="11"/>
      <c r="E31" s="17">
        <f>162.4+762+822+193.2</f>
        <v>1939.6000000000001</v>
      </c>
      <c r="F31" s="17">
        <v>762</v>
      </c>
      <c r="G31" s="17">
        <f>768.98</f>
        <v>768.98</v>
      </c>
      <c r="H31" s="79">
        <v>891.47</v>
      </c>
      <c r="I31" s="100">
        <v>891.47</v>
      </c>
      <c r="J31" s="100">
        <v>891.47</v>
      </c>
      <c r="K31" s="100"/>
      <c r="L31" s="100"/>
      <c r="M31" s="100"/>
      <c r="N31" s="100"/>
      <c r="O31" s="100"/>
      <c r="P31" s="100"/>
      <c r="Q31" s="223"/>
      <c r="R31" s="35">
        <f>SUM(Décaissements63[[#This Row],[Période 0]:[Période 12]])</f>
        <v>6144.9900000000007</v>
      </c>
      <c r="S31" s="224">
        <f>+AVERAGE(Décaissements63[[#This Row],[Période 1]:[Période 12]])</f>
        <v>1024.1650000000002</v>
      </c>
    </row>
    <row r="32" spans="2:19" ht="17.25" customHeight="1" x14ac:dyDescent="0.2">
      <c r="B32" s="356" t="s">
        <v>107</v>
      </c>
      <c r="C32" s="33"/>
      <c r="D32" s="11"/>
      <c r="E32" s="11">
        <v>1226.46</v>
      </c>
      <c r="F32" s="11"/>
      <c r="G32" s="11"/>
      <c r="H32" s="11">
        <f>1226.46</f>
        <v>1226.46</v>
      </c>
      <c r="I32" s="17"/>
      <c r="J32" s="11"/>
      <c r="K32" s="11"/>
      <c r="L32" s="11"/>
      <c r="M32" s="11"/>
      <c r="N32" s="11"/>
      <c r="O32" s="11"/>
      <c r="P32" s="11"/>
      <c r="Q32" s="47"/>
      <c r="R32" s="35">
        <f>SUM(Décaissements63[[#This Row],[Période 0]:[Période 12]])</f>
        <v>2452.92</v>
      </c>
      <c r="S32" s="36">
        <f>+AVERAGE(Décaissements63[[#This Row],[Période 1]:[Période 12]])</f>
        <v>1226.46</v>
      </c>
    </row>
    <row r="33" spans="2:19" ht="17.25" customHeight="1" x14ac:dyDescent="0.2">
      <c r="B33" s="356" t="s">
        <v>177</v>
      </c>
      <c r="C33" s="33"/>
      <c r="D33" s="11"/>
      <c r="E33" s="17">
        <v>2100</v>
      </c>
      <c r="F33" s="17">
        <v>2100</v>
      </c>
      <c r="G33" s="17">
        <v>2100</v>
      </c>
      <c r="H33" s="79">
        <v>2100</v>
      </c>
      <c r="I33" s="100">
        <v>2100</v>
      </c>
      <c r="J33" s="100">
        <f>3000+2100</f>
        <v>5100</v>
      </c>
      <c r="K33" s="100"/>
      <c r="L33" s="100"/>
      <c r="M33" s="100"/>
      <c r="N33" s="100"/>
      <c r="O33" s="100"/>
      <c r="P33" s="100"/>
      <c r="Q33" s="34"/>
      <c r="R33" s="35">
        <f>SUM(Décaissements63[[#This Row],[Période 0]:[Période 12]])</f>
        <v>15600</v>
      </c>
      <c r="S33" s="36">
        <f>+AVERAGE(Décaissements63[[#This Row],[Période 1]:[Période 12]])</f>
        <v>2600</v>
      </c>
    </row>
    <row r="34" spans="2:19" ht="17.25" customHeight="1" x14ac:dyDescent="0.2">
      <c r="B34" s="355" t="s">
        <v>19</v>
      </c>
      <c r="C34" s="2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28"/>
      <c r="R34" s="30">
        <f>SUM(Décaissements63[[#This Row],[Période 0]:[Période 12]])</f>
        <v>0</v>
      </c>
      <c r="S34" s="2" t="e">
        <f>+AVERAGE(Décaissements63[[#This Row],[Période 1]:[Période 12]])</f>
        <v>#DIV/0!</v>
      </c>
    </row>
    <row r="35" spans="2:19" ht="17.25" customHeight="1" x14ac:dyDescent="0.2">
      <c r="B35" s="356" t="s">
        <v>20</v>
      </c>
      <c r="C35" s="28"/>
      <c r="D35" s="31"/>
      <c r="E35" s="17">
        <v>3203.09</v>
      </c>
      <c r="F35" s="17">
        <v>3203.09</v>
      </c>
      <c r="G35" s="17">
        <v>3203.09</v>
      </c>
      <c r="H35" s="17">
        <v>3203.09</v>
      </c>
      <c r="I35" s="17">
        <v>3203.09</v>
      </c>
      <c r="J35" s="17">
        <v>3203.09</v>
      </c>
      <c r="K35" s="17"/>
      <c r="L35" s="17"/>
      <c r="M35" s="17"/>
      <c r="N35" s="154"/>
      <c r="O35" s="31"/>
      <c r="P35" s="31"/>
      <c r="Q35" s="28"/>
      <c r="R35" s="30">
        <f>SUM(Décaissements63[[#This Row],[Période 0]:[Période 12]])</f>
        <v>19218.54</v>
      </c>
      <c r="S35" s="2">
        <f>+AVERAGE(Décaissements63[[#This Row],[Période 1]:[Période 12]])</f>
        <v>3203.09</v>
      </c>
    </row>
    <row r="36" spans="2:19" ht="17.25" customHeight="1" x14ac:dyDescent="0.2">
      <c r="B36" s="356" t="s">
        <v>613</v>
      </c>
      <c r="C36" s="28"/>
      <c r="D36" s="31"/>
      <c r="E36" s="17">
        <v>99.97</v>
      </c>
      <c r="F36" s="17">
        <v>99.97</v>
      </c>
      <c r="G36" s="17">
        <v>99.97</v>
      </c>
      <c r="H36" s="17">
        <v>99.97</v>
      </c>
      <c r="I36" s="17">
        <v>99.97</v>
      </c>
      <c r="J36" s="17">
        <v>99.97</v>
      </c>
      <c r="K36" s="17"/>
      <c r="L36" s="17"/>
      <c r="M36" s="17"/>
      <c r="N36" s="17"/>
      <c r="O36" s="17"/>
      <c r="P36" s="17"/>
      <c r="Q36" s="32"/>
      <c r="R36" s="30">
        <f>SUM(Décaissements63[[#This Row],[Période 0]:[Période 12]])</f>
        <v>599.82000000000005</v>
      </c>
      <c r="S36" s="2">
        <f>+AVERAGE(Décaissements63[[#This Row],[Période 1]:[Période 12]])</f>
        <v>99.970000000000013</v>
      </c>
    </row>
    <row r="37" spans="2:19" ht="17.25" customHeight="1" x14ac:dyDescent="0.2">
      <c r="B37" s="356" t="s">
        <v>614</v>
      </c>
      <c r="C37" s="28"/>
      <c r="D37" s="31"/>
      <c r="E37" s="17">
        <v>104.12</v>
      </c>
      <c r="F37" s="17">
        <v>104.12</v>
      </c>
      <c r="G37" s="17">
        <v>104.12</v>
      </c>
      <c r="H37" s="17">
        <v>104.12</v>
      </c>
      <c r="I37" s="17">
        <v>104.12</v>
      </c>
      <c r="J37" s="17">
        <v>90.74</v>
      </c>
      <c r="K37" s="17"/>
      <c r="L37" s="17"/>
      <c r="M37" s="17"/>
      <c r="N37" s="17"/>
      <c r="O37" s="17"/>
      <c r="P37" s="17"/>
      <c r="Q37" s="29"/>
      <c r="R37" s="30">
        <f>SUM(Décaissements63[[#This Row],[Période 0]:[Période 12]])</f>
        <v>611.34</v>
      </c>
      <c r="S37" s="2">
        <f>+AVERAGE(Décaissements63[[#This Row],[Période 1]:[Période 12]])</f>
        <v>101.89</v>
      </c>
    </row>
    <row r="38" spans="2:19" ht="17.25" customHeight="1" x14ac:dyDescent="0.2">
      <c r="B38" s="356" t="s">
        <v>621</v>
      </c>
      <c r="C38" s="28"/>
      <c r="D38" s="31"/>
      <c r="E38" s="17">
        <v>89.4</v>
      </c>
      <c r="F38" s="17">
        <v>89.4</v>
      </c>
      <c r="G38" s="17">
        <v>89.4</v>
      </c>
      <c r="H38" s="17">
        <v>89.4</v>
      </c>
      <c r="I38" s="17">
        <v>89.4</v>
      </c>
      <c r="J38" s="17">
        <v>102.36</v>
      </c>
      <c r="K38" s="17"/>
      <c r="L38" s="17"/>
      <c r="M38" s="17"/>
      <c r="N38" s="155"/>
      <c r="O38" s="17"/>
      <c r="P38" s="17"/>
      <c r="Q38" s="29"/>
      <c r="R38" s="30">
        <f>SUM(Décaissements63[[#This Row],[Période 0]:[Période 12]])</f>
        <v>549.36</v>
      </c>
      <c r="S38" s="2">
        <f>+AVERAGE(Décaissements63[[#This Row],[Période 1]:[Période 12]])</f>
        <v>91.56</v>
      </c>
    </row>
    <row r="39" spans="2:19" ht="17.25" customHeight="1" x14ac:dyDescent="0.2">
      <c r="B39" s="356" t="s">
        <v>615</v>
      </c>
      <c r="C39" s="28"/>
      <c r="D39" s="31"/>
      <c r="E39" s="17">
        <v>100.82</v>
      </c>
      <c r="F39" s="17">
        <v>100.82</v>
      </c>
      <c r="G39" s="17">
        <v>100.82</v>
      </c>
      <c r="H39" s="17">
        <v>100.82</v>
      </c>
      <c r="I39" s="11">
        <v>100.82</v>
      </c>
      <c r="J39" s="17">
        <v>85.99</v>
      </c>
      <c r="K39" s="17"/>
      <c r="L39" s="17"/>
      <c r="M39" s="17"/>
      <c r="N39" s="17"/>
      <c r="O39" s="17"/>
      <c r="P39" s="17"/>
      <c r="Q39" s="29"/>
      <c r="R39" s="30">
        <f>SUM(Décaissements63[[#This Row],[Période 0]:[Période 12]])</f>
        <v>590.08999999999992</v>
      </c>
      <c r="S39" s="2">
        <f>+AVERAGE(Décaissements63[[#This Row],[Période 1]:[Période 12]])</f>
        <v>98.348333333333315</v>
      </c>
    </row>
    <row r="40" spans="2:19" ht="17.25" customHeight="1" x14ac:dyDescent="0.2">
      <c r="B40" s="356" t="s">
        <v>616</v>
      </c>
      <c r="C40" s="28"/>
      <c r="D40" s="31"/>
      <c r="E40" s="17">
        <v>71.319999999999993</v>
      </c>
      <c r="F40" s="17">
        <v>71.319999999999993</v>
      </c>
      <c r="G40" s="17">
        <v>71.319999999999993</v>
      </c>
      <c r="H40" s="17">
        <v>71.319999999999993</v>
      </c>
      <c r="I40" s="11">
        <v>71.319999999999993</v>
      </c>
      <c r="J40" s="17">
        <v>71.319999999999993</v>
      </c>
      <c r="K40" s="17"/>
      <c r="L40" s="17"/>
      <c r="M40" s="17"/>
      <c r="N40" s="17"/>
      <c r="O40" s="17"/>
      <c r="P40" s="17"/>
      <c r="Q40" s="29"/>
      <c r="R40" s="30">
        <f>SUM(Décaissements63[[#This Row],[Période 0]:[Période 12]])</f>
        <v>427.91999999999996</v>
      </c>
      <c r="S40" s="2">
        <f>+AVERAGE(Décaissements63[[#This Row],[Période 1]:[Période 12]])</f>
        <v>71.319999999999993</v>
      </c>
    </row>
    <row r="41" spans="2:19" ht="17.25" customHeight="1" x14ac:dyDescent="0.2">
      <c r="B41" s="356" t="s">
        <v>617</v>
      </c>
      <c r="C41" s="33"/>
      <c r="D41" s="11"/>
      <c r="E41" s="11">
        <v>127.11</v>
      </c>
      <c r="F41" s="11">
        <v>127.11</v>
      </c>
      <c r="G41" s="17">
        <v>127.11</v>
      </c>
      <c r="H41" s="17">
        <v>127.11</v>
      </c>
      <c r="I41" s="17">
        <v>127.11</v>
      </c>
      <c r="J41" s="17">
        <v>127.11</v>
      </c>
      <c r="K41" s="17"/>
      <c r="L41" s="17"/>
      <c r="M41" s="17"/>
      <c r="N41" s="154"/>
      <c r="O41" s="31"/>
      <c r="P41" s="31"/>
      <c r="Q41" s="34"/>
      <c r="R41" s="35">
        <f>SUM(Décaissements63[[#This Row],[Période 0]:[Période 12]])</f>
        <v>762.66</v>
      </c>
      <c r="S41" s="36">
        <f>+AVERAGE(Décaissements63[[#This Row],[Période 1]:[Période 12]])</f>
        <v>127.11</v>
      </c>
    </row>
    <row r="42" spans="2:19" ht="17.25" customHeight="1" x14ac:dyDescent="0.2">
      <c r="B42" s="356" t="s">
        <v>618</v>
      </c>
      <c r="C42" s="33"/>
      <c r="D42" s="11"/>
      <c r="E42" s="17">
        <v>50.31</v>
      </c>
      <c r="F42" s="17">
        <v>118.69</v>
      </c>
      <c r="G42" s="17">
        <v>93.87</v>
      </c>
      <c r="H42" s="17">
        <v>93.87</v>
      </c>
      <c r="I42" s="17">
        <v>93.87</v>
      </c>
      <c r="J42" s="17">
        <v>93.87</v>
      </c>
      <c r="K42" s="17"/>
      <c r="L42" s="17"/>
      <c r="M42" s="17"/>
      <c r="N42" s="156"/>
      <c r="O42" s="37"/>
      <c r="P42" s="37"/>
      <c r="Q42" s="34"/>
      <c r="R42" s="35">
        <f>SUM(Décaissements63[[#This Row],[Période 0]:[Période 12]])</f>
        <v>544.48</v>
      </c>
      <c r="S42" s="36">
        <f>+AVERAGE(Décaissements63[[#This Row],[Période 1]:[Période 12]])</f>
        <v>90.74666666666667</v>
      </c>
    </row>
    <row r="43" spans="2:19" ht="17.25" customHeight="1" x14ac:dyDescent="0.2">
      <c r="B43" s="356" t="s">
        <v>619</v>
      </c>
      <c r="C43" s="28"/>
      <c r="D43" s="31"/>
      <c r="E43" s="17">
        <v>15.24</v>
      </c>
      <c r="F43" s="17">
        <v>15.24</v>
      </c>
      <c r="G43" s="17">
        <v>15.24</v>
      </c>
      <c r="H43" s="17">
        <v>15.24</v>
      </c>
      <c r="I43" s="17">
        <v>15.24</v>
      </c>
      <c r="J43" s="17">
        <v>15.24</v>
      </c>
      <c r="K43" s="17"/>
      <c r="L43" s="17"/>
      <c r="M43" s="17"/>
      <c r="N43" s="17"/>
      <c r="O43" s="17"/>
      <c r="P43" s="17"/>
      <c r="Q43" s="32"/>
      <c r="R43" s="30">
        <f>SUM(Décaissements63[[#This Row],[Période 0]:[Période 12]])</f>
        <v>91.44</v>
      </c>
      <c r="S43" s="2">
        <f>+AVERAGE(Décaissements63[[#This Row],[Période 1]:[Période 12]])</f>
        <v>15.24</v>
      </c>
    </row>
    <row r="44" spans="2:19" ht="17.25" customHeight="1" x14ac:dyDescent="0.2">
      <c r="B44" s="356" t="s">
        <v>109</v>
      </c>
      <c r="C44" s="28"/>
      <c r="D44" s="31"/>
      <c r="E44" s="17">
        <v>16.989999999999998</v>
      </c>
      <c r="F44" s="17">
        <v>16.989999999999998</v>
      </c>
      <c r="G44" s="17">
        <v>16.989999999999998</v>
      </c>
      <c r="H44" s="17">
        <v>16.989999999999998</v>
      </c>
      <c r="I44" s="17">
        <v>16.989999999999998</v>
      </c>
      <c r="J44" s="17">
        <v>16.989999999999998</v>
      </c>
      <c r="K44" s="17"/>
      <c r="L44" s="17"/>
      <c r="M44" s="17"/>
      <c r="N44" s="17"/>
      <c r="O44" s="38"/>
      <c r="P44" s="38"/>
      <c r="Q44" s="222"/>
      <c r="R44" s="30">
        <f>SUM(Décaissements63[[#This Row],[Période 0]:[Période 12]])</f>
        <v>101.93999999999998</v>
      </c>
      <c r="S44" s="31">
        <f>+AVERAGE(Décaissements63[[#This Row],[Période 1]:[Période 12]])</f>
        <v>16.989999999999998</v>
      </c>
    </row>
    <row r="45" spans="2:19" ht="17.25" customHeight="1" x14ac:dyDescent="0.2">
      <c r="B45" s="356" t="s">
        <v>620</v>
      </c>
      <c r="C45" s="28"/>
      <c r="D45" s="31"/>
      <c r="E45" s="17"/>
      <c r="F45" s="17"/>
      <c r="G45" s="1"/>
      <c r="H45" s="31"/>
      <c r="I45" s="17"/>
      <c r="J45" s="17"/>
      <c r="K45" s="31"/>
      <c r="L45" s="31"/>
      <c r="M45" s="17"/>
      <c r="N45" s="31"/>
      <c r="O45" s="31"/>
      <c r="P45" s="31"/>
      <c r="Q45" s="29"/>
      <c r="R45" s="30">
        <f>SUM(Décaissements63[[#This Row],[Période 0]:[Période 12]])</f>
        <v>0</v>
      </c>
      <c r="S45" s="2" t="e">
        <f>+AVERAGE(Décaissements63[[#This Row],[Période 1]:[Période 12]])</f>
        <v>#DIV/0!</v>
      </c>
    </row>
    <row r="46" spans="2:19" ht="17.25" customHeight="1" x14ac:dyDescent="0.2">
      <c r="B46" s="356" t="s">
        <v>316</v>
      </c>
      <c r="C46" s="33"/>
      <c r="D46" s="11"/>
      <c r="E46" s="17">
        <f t="shared" ref="E46:J46" si="4">15.95+15.95</f>
        <v>31.9</v>
      </c>
      <c r="F46" s="17">
        <f t="shared" si="4"/>
        <v>31.9</v>
      </c>
      <c r="G46" s="17">
        <f t="shared" si="4"/>
        <v>31.9</v>
      </c>
      <c r="H46" s="79">
        <f t="shared" si="4"/>
        <v>31.9</v>
      </c>
      <c r="I46" s="100">
        <f t="shared" si="4"/>
        <v>31.9</v>
      </c>
      <c r="J46" s="100">
        <f t="shared" si="4"/>
        <v>31.9</v>
      </c>
      <c r="K46" s="100"/>
      <c r="L46" s="100"/>
      <c r="M46" s="100"/>
      <c r="N46" s="100"/>
      <c r="O46" s="100"/>
      <c r="P46" s="100"/>
      <c r="Q46" s="223"/>
      <c r="R46" s="35">
        <f>SUM(Décaissements63[[#This Row],[Période 0]:[Période 12]])</f>
        <v>191.4</v>
      </c>
      <c r="S46" s="224">
        <f>+AVERAGE(Décaissements63[[#This Row],[Période 1]:[Période 12]])</f>
        <v>31.900000000000002</v>
      </c>
    </row>
    <row r="47" spans="2:19" ht="17.25" customHeight="1" x14ac:dyDescent="0.2">
      <c r="B47" s="356" t="s">
        <v>794</v>
      </c>
      <c r="C47" s="28"/>
      <c r="D47" s="31"/>
      <c r="E47" s="17">
        <v>142.1</v>
      </c>
      <c r="F47" s="17">
        <v>142.1</v>
      </c>
      <c r="G47" s="17">
        <v>142.1</v>
      </c>
      <c r="H47" s="17">
        <v>143.25</v>
      </c>
      <c r="I47" s="17">
        <f>143.25+220</f>
        <v>363.25</v>
      </c>
      <c r="J47" s="17">
        <v>143.25</v>
      </c>
      <c r="K47" s="17"/>
      <c r="L47" s="17"/>
      <c r="M47" s="17"/>
      <c r="N47" s="154"/>
      <c r="O47" s="31"/>
      <c r="P47" s="31"/>
      <c r="Q47" s="32"/>
      <c r="R47" s="30">
        <f>SUM(Décaissements63[[#This Row],[Période 0]:[Période 12]])</f>
        <v>1076.05</v>
      </c>
      <c r="S47" s="2">
        <f>+AVERAGE(Décaissements63[[#This Row],[Période 1]:[Période 12]])</f>
        <v>179.34166666666667</v>
      </c>
    </row>
    <row r="48" spans="2:19" ht="15.75" customHeight="1" x14ac:dyDescent="0.2">
      <c r="B48" s="358" t="s">
        <v>106</v>
      </c>
      <c r="C48" s="14"/>
      <c r="D48" s="39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27"/>
      <c r="R48" s="2">
        <f>SUM(Décaissements63[[#This Row],[Période 0]:[Période 12]])</f>
        <v>0</v>
      </c>
    </row>
    <row r="49" spans="2:20" ht="17.25" customHeight="1" x14ac:dyDescent="0.2">
      <c r="B49" s="354" t="s">
        <v>116</v>
      </c>
      <c r="C49" s="33"/>
      <c r="D49" s="40"/>
      <c r="E49" s="40"/>
      <c r="F49" s="40"/>
      <c r="G49" s="39"/>
      <c r="H49" s="40"/>
      <c r="I49" s="40"/>
      <c r="J49" s="40"/>
      <c r="K49" s="40"/>
      <c r="L49" s="40"/>
      <c r="M49" s="40"/>
      <c r="N49" s="40"/>
      <c r="O49" s="40"/>
      <c r="P49" s="40"/>
      <c r="Q49" s="34"/>
      <c r="R49" s="41">
        <f>SUM(Décaissements63[[#This Row],[Période 0]:[Période 12]])</f>
        <v>0</v>
      </c>
    </row>
    <row r="50" spans="2:20" ht="17.25" customHeight="1" x14ac:dyDescent="0.2">
      <c r="B50" s="359" t="s">
        <v>21</v>
      </c>
      <c r="C50" s="33"/>
      <c r="D50" s="42"/>
      <c r="E50" s="17"/>
      <c r="F50" s="17"/>
      <c r="G50" s="1"/>
      <c r="H50" s="42"/>
      <c r="I50" s="42"/>
      <c r="J50" s="42"/>
      <c r="K50" s="42"/>
      <c r="L50" s="42"/>
      <c r="M50" s="42"/>
      <c r="N50" s="42"/>
      <c r="O50" s="42"/>
      <c r="P50" s="42"/>
      <c r="Q50" s="43"/>
      <c r="R50" s="41">
        <f>SUM(Décaissements63[[#This Row],[Période 0]:[Période 12]])</f>
        <v>0</v>
      </c>
      <c r="S50" s="2" t="e">
        <f>+AVERAGE(Décaissements63[[#This Row],[Période 1]:[Période 12]])</f>
        <v>#DIV/0!</v>
      </c>
    </row>
    <row r="51" spans="2:20" ht="17.25" customHeight="1" x14ac:dyDescent="0.2">
      <c r="B51" s="357" t="s">
        <v>712</v>
      </c>
      <c r="C51" s="33"/>
      <c r="D51" s="11"/>
      <c r="E51" s="17"/>
      <c r="F51" s="17"/>
      <c r="G51" s="17"/>
      <c r="H51" s="79">
        <f>39+39+39+39</f>
        <v>156</v>
      </c>
      <c r="I51" s="17">
        <f>39</f>
        <v>39</v>
      </c>
      <c r="J51" s="100">
        <f>39+39+39</f>
        <v>117</v>
      </c>
      <c r="K51" s="100"/>
      <c r="L51" s="100"/>
      <c r="M51" s="17"/>
      <c r="N51" s="100"/>
      <c r="O51" s="100"/>
      <c r="P51" s="100"/>
      <c r="Q51" s="34"/>
      <c r="R51" s="35">
        <f>SUM(Décaissements63[[#This Row],[Période 0]:[Période 12]])</f>
        <v>312</v>
      </c>
      <c r="S51" s="36">
        <f>+AVERAGE(Décaissements63[[#This Row],[Période 1]:[Période 12]])</f>
        <v>104</v>
      </c>
    </row>
    <row r="52" spans="2:20" ht="17.25" customHeight="1" x14ac:dyDescent="0.2">
      <c r="B52" s="357" t="s">
        <v>147</v>
      </c>
      <c r="C52" s="33"/>
      <c r="D52" s="11"/>
      <c r="E52" s="17"/>
      <c r="F52" s="17"/>
      <c r="G52" s="17"/>
      <c r="H52" s="79"/>
      <c r="I52" s="17"/>
      <c r="J52" s="100"/>
      <c r="K52" s="100"/>
      <c r="L52" s="100"/>
      <c r="M52" s="17"/>
      <c r="N52" s="100"/>
      <c r="O52" s="100"/>
      <c r="P52" s="100"/>
      <c r="Q52" s="34"/>
      <c r="R52" s="35">
        <f>SUM(Décaissements63[[#This Row],[Période 0]:[Période 12]])</f>
        <v>0</v>
      </c>
      <c r="S52" s="36" t="e">
        <f>+AVERAGE(Décaissements63[[#This Row],[Période 1]:[Période 12]])</f>
        <v>#DIV/0!</v>
      </c>
    </row>
    <row r="53" spans="2:20" ht="17.25" customHeight="1" x14ac:dyDescent="0.2">
      <c r="B53" s="357" t="s">
        <v>90</v>
      </c>
      <c r="C53" s="33"/>
      <c r="D53" s="11"/>
      <c r="E53" s="11"/>
      <c r="F53" s="11">
        <v>1500.57</v>
      </c>
      <c r="G53" s="11"/>
      <c r="H53" s="11"/>
      <c r="I53" s="17"/>
      <c r="J53" s="11"/>
      <c r="K53" s="11"/>
      <c r="L53" s="11"/>
      <c r="M53" s="17"/>
      <c r="N53" s="11"/>
      <c r="O53" s="11"/>
      <c r="P53" s="11"/>
      <c r="Q53" s="47"/>
      <c r="R53" s="35">
        <f>SUM(Décaissements63[[#This Row],[Période 0]:[Période 12]])</f>
        <v>1500.57</v>
      </c>
      <c r="S53" s="36">
        <f>+AVERAGE(Décaissements63[[#This Row],[Période 1]:[Période 12]])</f>
        <v>1500.57</v>
      </c>
    </row>
    <row r="54" spans="2:20" ht="17.25" customHeight="1" x14ac:dyDescent="0.2">
      <c r="B54" s="359" t="s">
        <v>22</v>
      </c>
      <c r="C54" s="33"/>
      <c r="D54" s="42"/>
      <c r="E54" s="17">
        <v>1903.67</v>
      </c>
      <c r="F54" s="17">
        <v>1891.31</v>
      </c>
      <c r="G54" s="17">
        <v>2117.11</v>
      </c>
      <c r="H54" s="17">
        <v>2159.14</v>
      </c>
      <c r="I54" s="17">
        <v>2054.4899999999998</v>
      </c>
      <c r="J54" s="11">
        <v>2202.9499999999998</v>
      </c>
      <c r="K54" s="11"/>
      <c r="L54" s="44"/>
      <c r="M54" s="17"/>
      <c r="N54" s="44"/>
      <c r="O54" s="44"/>
      <c r="P54" s="44"/>
      <c r="Q54" s="45"/>
      <c r="R54" s="41">
        <f>SUM(Décaissements63[[#This Row],[Période 0]:[Période 12]])</f>
        <v>12328.669999999998</v>
      </c>
      <c r="S54" s="2">
        <f>+AVERAGE(Décaissements63[[#This Row],[Période 1]:[Période 12]])</f>
        <v>2054.7783333333332</v>
      </c>
    </row>
    <row r="55" spans="2:20" s="46" customFormat="1" ht="17.25" customHeight="1" x14ac:dyDescent="0.2">
      <c r="B55" s="359" t="s">
        <v>23</v>
      </c>
      <c r="C55" s="33"/>
      <c r="D55" s="42"/>
      <c r="E55" s="17"/>
      <c r="F55" s="17"/>
      <c r="G55" s="17"/>
      <c r="H55" s="44"/>
      <c r="I55" s="17"/>
      <c r="J55" s="11"/>
      <c r="K55" s="11"/>
      <c r="L55" s="44"/>
      <c r="M55" s="17"/>
      <c r="N55" s="44"/>
      <c r="O55" s="44"/>
      <c r="P55" s="44"/>
      <c r="Q55" s="34"/>
      <c r="R55" s="41">
        <f>SUM(Décaissements63[[#This Row],[Période 0]:[Période 12]])</f>
        <v>0</v>
      </c>
      <c r="S55" s="2" t="e">
        <f>+AVERAGE(Décaissements63[[#This Row],[Période 1]:[Période 12]])</f>
        <v>#DIV/0!</v>
      </c>
      <c r="T55" s="2"/>
    </row>
    <row r="56" spans="2:20" ht="17.25" customHeight="1" x14ac:dyDescent="0.2">
      <c r="B56" s="359" t="s">
        <v>81</v>
      </c>
      <c r="C56" s="33"/>
      <c r="D56" s="42"/>
      <c r="E56" s="17">
        <v>1761.46</v>
      </c>
      <c r="F56" s="17"/>
      <c r="G56" s="17">
        <v>1765.42</v>
      </c>
      <c r="H56" s="17">
        <v>1799.9</v>
      </c>
      <c r="I56" s="17">
        <v>1659.59</v>
      </c>
      <c r="J56" s="11">
        <v>1809.12</v>
      </c>
      <c r="K56" s="11"/>
      <c r="L56" s="44"/>
      <c r="M56" s="17"/>
      <c r="N56" s="44"/>
      <c r="O56" s="44"/>
      <c r="P56" s="44"/>
      <c r="Q56" s="34"/>
      <c r="R56" s="41">
        <f>SUM(Décaissements63[[#This Row],[Période 0]:[Période 12]])</f>
        <v>8795.4900000000016</v>
      </c>
      <c r="S56" s="2">
        <f>+AVERAGE(Décaissements63[[#This Row],[Période 1]:[Période 12]])</f>
        <v>1759.0980000000004</v>
      </c>
      <c r="T56" s="46"/>
    </row>
    <row r="57" spans="2:20" ht="17.25" customHeight="1" x14ac:dyDescent="0.2">
      <c r="B57" s="359" t="s">
        <v>24</v>
      </c>
      <c r="C57" s="33"/>
      <c r="D57" s="42"/>
      <c r="E57" s="17"/>
      <c r="F57" s="17"/>
      <c r="G57" s="44"/>
      <c r="H57" s="44"/>
      <c r="I57" s="17"/>
      <c r="J57" s="11"/>
      <c r="K57" s="11"/>
      <c r="L57" s="44"/>
      <c r="M57" s="17"/>
      <c r="N57" s="44"/>
      <c r="O57" s="44"/>
      <c r="P57" s="44"/>
      <c r="Q57" s="34"/>
      <c r="R57" s="41">
        <f>SUM(Décaissements63[[#This Row],[Période 0]:[Période 12]])</f>
        <v>0</v>
      </c>
      <c r="S57" s="2" t="e">
        <f>+AVERAGE(Décaissements63[[#This Row],[Période 1]:[Période 12]])</f>
        <v>#DIV/0!</v>
      </c>
    </row>
    <row r="58" spans="2:20" ht="17.25" customHeight="1" x14ac:dyDescent="0.2">
      <c r="B58" s="357" t="s">
        <v>96</v>
      </c>
      <c r="C58" s="33"/>
      <c r="D58" s="11"/>
      <c r="E58" s="17"/>
      <c r="F58" s="17">
        <v>2295</v>
      </c>
      <c r="G58" s="17">
        <v>342.92</v>
      </c>
      <c r="H58" s="11"/>
      <c r="I58" s="17"/>
      <c r="J58" s="11"/>
      <c r="K58" s="11"/>
      <c r="L58" s="11"/>
      <c r="M58" s="17"/>
      <c r="N58" s="11"/>
      <c r="O58" s="11"/>
      <c r="P58" s="11"/>
      <c r="Q58" s="34"/>
      <c r="R58" s="35">
        <f>SUM(Décaissements63[[#This Row],[Période 0]:[Période 12]])</f>
        <v>2637.92</v>
      </c>
      <c r="S58" s="36">
        <f>+AVERAGE(Décaissements63[[#This Row],[Période 1]:[Période 12]])</f>
        <v>1318.96</v>
      </c>
    </row>
    <row r="59" spans="2:20" ht="17.25" customHeight="1" x14ac:dyDescent="0.2">
      <c r="B59" s="359" t="s">
        <v>25</v>
      </c>
      <c r="C59" s="33"/>
      <c r="D59" s="42"/>
      <c r="E59" s="17">
        <v>7851</v>
      </c>
      <c r="F59" s="17">
        <v>10078</v>
      </c>
      <c r="G59" s="17">
        <v>11150</v>
      </c>
      <c r="H59" s="17">
        <v>11213</v>
      </c>
      <c r="I59" s="17">
        <v>10494</v>
      </c>
      <c r="J59" s="11">
        <v>11809</v>
      </c>
      <c r="K59" s="11"/>
      <c r="L59" s="44"/>
      <c r="M59" s="17"/>
      <c r="N59" s="44"/>
      <c r="O59" s="44"/>
      <c r="P59" s="44"/>
      <c r="Q59" s="34"/>
      <c r="R59" s="41">
        <f>SUM(Décaissements63[[#This Row],[Période 0]:[Période 12]])</f>
        <v>62595</v>
      </c>
      <c r="S59" s="2">
        <f>+AVERAGE(Décaissements63[[#This Row],[Période 1]:[Période 12]])</f>
        <v>10432.5</v>
      </c>
    </row>
    <row r="60" spans="2:20" ht="17.25" customHeight="1" x14ac:dyDescent="0.2">
      <c r="B60" s="359" t="s">
        <v>26</v>
      </c>
      <c r="C60" s="33"/>
      <c r="D60" s="42"/>
      <c r="E60" s="17">
        <v>1909.83</v>
      </c>
      <c r="F60" s="17"/>
      <c r="G60" s="1"/>
      <c r="H60" s="17">
        <v>2210.2800000000002</v>
      </c>
      <c r="I60" s="17"/>
      <c r="J60" s="11"/>
      <c r="K60" s="17"/>
      <c r="L60" s="44"/>
      <c r="M60" s="17"/>
      <c r="N60" s="44"/>
      <c r="O60" s="44"/>
      <c r="P60" s="44"/>
      <c r="Q60" s="34"/>
      <c r="R60" s="41">
        <f>SUM(Décaissements63[[#This Row],[Période 0]:[Période 12]])</f>
        <v>4120.1100000000006</v>
      </c>
      <c r="S60" s="2">
        <f>+AVERAGE(Décaissements63[[#This Row],[Période 1]:[Période 12]])</f>
        <v>2060.0550000000003</v>
      </c>
    </row>
    <row r="61" spans="2:20" ht="17.25" customHeight="1" x14ac:dyDescent="0.2">
      <c r="B61" s="359" t="s">
        <v>27</v>
      </c>
      <c r="C61" s="33"/>
      <c r="D61" s="42"/>
      <c r="E61" s="17">
        <v>5596</v>
      </c>
      <c r="F61" s="17">
        <v>5074</v>
      </c>
      <c r="G61" s="17">
        <v>4965</v>
      </c>
      <c r="H61" s="44">
        <v>6024</v>
      </c>
      <c r="I61" s="17">
        <v>6112</v>
      </c>
      <c r="J61" s="11">
        <v>5467</v>
      </c>
      <c r="K61" s="44"/>
      <c r="L61" s="17"/>
      <c r="M61" s="17"/>
      <c r="N61" s="44"/>
      <c r="O61" s="44"/>
      <c r="P61" s="44"/>
      <c r="Q61" s="34"/>
      <c r="R61" s="41">
        <f>SUM(Décaissements63[[#This Row],[Période 0]:[Période 12]])</f>
        <v>33238</v>
      </c>
      <c r="S61" s="2">
        <f>+AVERAGE(Décaissements63[[#This Row],[Période 1]:[Période 12]])</f>
        <v>5539.666666666667</v>
      </c>
    </row>
    <row r="62" spans="2:20" ht="17.100000000000001" customHeight="1" x14ac:dyDescent="0.2">
      <c r="B62" s="357" t="s">
        <v>99</v>
      </c>
      <c r="C62" s="33"/>
      <c r="D62" s="11"/>
      <c r="E62" s="17"/>
      <c r="F62" s="17"/>
      <c r="G62" s="17"/>
      <c r="H62" s="79"/>
      <c r="I62" s="17"/>
      <c r="J62" s="11"/>
      <c r="K62" s="11"/>
      <c r="L62" s="100"/>
      <c r="M62" s="17"/>
      <c r="N62" s="100"/>
      <c r="O62" s="100"/>
      <c r="P62" s="100"/>
      <c r="Q62" s="34"/>
      <c r="R62" s="35">
        <f>SUM(Décaissements63[[#This Row],[Période 0]:[Période 12]])</f>
        <v>0</v>
      </c>
      <c r="S62" s="36" t="e">
        <f>+AVERAGE(Décaissements63[[#This Row],[Période 1]:[Période 12]])</f>
        <v>#DIV/0!</v>
      </c>
    </row>
    <row r="63" spans="2:20" ht="17.25" customHeight="1" x14ac:dyDescent="0.2">
      <c r="B63" s="359" t="s">
        <v>28</v>
      </c>
      <c r="C63" s="33"/>
      <c r="D63" s="42"/>
      <c r="E63" s="17"/>
      <c r="F63" s="17"/>
      <c r="G63" s="17"/>
      <c r="H63" s="17"/>
      <c r="I63" s="17"/>
      <c r="J63" s="11"/>
      <c r="K63" s="11"/>
      <c r="L63" s="1"/>
      <c r="M63" s="17"/>
      <c r="N63" s="1"/>
      <c r="O63" s="1"/>
      <c r="P63" s="1"/>
      <c r="Q63" s="34"/>
      <c r="R63" s="41">
        <f>SUM(Décaissements63[[#This Row],[Période 0]:[Période 12]])</f>
        <v>0</v>
      </c>
      <c r="S63" s="2" t="e">
        <f>+AVERAGE(Décaissements63[[#This Row],[Période 1]:[Période 12]])</f>
        <v>#DIV/0!</v>
      </c>
    </row>
    <row r="64" spans="2:20" ht="17.25" customHeight="1" x14ac:dyDescent="0.2">
      <c r="B64" s="354" t="s">
        <v>111</v>
      </c>
      <c r="C64" s="56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4"/>
      <c r="R64" s="55">
        <f>SUM(Décaissements63[[#This Row],[Période 0]:[Période 12]])</f>
        <v>0</v>
      </c>
      <c r="S64" s="36"/>
    </row>
    <row r="65" spans="2:19" ht="17.25" customHeight="1" x14ac:dyDescent="0.2">
      <c r="B65" s="359" t="s">
        <v>35</v>
      </c>
      <c r="C65" s="33"/>
      <c r="D65" s="42"/>
      <c r="E65" s="17">
        <v>96.8</v>
      </c>
      <c r="F65" s="17">
        <v>117.19</v>
      </c>
      <c r="G65" s="17">
        <v>31.66</v>
      </c>
      <c r="H65" s="44">
        <v>58.93</v>
      </c>
      <c r="I65" s="11">
        <v>25.28</v>
      </c>
      <c r="J65" s="44"/>
      <c r="K65" s="11"/>
      <c r="L65" s="100"/>
      <c r="M65" s="11"/>
      <c r="N65" s="44"/>
      <c r="O65" s="44"/>
      <c r="P65" s="44"/>
      <c r="Q65" s="33"/>
      <c r="R65" s="41">
        <f>SUM(Décaissements63[[#This Row],[Période 0]:[Période 12]])</f>
        <v>329.86</v>
      </c>
      <c r="S65" s="2">
        <f>+AVERAGE(Décaissements63[[#This Row],[Période 1]:[Période 12]])</f>
        <v>65.972000000000008</v>
      </c>
    </row>
    <row r="66" spans="2:19" ht="17.25" customHeight="1" x14ac:dyDescent="0.2">
      <c r="B66" s="359" t="s">
        <v>36</v>
      </c>
      <c r="C66" s="33"/>
      <c r="D66" s="42"/>
      <c r="E66" s="17">
        <v>228.84</v>
      </c>
      <c r="F66" s="17">
        <v>163.77000000000001</v>
      </c>
      <c r="G66" s="17">
        <v>295.19</v>
      </c>
      <c r="H66" s="17">
        <v>277.95999999999998</v>
      </c>
      <c r="I66" s="11">
        <v>224.93</v>
      </c>
      <c r="J66" s="11">
        <v>135.38</v>
      </c>
      <c r="K66" s="11"/>
      <c r="L66" s="11"/>
      <c r="M66" s="11"/>
      <c r="N66" s="44"/>
      <c r="O66" s="44"/>
      <c r="P66" s="44"/>
      <c r="Q66" s="33"/>
      <c r="R66" s="41">
        <f>SUM(Décaissements63[[#This Row],[Période 0]:[Période 12]])</f>
        <v>1326.0700000000002</v>
      </c>
      <c r="S66" s="2">
        <f>+AVERAGE(Décaissements63[[#This Row],[Période 1]:[Période 12]])</f>
        <v>221.01166666666668</v>
      </c>
    </row>
    <row r="67" spans="2:19" ht="17.25" customHeight="1" x14ac:dyDescent="0.2">
      <c r="B67" s="359" t="s">
        <v>37</v>
      </c>
      <c r="C67" s="33"/>
      <c r="D67" s="42"/>
      <c r="E67" s="42">
        <v>268.67</v>
      </c>
      <c r="F67" s="44">
        <v>20.239999999999998</v>
      </c>
      <c r="G67" s="17">
        <v>19.97</v>
      </c>
      <c r="H67" s="44">
        <v>19.38</v>
      </c>
      <c r="I67" s="11">
        <v>5.31</v>
      </c>
      <c r="J67" s="11"/>
      <c r="K67" s="11"/>
      <c r="L67" s="11"/>
      <c r="M67" s="11"/>
      <c r="N67" s="44"/>
      <c r="O67" s="44"/>
      <c r="P67" s="44"/>
      <c r="Q67" s="33"/>
      <c r="R67" s="41">
        <f>SUM(Décaissements63[[#This Row],[Période 0]:[Période 12]])</f>
        <v>333.57</v>
      </c>
      <c r="S67" s="2">
        <f>+AVERAGE(Décaissements63[[#This Row],[Période 1]:[Période 12]])</f>
        <v>66.713999999999999</v>
      </c>
    </row>
    <row r="68" spans="2:19" ht="17.25" customHeight="1" x14ac:dyDescent="0.2">
      <c r="B68" s="357" t="s">
        <v>85</v>
      </c>
      <c r="C68" s="33"/>
      <c r="D68" s="11"/>
      <c r="E68" s="11">
        <v>14.14</v>
      </c>
      <c r="F68" s="11">
        <v>14.14</v>
      </c>
      <c r="G68" s="17">
        <v>14.14</v>
      </c>
      <c r="H68" s="11">
        <v>14.14</v>
      </c>
      <c r="I68" s="11"/>
      <c r="J68" s="11"/>
      <c r="K68" s="11"/>
      <c r="L68" s="11"/>
      <c r="M68" s="11"/>
      <c r="N68" s="11"/>
      <c r="O68" s="11"/>
      <c r="P68" s="11"/>
      <c r="Q68" s="34"/>
      <c r="R68" s="35">
        <f>SUM(Décaissements63[[#This Row],[Période 0]:[Période 12]])</f>
        <v>56.56</v>
      </c>
      <c r="S68" s="36">
        <f>+AVERAGE(Décaissements63[[#This Row],[Période 1]:[Période 12]])</f>
        <v>14.14</v>
      </c>
    </row>
    <row r="69" spans="2:19" ht="17.25" customHeight="1" x14ac:dyDescent="0.2">
      <c r="B69" s="359" t="s">
        <v>33</v>
      </c>
      <c r="C69" s="33"/>
      <c r="D69" s="42"/>
      <c r="E69" s="17">
        <f>43+32</f>
        <v>75</v>
      </c>
      <c r="F69" s="17">
        <v>43</v>
      </c>
      <c r="G69" s="17">
        <f>43+32</f>
        <v>75</v>
      </c>
      <c r="H69" s="17">
        <f>43+34.43</f>
        <v>77.430000000000007</v>
      </c>
      <c r="I69" s="11">
        <f>43+34.62</f>
        <v>77.62</v>
      </c>
      <c r="J69" s="11">
        <f>43+32</f>
        <v>75</v>
      </c>
      <c r="K69" s="11"/>
      <c r="L69" s="11"/>
      <c r="M69" s="11"/>
      <c r="N69" s="44"/>
      <c r="O69" s="44"/>
      <c r="P69" s="44"/>
      <c r="Q69" s="33"/>
      <c r="R69" s="41">
        <f>SUM(Décaissements63[[#This Row],[Période 0]:[Période 12]])</f>
        <v>423.05</v>
      </c>
      <c r="S69" s="2">
        <f>+AVERAGE(Décaissements63[[#This Row],[Période 1]:[Période 12]])</f>
        <v>70.50833333333334</v>
      </c>
    </row>
    <row r="70" spans="2:19" ht="17.25" customHeight="1" x14ac:dyDescent="0.2">
      <c r="B70" s="359" t="s">
        <v>34</v>
      </c>
      <c r="C70" s="33"/>
      <c r="D70" s="42"/>
      <c r="E70" s="17">
        <f>50+35+31+31+31.67</f>
        <v>178.67000000000002</v>
      </c>
      <c r="F70" s="17">
        <f>50+38+36.36+31+31+36.54</f>
        <v>222.9</v>
      </c>
      <c r="G70" s="17">
        <f>50+38+31+31+31</f>
        <v>181</v>
      </c>
      <c r="H70" s="17">
        <f>50+38+31+31+31</f>
        <v>181</v>
      </c>
      <c r="I70" s="11">
        <f>50+38+31+31+35.19</f>
        <v>185.19</v>
      </c>
      <c r="J70" s="11">
        <f>50+38+70.98+31+31</f>
        <v>220.98000000000002</v>
      </c>
      <c r="K70" s="17"/>
      <c r="L70" s="11"/>
      <c r="M70" s="11"/>
      <c r="N70" s="44"/>
      <c r="O70" s="44"/>
      <c r="P70" s="44"/>
      <c r="Q70" s="34"/>
      <c r="R70" s="41">
        <f>SUM(Décaissements63[[#This Row],[Période 0]:[Période 12]])</f>
        <v>1169.74</v>
      </c>
      <c r="S70" s="2">
        <f>+AVERAGE(Décaissements63[[#This Row],[Période 1]:[Période 12]])</f>
        <v>194.95666666666668</v>
      </c>
    </row>
    <row r="71" spans="2:19" ht="17.25" customHeight="1" x14ac:dyDescent="0.2">
      <c r="B71" s="357" t="s">
        <v>94</v>
      </c>
      <c r="C71" s="33"/>
      <c r="D71" s="11"/>
      <c r="E71" s="11"/>
      <c r="F71" s="11"/>
      <c r="G71" s="11"/>
      <c r="H71" s="11"/>
      <c r="I71" s="11">
        <v>307.8</v>
      </c>
      <c r="J71" s="11"/>
      <c r="K71" s="11"/>
      <c r="L71" s="11"/>
      <c r="M71" s="11"/>
      <c r="N71" s="11"/>
      <c r="O71" s="11"/>
      <c r="P71" s="11"/>
      <c r="Q71" s="34"/>
      <c r="R71" s="35">
        <f>SUM(Décaissements63[[#This Row],[Période 0]:[Période 12]])</f>
        <v>307.8</v>
      </c>
      <c r="S71" s="36">
        <f>+AVERAGE(Décaissements63[[#This Row],[Période 1]:[Période 12]])</f>
        <v>307.8</v>
      </c>
    </row>
    <row r="72" spans="2:19" ht="17.25" customHeight="1" x14ac:dyDescent="0.2">
      <c r="B72" s="359" t="s">
        <v>65</v>
      </c>
      <c r="C72" s="33"/>
      <c r="D72" s="42"/>
      <c r="E72" s="17">
        <v>180.56</v>
      </c>
      <c r="F72" s="17"/>
      <c r="G72" s="17">
        <v>142.33000000000001</v>
      </c>
      <c r="H72" s="44"/>
      <c r="I72" s="11">
        <v>405.73</v>
      </c>
      <c r="J72" s="11"/>
      <c r="K72" s="11"/>
      <c r="L72" s="44"/>
      <c r="M72" s="44"/>
      <c r="N72" s="44"/>
      <c r="O72" s="44"/>
      <c r="P72" s="44"/>
      <c r="Q72" s="45"/>
      <c r="R72" s="41">
        <f>SUM(Décaissements63[[#This Row],[Période 0]:[Période 12]])</f>
        <v>728.62</v>
      </c>
      <c r="S72" s="2">
        <f>+AVERAGE(Décaissements63[[#This Row],[Période 1]:[Période 12]])</f>
        <v>242.87333333333333</v>
      </c>
    </row>
    <row r="73" spans="2:19" ht="17.25" customHeight="1" x14ac:dyDescent="0.2">
      <c r="B73" s="359" t="s">
        <v>32</v>
      </c>
      <c r="C73" s="33"/>
      <c r="D73" s="42"/>
      <c r="E73" s="17"/>
      <c r="F73" s="17"/>
      <c r="G73" s="17"/>
      <c r="H73" s="44"/>
      <c r="I73" s="11"/>
      <c r="J73" s="11"/>
      <c r="K73" s="44"/>
      <c r="L73" s="44"/>
      <c r="M73" s="44"/>
      <c r="N73" s="44"/>
      <c r="O73" s="44"/>
      <c r="P73" s="44"/>
      <c r="Q73" s="45"/>
      <c r="R73" s="41">
        <f>SUM(Décaissements63[[#This Row],[Période 0]:[Période 12]])</f>
        <v>0</v>
      </c>
      <c r="S73" s="2" t="e">
        <f>+AVERAGE(Décaissements63[[#This Row],[Période 1]:[Période 12]])</f>
        <v>#DIV/0!</v>
      </c>
    </row>
    <row r="74" spans="2:19" ht="17.25" customHeight="1" x14ac:dyDescent="0.2">
      <c r="B74" s="357" t="s">
        <v>82</v>
      </c>
      <c r="C74" s="33"/>
      <c r="D74" s="11"/>
      <c r="E74" s="11"/>
      <c r="F74" s="11">
        <v>45.24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34"/>
      <c r="R74" s="35">
        <f>SUM(Décaissements63[[#This Row],[Période 0]:[Période 12]])</f>
        <v>45.24</v>
      </c>
      <c r="S74" s="36">
        <f>+AVERAGE(Décaissements63[[#This Row],[Période 1]:[Période 12]])</f>
        <v>45.24</v>
      </c>
    </row>
    <row r="75" spans="2:19" ht="17.25" customHeight="1" x14ac:dyDescent="0.2">
      <c r="B75" s="359" t="s">
        <v>29</v>
      </c>
      <c r="C75" s="33"/>
      <c r="D75" s="42"/>
      <c r="E75" s="17">
        <f>980+260+380+1665.67</f>
        <v>3285.67</v>
      </c>
      <c r="F75" s="17"/>
      <c r="G75" s="17">
        <f>240.11+1135+237.48</f>
        <v>1612.5900000000001</v>
      </c>
      <c r="H75" s="78">
        <f>194+130+1600</f>
        <v>1924</v>
      </c>
      <c r="I75" s="11">
        <f>515.29+1600+822.05</f>
        <v>2937.34</v>
      </c>
      <c r="J75" s="11">
        <f>484.99+17+364+475.87+541.94</f>
        <v>1883.8000000000002</v>
      </c>
      <c r="K75" s="11"/>
      <c r="L75" s="11"/>
      <c r="M75" s="44"/>
      <c r="N75" s="44"/>
      <c r="O75" s="44"/>
      <c r="P75" s="44"/>
      <c r="Q75" s="45"/>
      <c r="R75" s="41">
        <f>SUM(Décaissements63[[#This Row],[Période 0]:[Période 12]])</f>
        <v>11643.400000000001</v>
      </c>
      <c r="S75" s="2">
        <f>+AVERAGE(Décaissements63[[#This Row],[Période 1]:[Période 12]])</f>
        <v>2328.6800000000003</v>
      </c>
    </row>
    <row r="76" spans="2:19" ht="17.25" customHeight="1" x14ac:dyDescent="0.2">
      <c r="B76" s="359" t="s">
        <v>66</v>
      </c>
      <c r="C76" s="33"/>
      <c r="D76" s="42"/>
      <c r="E76" s="17">
        <f>8.6+1311.36</f>
        <v>1319.9599999999998</v>
      </c>
      <c r="F76" s="17">
        <v>9.6999999999999993</v>
      </c>
      <c r="G76" s="17">
        <f>936.1+2+1139.27</f>
        <v>2077.37</v>
      </c>
      <c r="H76" s="77">
        <f>2.3+1102.38</f>
        <v>1104.68</v>
      </c>
      <c r="I76" s="11">
        <f>3.2+919.8</f>
        <v>923</v>
      </c>
      <c r="J76" s="11">
        <v>811.94</v>
      </c>
      <c r="K76" s="11"/>
      <c r="L76" s="44"/>
      <c r="M76" s="11"/>
      <c r="N76" s="44"/>
      <c r="O76" s="44"/>
      <c r="P76" s="44"/>
      <c r="Q76" s="45"/>
      <c r="R76" s="41">
        <f>SUM(Décaissements63[[#This Row],[Période 0]:[Période 12]])</f>
        <v>6246.65</v>
      </c>
      <c r="S76" s="2">
        <f>+AVERAGE(Décaissements63[[#This Row],[Période 1]:[Période 12]])</f>
        <v>1041.1083333333333</v>
      </c>
    </row>
    <row r="77" spans="2:19" ht="17.25" customHeight="1" x14ac:dyDescent="0.2">
      <c r="B77" s="359" t="s">
        <v>30</v>
      </c>
      <c r="C77" s="33"/>
      <c r="D77" s="42"/>
      <c r="E77" s="17">
        <f>2104.85+1720.53</f>
        <v>3825.38</v>
      </c>
      <c r="F77" s="17">
        <f>1966.62+1748.92</f>
        <v>3715.54</v>
      </c>
      <c r="G77" s="17">
        <f>1875.91+2345.35+51.73</f>
        <v>4272.99</v>
      </c>
      <c r="H77" s="17">
        <f>3143.33+2219.29</f>
        <v>5362.62</v>
      </c>
      <c r="I77" s="11">
        <f>2377.72+2029.45</f>
        <v>4407.17</v>
      </c>
      <c r="J77" s="11">
        <f>1944.5+2344.68</f>
        <v>4289.18</v>
      </c>
      <c r="K77" s="11"/>
      <c r="L77" s="11"/>
      <c r="M77" s="11"/>
      <c r="N77" s="44"/>
      <c r="O77" s="44"/>
      <c r="P77" s="44"/>
      <c r="Q77" s="45"/>
      <c r="R77" s="41">
        <f>SUM(Décaissements63[[#This Row],[Période 0]:[Période 12]])</f>
        <v>25872.879999999997</v>
      </c>
      <c r="S77" s="2">
        <f>+AVERAGE(Décaissements63[[#This Row],[Période 1]:[Période 12]])</f>
        <v>4312.1466666666665</v>
      </c>
    </row>
    <row r="78" spans="2:19" ht="17.25" customHeight="1" x14ac:dyDescent="0.2">
      <c r="B78" s="357" t="s">
        <v>622</v>
      </c>
      <c r="C78" s="33"/>
      <c r="D78" s="11"/>
      <c r="E78" s="17"/>
      <c r="F78" s="17"/>
      <c r="G78" s="17">
        <f>505.92+3328.92+306.24+427.99+3103.15</f>
        <v>7672.2199999999993</v>
      </c>
      <c r="H78" s="11"/>
      <c r="I78" s="11">
        <f>2363.02+366.58</f>
        <v>2729.6</v>
      </c>
      <c r="J78" s="134">
        <f>3699.65+4679</f>
        <v>8378.65</v>
      </c>
      <c r="K78" s="11"/>
      <c r="L78" s="11"/>
      <c r="M78" s="11"/>
      <c r="N78" s="11"/>
      <c r="O78" s="11"/>
      <c r="P78" s="11"/>
      <c r="Q78" s="47"/>
      <c r="R78" s="35">
        <f>SUM(Décaissements63[[#This Row],[Période 0]:[Période 12]])</f>
        <v>18780.47</v>
      </c>
      <c r="S78" s="36">
        <f>+AVERAGE(Décaissements63[[#This Row],[Période 1]:[Période 12]])</f>
        <v>6260.1566666666668</v>
      </c>
    </row>
    <row r="79" spans="2:19" ht="17.25" customHeight="1" x14ac:dyDescent="0.2">
      <c r="B79" s="359" t="s">
        <v>31</v>
      </c>
      <c r="C79" s="33"/>
      <c r="D79" s="42"/>
      <c r="E79" s="17"/>
      <c r="F79" s="17"/>
      <c r="G79" s="1"/>
      <c r="H79" s="44"/>
      <c r="I79" s="11"/>
      <c r="J79" s="44"/>
      <c r="K79" s="44"/>
      <c r="L79" s="44"/>
      <c r="M79" s="44"/>
      <c r="N79" s="44"/>
      <c r="O79" s="44"/>
      <c r="P79" s="44"/>
      <c r="Q79" s="45"/>
      <c r="R79" s="41">
        <f>SUM(Décaissements63[[#This Row],[Période 0]:[Période 12]])</f>
        <v>0</v>
      </c>
      <c r="S79" s="2" t="e">
        <f>+AVERAGE(Décaissements63[[#This Row],[Période 1]:[Période 12]])</f>
        <v>#DIV/0!</v>
      </c>
    </row>
    <row r="80" spans="2:19" ht="17.25" customHeight="1" x14ac:dyDescent="0.2">
      <c r="B80" s="354" t="s">
        <v>110</v>
      </c>
      <c r="C80" s="56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4"/>
      <c r="R80" s="55">
        <f>SUM(Décaissements63[[#This Row],[Période 0]:[Période 12]])</f>
        <v>0</v>
      </c>
      <c r="S80" s="36"/>
    </row>
    <row r="81" spans="2:19" ht="17.25" customHeight="1" x14ac:dyDescent="0.2">
      <c r="B81" s="357" t="s">
        <v>70</v>
      </c>
      <c r="C81" s="33"/>
      <c r="D81" s="11"/>
      <c r="E81" s="17">
        <v>53.88</v>
      </c>
      <c r="F81" s="17"/>
      <c r="G81" s="17"/>
      <c r="H81" s="11"/>
      <c r="I81" s="11"/>
      <c r="J81" s="11"/>
      <c r="K81" s="11"/>
      <c r="L81" s="11"/>
      <c r="M81" s="11"/>
      <c r="N81" s="11"/>
      <c r="O81" s="11"/>
      <c r="P81" s="11"/>
      <c r="Q81" s="34"/>
      <c r="R81" s="35">
        <f>SUM(Décaissements63[[#This Row],[Période 0]:[Période 12]])</f>
        <v>53.88</v>
      </c>
      <c r="S81" s="36">
        <f>+AVERAGE(Décaissements63[[#This Row],[Période 1]:[Période 12]])</f>
        <v>53.88</v>
      </c>
    </row>
    <row r="82" spans="2:19" ht="17.25" customHeight="1" x14ac:dyDescent="0.2">
      <c r="B82" s="357" t="s">
        <v>161</v>
      </c>
      <c r="C82" s="33"/>
      <c r="D82" s="11"/>
      <c r="E82" s="17"/>
      <c r="F82" s="17"/>
      <c r="G82" s="17"/>
      <c r="H82" s="79"/>
      <c r="I82" s="11"/>
      <c r="J82" s="100"/>
      <c r="K82" s="11"/>
      <c r="L82" s="100"/>
      <c r="M82" s="100"/>
      <c r="N82" s="100"/>
      <c r="O82" s="100"/>
      <c r="P82" s="100"/>
      <c r="Q82" s="34"/>
      <c r="R82" s="35">
        <f>SUM(Décaissements63[[#This Row],[Période 0]:[Période 12]])</f>
        <v>0</v>
      </c>
      <c r="S82" s="36" t="e">
        <f>+AVERAGE(Décaissements63[[#This Row],[Période 1]:[Période 12]])</f>
        <v>#DIV/0!</v>
      </c>
    </row>
    <row r="83" spans="2:19" ht="17.25" customHeight="1" x14ac:dyDescent="0.2">
      <c r="B83" s="357" t="s">
        <v>97</v>
      </c>
      <c r="C83" s="33"/>
      <c r="D83" s="11"/>
      <c r="E83" s="17">
        <v>100</v>
      </c>
      <c r="F83" s="17"/>
      <c r="G83" s="17">
        <f>480+99</f>
        <v>579</v>
      </c>
      <c r="H83" s="11"/>
      <c r="I83" s="11">
        <v>348</v>
      </c>
      <c r="J83" s="11"/>
      <c r="K83" s="11"/>
      <c r="L83" s="11"/>
      <c r="M83" s="11"/>
      <c r="N83" s="11"/>
      <c r="O83" s="11"/>
      <c r="P83" s="11"/>
      <c r="Q83" s="47"/>
      <c r="R83" s="35">
        <f>SUM(Décaissements63[[#This Row],[Période 0]:[Période 12]])</f>
        <v>1027</v>
      </c>
      <c r="S83" s="36">
        <f>+AVERAGE(Décaissements63[[#This Row],[Période 1]:[Période 12]])</f>
        <v>342.33333333333331</v>
      </c>
    </row>
    <row r="84" spans="2:19" ht="17.25" customHeight="1" x14ac:dyDescent="0.2">
      <c r="B84" s="357" t="s">
        <v>55</v>
      </c>
      <c r="C84" s="33"/>
      <c r="D84" s="11"/>
      <c r="E84" s="17">
        <v>19.989999999999998</v>
      </c>
      <c r="F84" s="17"/>
      <c r="G84" s="1"/>
      <c r="H84" s="11"/>
      <c r="I84" s="11"/>
      <c r="J84" s="11"/>
      <c r="K84" s="11"/>
      <c r="L84" s="11"/>
      <c r="M84" s="11"/>
      <c r="N84" s="11"/>
      <c r="O84" s="11"/>
      <c r="P84" s="11"/>
      <c r="Q84" s="34"/>
      <c r="R84" s="35">
        <f>SUM(Décaissements63[[#This Row],[Période 0]:[Période 12]])</f>
        <v>19.989999999999998</v>
      </c>
      <c r="S84" s="36">
        <f>+AVERAGE(Décaissements63[[#This Row],[Période 1]:[Période 12]])</f>
        <v>19.989999999999998</v>
      </c>
    </row>
    <row r="85" spans="2:19" ht="17.25" customHeight="1" x14ac:dyDescent="0.2">
      <c r="B85" s="357" t="s">
        <v>88</v>
      </c>
      <c r="C85" s="33"/>
      <c r="D85" s="11"/>
      <c r="E85" s="11"/>
      <c r="F85" s="11"/>
      <c r="G85" s="17"/>
      <c r="H85" s="11"/>
      <c r="I85" s="11"/>
      <c r="J85" s="11"/>
      <c r="K85" s="11"/>
      <c r="L85" s="11"/>
      <c r="M85" s="11"/>
      <c r="N85" s="11"/>
      <c r="O85" s="11"/>
      <c r="P85" s="11"/>
      <c r="Q85" s="47"/>
      <c r="R85" s="35">
        <f>SUM(Décaissements63[[#This Row],[Période 0]:[Période 12]])</f>
        <v>0</v>
      </c>
      <c r="S85" s="36" t="e">
        <f>+AVERAGE(Décaissements63[[#This Row],[Période 1]:[Période 12]])</f>
        <v>#DIV/0!</v>
      </c>
    </row>
    <row r="86" spans="2:19" ht="17.25" customHeight="1" x14ac:dyDescent="0.2">
      <c r="B86" s="357" t="s">
        <v>73</v>
      </c>
      <c r="C86" s="33"/>
      <c r="D86" s="11"/>
      <c r="E86" s="17"/>
      <c r="F86" s="17"/>
      <c r="G86" s="1"/>
      <c r="H86" s="11"/>
      <c r="I86" s="11"/>
      <c r="J86" s="11"/>
      <c r="K86" s="11"/>
      <c r="L86" s="11"/>
      <c r="M86" s="11"/>
      <c r="N86" s="11"/>
      <c r="O86" s="11"/>
      <c r="P86" s="11"/>
      <c r="Q86" s="34"/>
      <c r="R86" s="35">
        <f>SUM(Décaissements63[[#This Row],[Période 0]:[Période 12]])</f>
        <v>0</v>
      </c>
      <c r="S86" s="36" t="e">
        <f>+AVERAGE(Décaissements63[[#This Row],[Période 1]:[Période 12]])</f>
        <v>#DIV/0!</v>
      </c>
    </row>
    <row r="87" spans="2:19" ht="17.25" customHeight="1" x14ac:dyDescent="0.2">
      <c r="B87" s="357" t="s">
        <v>92</v>
      </c>
      <c r="C87" s="33"/>
      <c r="D87" s="11"/>
      <c r="E87" s="11"/>
      <c r="F87" s="11"/>
      <c r="G87" s="17">
        <v>588</v>
      </c>
      <c r="H87" s="11">
        <v>498</v>
      </c>
      <c r="I87" s="11">
        <v>570</v>
      </c>
      <c r="J87" s="11"/>
      <c r="K87" s="11"/>
      <c r="L87" s="11"/>
      <c r="M87" s="11"/>
      <c r="N87" s="11"/>
      <c r="O87" s="11"/>
      <c r="P87" s="11"/>
      <c r="Q87" s="47"/>
      <c r="R87" s="35">
        <f>SUM(Décaissements63[[#This Row],[Période 0]:[Période 12]])</f>
        <v>1656</v>
      </c>
      <c r="S87" s="36">
        <f>+AVERAGE(Décaissements63[[#This Row],[Période 1]:[Période 12]])</f>
        <v>552</v>
      </c>
    </row>
    <row r="88" spans="2:19" ht="17.25" customHeight="1" x14ac:dyDescent="0.2">
      <c r="B88" s="357" t="s">
        <v>98</v>
      </c>
      <c r="C88" s="33"/>
      <c r="D88" s="11"/>
      <c r="E88" s="17">
        <v>17.989999999999998</v>
      </c>
      <c r="F88" s="17"/>
      <c r="G88" s="17">
        <f>17.99+17.99</f>
        <v>35.979999999999997</v>
      </c>
      <c r="H88" s="11">
        <v>17.989999999999998</v>
      </c>
      <c r="I88" s="11">
        <v>17.989999999999998</v>
      </c>
      <c r="J88" s="11">
        <v>17.989999999999998</v>
      </c>
      <c r="K88" s="11"/>
      <c r="L88" s="11"/>
      <c r="M88" s="11"/>
      <c r="N88" s="11"/>
      <c r="O88" s="11"/>
      <c r="P88" s="11"/>
      <c r="Q88" s="47"/>
      <c r="R88" s="35">
        <f>SUM(Décaissements63[[#This Row],[Période 0]:[Période 12]])</f>
        <v>107.93999999999998</v>
      </c>
      <c r="S88" s="36">
        <f>+AVERAGE(Décaissements63[[#This Row],[Période 1]:[Période 12]])</f>
        <v>21.587999999999997</v>
      </c>
    </row>
    <row r="89" spans="2:19" ht="17.25" customHeight="1" x14ac:dyDescent="0.2">
      <c r="B89" s="357" t="s">
        <v>99</v>
      </c>
      <c r="C89" s="33"/>
      <c r="D89" s="11"/>
      <c r="E89" s="17">
        <v>28</v>
      </c>
      <c r="F89" s="17"/>
      <c r="G89" s="17"/>
      <c r="H89" s="11"/>
      <c r="I89" s="11"/>
      <c r="J89" s="11"/>
      <c r="K89" s="11"/>
      <c r="L89" s="11"/>
      <c r="M89" s="11"/>
      <c r="N89" s="11"/>
      <c r="O89" s="11"/>
      <c r="P89" s="11"/>
      <c r="Q89" s="47"/>
      <c r="R89" s="35">
        <f>SUM(Décaissements63[[#This Row],[Période 0]:[Période 12]])</f>
        <v>28</v>
      </c>
      <c r="S89" s="36">
        <f>+AVERAGE(Décaissements63[[#This Row],[Période 1]:[Période 12]])</f>
        <v>28</v>
      </c>
    </row>
    <row r="90" spans="2:19" ht="17.25" customHeight="1" x14ac:dyDescent="0.2">
      <c r="B90" s="357" t="s">
        <v>86</v>
      </c>
      <c r="C90" s="33"/>
      <c r="D90" s="11"/>
      <c r="E90" s="11">
        <f>5*0.18+1.98</f>
        <v>2.88</v>
      </c>
      <c r="F90" s="11">
        <f>2.7+0.9</f>
        <v>3.6</v>
      </c>
      <c r="G90" s="17">
        <f>(13*0.18)+1.08</f>
        <v>3.42</v>
      </c>
      <c r="H90" s="11">
        <f>16*0.18</f>
        <v>2.88</v>
      </c>
      <c r="I90" s="11">
        <f>0.18+0.54</f>
        <v>0.72</v>
      </c>
      <c r="J90" s="11">
        <f>3.24+18.6+1.8</f>
        <v>23.640000000000004</v>
      </c>
      <c r="K90" s="11"/>
      <c r="L90" s="11"/>
      <c r="M90" s="11"/>
      <c r="N90" s="11"/>
      <c r="O90" s="11"/>
      <c r="P90" s="11"/>
      <c r="Q90" s="47"/>
      <c r="R90" s="35">
        <f>SUM(Décaissements63[[#This Row],[Période 0]:[Période 12]])</f>
        <v>37.140000000000008</v>
      </c>
      <c r="S90" s="36">
        <f>+AVERAGE(Décaissements63[[#This Row],[Période 1]:[Période 12]])</f>
        <v>6.1900000000000013</v>
      </c>
    </row>
    <row r="91" spans="2:19" ht="17.25" customHeight="1" x14ac:dyDescent="0.2">
      <c r="B91" s="357" t="s">
        <v>67</v>
      </c>
      <c r="C91" s="33"/>
      <c r="D91" s="11"/>
      <c r="E91" s="17"/>
      <c r="F91" s="17"/>
      <c r="G91" s="17"/>
      <c r="H91" s="11"/>
      <c r="I91" s="44"/>
      <c r="J91" s="480"/>
      <c r="K91" s="11"/>
      <c r="L91" s="11"/>
      <c r="M91" s="11"/>
      <c r="N91" s="11"/>
      <c r="O91" s="11"/>
      <c r="P91" s="11"/>
      <c r="Q91" s="34"/>
      <c r="R91" s="35">
        <f>SUM(Décaissements63[[#This Row],[Période 0]:[Période 12]])</f>
        <v>0</v>
      </c>
      <c r="S91" s="36" t="e">
        <f>+AVERAGE(Décaissements63[[#This Row],[Période 1]:[Période 12]])</f>
        <v>#DIV/0!</v>
      </c>
    </row>
    <row r="92" spans="2:19" ht="16.5" customHeight="1" x14ac:dyDescent="0.2">
      <c r="B92" s="357" t="s">
        <v>132</v>
      </c>
      <c r="C92" s="33"/>
      <c r="D92" s="11"/>
      <c r="E92" s="17"/>
      <c r="F92" s="17"/>
      <c r="G92" s="17"/>
      <c r="H92" s="79"/>
      <c r="I92" s="11"/>
      <c r="J92" s="11"/>
      <c r="K92" s="11"/>
      <c r="L92" s="11"/>
      <c r="M92" s="11"/>
      <c r="N92" s="11"/>
      <c r="O92" s="11"/>
      <c r="P92" s="11"/>
      <c r="Q92" s="80"/>
      <c r="R92" s="35">
        <f>SUM(Décaissements63[[#This Row],[Période 0]:[Période 12]])</f>
        <v>0</v>
      </c>
      <c r="S92" s="36" t="e">
        <f>+AVERAGE(Décaissements63[[#This Row],[Période 1]:[Période 12]])</f>
        <v>#DIV/0!</v>
      </c>
    </row>
    <row r="93" spans="2:19" ht="17.25" customHeight="1" x14ac:dyDescent="0.2">
      <c r="B93" s="354" t="s">
        <v>113</v>
      </c>
      <c r="C93" s="56"/>
      <c r="D93" s="53"/>
      <c r="E93" s="53"/>
      <c r="F93" s="53"/>
      <c r="G93" s="53"/>
      <c r="H93" s="53"/>
      <c r="I93" s="53"/>
      <c r="J93" s="135"/>
      <c r="K93" s="53"/>
      <c r="L93" s="53"/>
      <c r="M93" s="53"/>
      <c r="N93" s="53"/>
      <c r="O93" s="53"/>
      <c r="P93" s="53"/>
      <c r="Q93" s="54"/>
      <c r="R93" s="55">
        <f>SUM(Décaissements63[[#This Row],[Période 0]:[Période 12]])</f>
        <v>0</v>
      </c>
      <c r="S93" s="36"/>
    </row>
    <row r="94" spans="2:19" ht="17.25" customHeight="1" x14ac:dyDescent="0.2">
      <c r="B94" s="350" t="s">
        <v>373</v>
      </c>
      <c r="C94" s="33"/>
      <c r="D94" s="42"/>
      <c r="E94" s="17">
        <v>4000</v>
      </c>
      <c r="F94" s="17"/>
      <c r="G94" s="1"/>
      <c r="H94" s="44"/>
      <c r="I94" s="44"/>
      <c r="J94" s="133"/>
      <c r="K94" s="44"/>
      <c r="L94" s="44"/>
      <c r="M94" s="44"/>
      <c r="N94" s="44"/>
      <c r="O94" s="44"/>
      <c r="P94" s="44"/>
      <c r="Q94" s="33"/>
      <c r="R94" s="41">
        <f>SUM(Décaissements63[[#This Row],[Période 0]:[Période 12]])</f>
        <v>4000</v>
      </c>
      <c r="S94" s="2">
        <f>+AVERAGE(Décaissements63[[#This Row],[Période 1]:[Période 12]])</f>
        <v>4000</v>
      </c>
    </row>
    <row r="95" spans="2:19" ht="17.25" customHeight="1" x14ac:dyDescent="0.2">
      <c r="B95" s="350" t="s">
        <v>38</v>
      </c>
      <c r="C95" s="33"/>
      <c r="D95" s="42"/>
      <c r="E95" s="17"/>
      <c r="F95" s="17"/>
      <c r="G95" s="1"/>
      <c r="H95" s="44"/>
      <c r="I95" s="44"/>
      <c r="J95" s="133"/>
      <c r="K95" s="44"/>
      <c r="L95" s="44"/>
      <c r="M95" s="44"/>
      <c r="N95" s="44"/>
      <c r="O95" s="44"/>
      <c r="P95" s="44"/>
      <c r="Q95" s="45"/>
      <c r="R95" s="41"/>
      <c r="S95" s="2" t="e">
        <f>+AVERAGE(Décaissements63[[#This Row],[Période 1]:[Période 12]])</f>
        <v>#DIV/0!</v>
      </c>
    </row>
    <row r="96" spans="2:19" ht="17.25" customHeight="1" x14ac:dyDescent="0.2">
      <c r="B96" s="350" t="s">
        <v>39</v>
      </c>
      <c r="C96" s="33"/>
      <c r="D96" s="42"/>
      <c r="E96" s="17">
        <v>8200</v>
      </c>
      <c r="F96" s="17">
        <v>1440</v>
      </c>
      <c r="G96" s="17">
        <v>511.2</v>
      </c>
      <c r="H96" s="42">
        <v>4680</v>
      </c>
      <c r="I96" s="42"/>
      <c r="J96" s="133"/>
      <c r="K96" s="42"/>
      <c r="L96" s="42"/>
      <c r="M96" s="44"/>
      <c r="N96" s="44"/>
      <c r="O96" s="44"/>
      <c r="P96" s="44"/>
      <c r="Q96" s="45"/>
      <c r="R96" s="41"/>
      <c r="S96" s="2">
        <f>+AVERAGE(Décaissements63[[#This Row],[Période 1]:[Période 12]])</f>
        <v>3707.8</v>
      </c>
    </row>
    <row r="97" spans="2:19" ht="17.25" customHeight="1" x14ac:dyDescent="0.2">
      <c r="B97" s="350" t="s">
        <v>169</v>
      </c>
      <c r="C97" s="33"/>
      <c r="D97" s="11"/>
      <c r="E97" s="17">
        <v>2000</v>
      </c>
      <c r="F97" s="17">
        <v>9000</v>
      </c>
      <c r="G97" s="17"/>
      <c r="H97" s="79">
        <f>9000+4000</f>
        <v>13000</v>
      </c>
      <c r="I97" s="100"/>
      <c r="J97" s="100">
        <v>4000</v>
      </c>
      <c r="K97" s="100"/>
      <c r="L97" s="42"/>
      <c r="M97" s="42"/>
      <c r="N97" s="100"/>
      <c r="O97" s="100"/>
      <c r="P97" s="100"/>
      <c r="Q97" s="136"/>
      <c r="R97" s="35">
        <f>SUM(Décaissements63[[#This Row],[Période 0]:[Période 12]])</f>
        <v>28000</v>
      </c>
      <c r="S97" s="36">
        <f>+AVERAGE(Décaissements63[[#This Row],[Période 1]:[Période 12]])</f>
        <v>7000</v>
      </c>
    </row>
    <row r="98" spans="2:19" ht="17.25" customHeight="1" x14ac:dyDescent="0.2">
      <c r="B98" s="350" t="s">
        <v>40</v>
      </c>
      <c r="C98" s="33"/>
      <c r="D98" s="42"/>
      <c r="E98" s="17"/>
      <c r="F98" s="17"/>
      <c r="G98" s="1"/>
      <c r="H98" s="44"/>
      <c r="I98" s="44"/>
      <c r="J98" s="133"/>
      <c r="K98" s="44"/>
      <c r="L98" s="44"/>
      <c r="M98" s="42"/>
      <c r="N98" s="44"/>
      <c r="O98" s="44"/>
      <c r="P98" s="44"/>
      <c r="Q98" s="45"/>
      <c r="R98" s="41"/>
      <c r="S98" s="2" t="e">
        <f>+AVERAGE(Décaissements63[[#This Row],[Période 1]:[Période 12]])</f>
        <v>#DIV/0!</v>
      </c>
    </row>
    <row r="99" spans="2:19" ht="17.25" customHeight="1" x14ac:dyDescent="0.2">
      <c r="B99" s="350" t="s">
        <v>368</v>
      </c>
      <c r="C99" s="33"/>
      <c r="D99" s="11"/>
      <c r="E99" s="17">
        <v>10000</v>
      </c>
      <c r="F99" s="17"/>
      <c r="G99" s="17"/>
      <c r="H99" s="79">
        <f>7657+12965</f>
        <v>20622</v>
      </c>
      <c r="I99" s="100"/>
      <c r="J99" s="100">
        <v>16160</v>
      </c>
      <c r="K99" s="100"/>
      <c r="L99" s="100"/>
      <c r="M99" s="100"/>
      <c r="N99" s="100"/>
      <c r="O99" s="100"/>
      <c r="P99" s="100"/>
      <c r="Q99" s="223"/>
      <c r="R99" s="35">
        <f>SUM(Décaissements63[[#This Row],[Période 0]:[Période 12]])</f>
        <v>46782</v>
      </c>
      <c r="S99" s="224">
        <f>+AVERAGE(Décaissements63[[#This Row],[Période 1]:[Période 12]])</f>
        <v>15594</v>
      </c>
    </row>
    <row r="100" spans="2:19" ht="17.25" customHeight="1" x14ac:dyDescent="0.2">
      <c r="B100" s="350" t="s">
        <v>170</v>
      </c>
      <c r="C100" s="33"/>
      <c r="D100" s="11"/>
      <c r="E100" s="17"/>
      <c r="F100" s="17"/>
      <c r="G100" s="17"/>
      <c r="H100" s="79"/>
      <c r="I100" s="100"/>
      <c r="J100" s="100">
        <v>5000</v>
      </c>
      <c r="K100" s="100"/>
      <c r="L100" s="100"/>
      <c r="M100" s="42"/>
      <c r="N100" s="100"/>
      <c r="O100" s="100"/>
      <c r="P100" s="100"/>
      <c r="Q100" s="141"/>
      <c r="R100" s="35">
        <f>SUM(Décaissements63[[#This Row],[Période 0]:[Période 12]])</f>
        <v>5000</v>
      </c>
      <c r="S100" s="36">
        <f>+AVERAGE(Décaissements63[[#This Row],[Période 1]:[Période 12]])</f>
        <v>5000</v>
      </c>
    </row>
    <row r="101" spans="2:19" ht="17.25" customHeight="1" x14ac:dyDescent="0.2">
      <c r="B101" s="350" t="s">
        <v>612</v>
      </c>
      <c r="C101" s="33"/>
      <c r="D101" s="11"/>
      <c r="E101" s="17"/>
      <c r="F101" s="17"/>
      <c r="G101" s="17">
        <v>1900</v>
      </c>
      <c r="H101" s="79"/>
      <c r="I101" s="100"/>
      <c r="J101" s="100"/>
      <c r="K101" s="100"/>
      <c r="L101" s="100"/>
      <c r="M101" s="42"/>
      <c r="N101" s="100"/>
      <c r="O101" s="100"/>
      <c r="P101" s="100"/>
      <c r="Q101" s="136"/>
      <c r="R101" s="35">
        <f>SUM(Décaissements63[[#This Row],[Période 0]:[Période 12]])</f>
        <v>1900</v>
      </c>
      <c r="S101" s="36">
        <f>+AVERAGE(Décaissements63[[#This Row],[Période 1]:[Période 12]])</f>
        <v>1900</v>
      </c>
    </row>
    <row r="102" spans="2:19" ht="17.25" customHeight="1" x14ac:dyDescent="0.2">
      <c r="B102" s="350" t="s">
        <v>713</v>
      </c>
      <c r="C102" s="33"/>
      <c r="D102" s="11"/>
      <c r="E102" s="17"/>
      <c r="F102" s="17"/>
      <c r="G102" s="17"/>
      <c r="H102" s="79">
        <v>3600</v>
      </c>
      <c r="I102" s="100"/>
      <c r="J102" s="100"/>
      <c r="K102" s="42"/>
      <c r="L102" s="100"/>
      <c r="M102" s="42"/>
      <c r="N102" s="100"/>
      <c r="O102" s="100"/>
      <c r="P102" s="100"/>
      <c r="Q102" s="34"/>
      <c r="R102" s="35">
        <f>SUM(Décaissements63[[#This Row],[Période 0]:[Période 12]])</f>
        <v>3600</v>
      </c>
      <c r="S102" s="36">
        <f>+AVERAGE(Décaissements63[[#This Row],[Période 1]:[Période 12]])</f>
        <v>3600</v>
      </c>
    </row>
    <row r="103" spans="2:19" ht="17.25" customHeight="1" x14ac:dyDescent="0.2">
      <c r="B103" s="350" t="s">
        <v>855</v>
      </c>
      <c r="C103" s="33"/>
      <c r="D103" s="42"/>
      <c r="E103" s="17"/>
      <c r="F103" s="17"/>
      <c r="G103" s="17"/>
      <c r="H103" s="17"/>
      <c r="I103" s="44"/>
      <c r="J103" s="42">
        <v>5060</v>
      </c>
      <c r="K103" s="44"/>
      <c r="L103" s="42"/>
      <c r="M103" s="42"/>
      <c r="N103" s="44"/>
      <c r="O103" s="44"/>
      <c r="P103" s="44"/>
      <c r="Q103" s="34"/>
      <c r="R103" s="41">
        <f>SUM(Décaissements63[[#This Row],[Période 0]:[Période 12]])</f>
        <v>5060</v>
      </c>
      <c r="S103" s="2">
        <f>+AVERAGE(Décaissements63[[#This Row],[Période 1]:[Période 12]])</f>
        <v>5060</v>
      </c>
    </row>
    <row r="104" spans="2:19" ht="17.25" customHeight="1" x14ac:dyDescent="0.2">
      <c r="B104" s="350" t="s">
        <v>41</v>
      </c>
      <c r="C104" s="33"/>
      <c r="D104" s="42"/>
      <c r="E104" s="17"/>
      <c r="F104" s="17"/>
      <c r="G104" s="1"/>
      <c r="H104" s="42"/>
      <c r="I104" s="11"/>
      <c r="J104" s="42"/>
      <c r="K104" s="44"/>
      <c r="L104" s="44"/>
      <c r="M104" s="44"/>
      <c r="N104" s="44"/>
      <c r="O104" s="44"/>
      <c r="P104" s="44"/>
      <c r="Q104" s="34"/>
      <c r="R104" s="41">
        <f>SUM(Décaissements63[[#This Row],[Période 0]:[Période 12]])</f>
        <v>0</v>
      </c>
      <c r="S104" s="2" t="e">
        <f>+AVERAGE(Décaissements63[[#This Row],[Période 1]:[Période 12]])</f>
        <v>#DIV/0!</v>
      </c>
    </row>
    <row r="105" spans="2:19" ht="17.25" customHeight="1" x14ac:dyDescent="0.2">
      <c r="B105" s="350" t="s">
        <v>907</v>
      </c>
      <c r="C105" s="33"/>
      <c r="D105" s="42"/>
      <c r="E105" s="17"/>
      <c r="F105" s="17"/>
      <c r="G105" s="1"/>
      <c r="H105" s="42"/>
      <c r="I105" s="11"/>
      <c r="J105" s="133">
        <v>10750</v>
      </c>
      <c r="K105" s="44"/>
      <c r="L105" s="44"/>
      <c r="M105" s="44"/>
      <c r="N105" s="44"/>
      <c r="O105" s="44"/>
      <c r="P105" s="44"/>
      <c r="Q105" s="34"/>
      <c r="R105" s="41">
        <f>SUM(Décaissements63[[#This Row],[Période 0]:[Période 12]])</f>
        <v>10750</v>
      </c>
      <c r="S105" s="2">
        <f>+AVERAGE(Décaissements63[[#This Row],[Période 1]:[Période 12]])</f>
        <v>10750</v>
      </c>
    </row>
    <row r="106" spans="2:19" ht="17.25" customHeight="1" x14ac:dyDescent="0.2">
      <c r="B106" s="350" t="s">
        <v>911</v>
      </c>
      <c r="C106" s="33"/>
      <c r="D106" s="11"/>
      <c r="E106" s="11"/>
      <c r="F106" s="11"/>
      <c r="G106" s="17"/>
      <c r="H106" s="11"/>
      <c r="I106" s="11"/>
      <c r="J106" s="44">
        <v>6000</v>
      </c>
      <c r="K106" s="42"/>
      <c r="L106" s="44"/>
      <c r="M106" s="44"/>
      <c r="N106" s="44"/>
      <c r="O106" s="44"/>
      <c r="P106" s="44"/>
      <c r="Q106" s="34"/>
      <c r="R106" s="35">
        <f>SUM(Décaissements63[[#This Row],[Période 0]:[Période 12]])</f>
        <v>6000</v>
      </c>
      <c r="S106" s="36">
        <f>+AVERAGE(Décaissements63[[#This Row],[Période 1]:[Période 12]])</f>
        <v>6000</v>
      </c>
    </row>
    <row r="107" spans="2:19" ht="17.25" customHeight="1" x14ac:dyDescent="0.2">
      <c r="B107" s="350" t="s">
        <v>167</v>
      </c>
      <c r="C107" s="33"/>
      <c r="D107" s="11"/>
      <c r="E107" s="17"/>
      <c r="F107" s="17"/>
      <c r="G107" s="17"/>
      <c r="H107" s="79"/>
      <c r="I107" s="100"/>
      <c r="J107" s="100"/>
      <c r="K107" s="100"/>
      <c r="L107" s="42"/>
      <c r="M107" s="100"/>
      <c r="N107" s="100"/>
      <c r="O107" s="100"/>
      <c r="P107" s="100"/>
      <c r="Q107" s="136"/>
      <c r="R107" s="35">
        <f>SUM(Décaissements63[[#This Row],[Période 0]:[Période 12]])</f>
        <v>0</v>
      </c>
      <c r="S107" s="36" t="e">
        <f>+AVERAGE(Décaissements63[[#This Row],[Période 1]:[Période 12]])</f>
        <v>#DIV/0!</v>
      </c>
    </row>
    <row r="108" spans="2:19" ht="17.25" customHeight="1" x14ac:dyDescent="0.2">
      <c r="B108" s="350" t="s">
        <v>163</v>
      </c>
      <c r="C108" s="33"/>
      <c r="D108" s="11"/>
      <c r="E108" s="17"/>
      <c r="F108" s="17"/>
      <c r="G108" s="17"/>
      <c r="H108" s="79"/>
      <c r="I108" s="100"/>
      <c r="J108" s="100"/>
      <c r="K108" s="42"/>
      <c r="L108" s="42"/>
      <c r="M108" s="100"/>
      <c r="N108" s="100"/>
      <c r="O108" s="100"/>
      <c r="P108" s="100"/>
      <c r="Q108" s="34"/>
      <c r="R108" s="35">
        <f>SUM(Décaissements63[[#This Row],[Période 0]:[Période 12]])</f>
        <v>0</v>
      </c>
      <c r="S108" s="36" t="e">
        <f>+AVERAGE(Décaissements63[[#This Row],[Période 1]:[Période 12]])</f>
        <v>#DIV/0!</v>
      </c>
    </row>
    <row r="109" spans="2:19" ht="17.25" customHeight="1" x14ac:dyDescent="0.2">
      <c r="B109" s="350" t="s">
        <v>129</v>
      </c>
      <c r="C109" s="33"/>
      <c r="D109" s="11"/>
      <c r="E109" s="17"/>
      <c r="F109" s="17"/>
      <c r="G109" s="1"/>
      <c r="H109" s="11"/>
      <c r="I109" s="11"/>
      <c r="J109" s="44"/>
      <c r="K109" s="44"/>
      <c r="L109" s="44"/>
      <c r="M109" s="44"/>
      <c r="N109" s="44"/>
      <c r="O109" s="44"/>
      <c r="P109" s="44"/>
      <c r="Q109" s="34"/>
      <c r="R109" s="35">
        <f>SUM(Décaissements63[[#This Row],[Période 0]:[Période 12]])</f>
        <v>0</v>
      </c>
      <c r="S109" s="36" t="e">
        <f>+AVERAGE(Décaissements63[[#This Row],[Période 1]:[Période 12]])</f>
        <v>#DIV/0!</v>
      </c>
    </row>
    <row r="110" spans="2:19" ht="17.25" customHeight="1" x14ac:dyDescent="0.2">
      <c r="B110" s="350" t="s">
        <v>470</v>
      </c>
      <c r="C110" s="33"/>
      <c r="D110" s="42"/>
      <c r="E110" s="17"/>
      <c r="F110" s="17">
        <v>5000</v>
      </c>
      <c r="G110" s="1"/>
      <c r="H110" s="42">
        <v>6000</v>
      </c>
      <c r="I110" s="11"/>
      <c r="J110" s="44">
        <v>20000</v>
      </c>
      <c r="K110" s="44"/>
      <c r="L110" s="44"/>
      <c r="M110" s="44"/>
      <c r="N110" s="44"/>
      <c r="O110" s="44"/>
      <c r="P110" s="44"/>
      <c r="Q110" s="34"/>
      <c r="R110" s="41">
        <f>SUM(Décaissements63[[#This Row],[Période 0]:[Période 12]])</f>
        <v>31000</v>
      </c>
      <c r="S110" s="2">
        <f>+AVERAGE(Décaissements63[[#This Row],[Période 1]:[Période 12]])</f>
        <v>10333.333333333334</v>
      </c>
    </row>
    <row r="111" spans="2:19" ht="17.25" customHeight="1" x14ac:dyDescent="0.2">
      <c r="B111" s="350" t="s">
        <v>909</v>
      </c>
      <c r="C111" s="33"/>
      <c r="D111" s="11"/>
      <c r="E111" s="17"/>
      <c r="F111" s="17"/>
      <c r="G111" s="17"/>
      <c r="H111" s="79"/>
      <c r="I111" s="11"/>
      <c r="J111" s="44">
        <v>1440</v>
      </c>
      <c r="K111" s="44"/>
      <c r="L111" s="44"/>
      <c r="M111" s="44"/>
      <c r="N111" s="44"/>
      <c r="O111" s="44"/>
      <c r="P111" s="44"/>
      <c r="Q111" s="34"/>
      <c r="R111" s="35">
        <f>SUM(Décaissements63[[#This Row],[Période 0]:[Période 12]])</f>
        <v>1440</v>
      </c>
      <c r="S111" s="36">
        <f>+AVERAGE(Décaissements63[[#This Row],[Période 1]:[Période 12]])</f>
        <v>1440</v>
      </c>
    </row>
    <row r="112" spans="2:19" ht="17.25" customHeight="1" x14ac:dyDescent="0.2">
      <c r="B112" s="354" t="s">
        <v>114</v>
      </c>
      <c r="C112" s="56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4"/>
      <c r="R112" s="55">
        <f>SUM(Décaissements63[[#This Row],[Période 0]:[Période 12]])</f>
        <v>0</v>
      </c>
      <c r="S112" s="36" t="e">
        <f>+AVERAGE(Décaissements63[[#This Row],[Période 1]:[Période 12]])</f>
        <v>#DIV/0!</v>
      </c>
    </row>
    <row r="113" spans="2:19" ht="17.25" customHeight="1" x14ac:dyDescent="0.2">
      <c r="B113" s="350" t="s">
        <v>139</v>
      </c>
      <c r="C113" s="33"/>
      <c r="D113" s="42"/>
      <c r="E113" s="17">
        <f>22063.16+23052.68</f>
        <v>45115.839999999997</v>
      </c>
      <c r="F113" s="17">
        <f>33205.11+20983.13</f>
        <v>54188.240000000005</v>
      </c>
      <c r="G113" s="17">
        <f>25544.49+35016.95</f>
        <v>60561.440000000002</v>
      </c>
      <c r="H113" s="17">
        <v>59723.68</v>
      </c>
      <c r="I113" s="11"/>
      <c r="J113" s="11">
        <f>4101.12+3513.12+25534.74+26635.04</f>
        <v>59784.020000000004</v>
      </c>
      <c r="K113" s="44"/>
      <c r="L113" s="44"/>
      <c r="M113" s="42"/>
      <c r="N113" s="44"/>
      <c r="O113" s="44"/>
      <c r="P113" s="44"/>
      <c r="Q113" s="34"/>
      <c r="R113" s="41">
        <f>SUM(Décaissements63[[#This Row],[Période 0]:[Période 12]])</f>
        <v>279373.22000000003</v>
      </c>
      <c r="S113" s="2">
        <f>+AVERAGE(Décaissements63[[#This Row],[Période 1]:[Période 12]])</f>
        <v>55874.644000000008</v>
      </c>
    </row>
    <row r="114" spans="2:19" ht="17.25" customHeight="1" x14ac:dyDescent="0.2">
      <c r="B114" s="354" t="s">
        <v>115</v>
      </c>
      <c r="C114" s="56"/>
      <c r="D114" s="53"/>
      <c r="E114" s="53"/>
      <c r="F114" s="53"/>
      <c r="G114" s="53"/>
      <c r="H114" s="53"/>
      <c r="I114" s="53"/>
      <c r="J114" s="135"/>
      <c r="K114" s="53"/>
      <c r="L114" s="53"/>
      <c r="M114" s="53"/>
      <c r="N114" s="53"/>
      <c r="O114" s="53"/>
      <c r="P114" s="53"/>
      <c r="Q114" s="54"/>
      <c r="R114" s="55"/>
      <c r="S114" s="2" t="e">
        <f>+AVERAGE(Décaissements63[[#This Row],[Période 1]:[Période 12]])</f>
        <v>#DIV/0!</v>
      </c>
    </row>
    <row r="115" spans="2:19" ht="17.25" customHeight="1" x14ac:dyDescent="0.2">
      <c r="B115" s="357" t="s">
        <v>176</v>
      </c>
      <c r="C115" s="33"/>
      <c r="D115" s="11"/>
      <c r="E115" s="17">
        <f>5805.04+5503.5</f>
        <v>11308.54</v>
      </c>
      <c r="F115" s="17">
        <v>7717.52</v>
      </c>
      <c r="G115" s="17"/>
      <c r="H115" s="79"/>
      <c r="I115" s="100"/>
      <c r="J115" s="100"/>
      <c r="K115" s="100"/>
      <c r="L115" s="100"/>
      <c r="M115" s="100"/>
      <c r="N115" s="100"/>
      <c r="O115" s="100"/>
      <c r="P115" s="100"/>
      <c r="Q115" s="151"/>
      <c r="R115" s="35">
        <f>SUM(Décaissements63[[#This Row],[Période 0]:[Période 12]])</f>
        <v>19026.060000000001</v>
      </c>
      <c r="S115" s="36">
        <f>+AVERAGE(Décaissements63[[#This Row],[Période 1]:[Période 12]])</f>
        <v>9513.0300000000007</v>
      </c>
    </row>
    <row r="116" spans="2:19" ht="17.25" customHeight="1" x14ac:dyDescent="0.2">
      <c r="B116" s="357" t="s">
        <v>174</v>
      </c>
      <c r="C116" s="33"/>
      <c r="D116" s="11"/>
      <c r="E116" s="17">
        <f>6727.71+6594.44+6639.05</f>
        <v>19961.2</v>
      </c>
      <c r="F116" s="17"/>
      <c r="G116" s="17">
        <v>23728.57</v>
      </c>
      <c r="H116" s="79"/>
      <c r="I116" s="100">
        <v>7215.6</v>
      </c>
      <c r="J116" s="100"/>
      <c r="K116" s="100"/>
      <c r="L116" s="100"/>
      <c r="M116" s="100"/>
      <c r="N116" s="100"/>
      <c r="O116" s="100"/>
      <c r="P116" s="100"/>
      <c r="Q116" s="241"/>
      <c r="R116" s="35">
        <f>SUM(Décaissements63[[#This Row],[Période 0]:[Période 12]])</f>
        <v>50905.37</v>
      </c>
      <c r="S116" s="224">
        <f>+AVERAGE(Décaissements63[[#This Row],[Période 1]:[Période 12]])</f>
        <v>16968.456666666669</v>
      </c>
    </row>
    <row r="117" spans="2:19" ht="17.25" customHeight="1" x14ac:dyDescent="0.2">
      <c r="B117" s="360" t="s">
        <v>455</v>
      </c>
      <c r="C117" s="33"/>
      <c r="D117" s="11"/>
      <c r="E117" s="17"/>
      <c r="F117" s="17"/>
      <c r="G117" s="17">
        <v>321.25</v>
      </c>
      <c r="H117" s="79"/>
      <c r="I117" s="100">
        <v>3527.01</v>
      </c>
      <c r="J117" s="100">
        <v>1500</v>
      </c>
      <c r="K117" s="100"/>
      <c r="L117" s="100"/>
      <c r="M117" s="11"/>
      <c r="N117" s="100"/>
      <c r="O117" s="100"/>
      <c r="P117" s="100"/>
      <c r="Q117" s="34"/>
      <c r="R117" s="35">
        <f>SUM(Décaissements63[[#This Row],[Période 0]:[Période 12]])</f>
        <v>5348.26</v>
      </c>
      <c r="S117" s="36">
        <f>+AVERAGE(Décaissements63[[#This Row],[Période 1]:[Période 12]])</f>
        <v>1782.7533333333333</v>
      </c>
    </row>
    <row r="118" spans="2:19" ht="17.25" customHeight="1" x14ac:dyDescent="0.2">
      <c r="B118" s="360" t="s">
        <v>45</v>
      </c>
      <c r="C118" s="33"/>
      <c r="D118" s="42"/>
      <c r="E118" s="17"/>
      <c r="F118" s="17">
        <v>42284.94</v>
      </c>
      <c r="G118" s="17">
        <f>28711.63+18140.15+46530.36</f>
        <v>93382.14</v>
      </c>
      <c r="H118" s="17"/>
      <c r="I118" s="100">
        <f>13761.95</f>
        <v>13761.95</v>
      </c>
      <c r="J118" s="11">
        <v>34735.760000000002</v>
      </c>
      <c r="K118" s="11"/>
      <c r="L118" s="11"/>
      <c r="M118" s="11"/>
      <c r="N118" s="44"/>
      <c r="O118" s="44"/>
      <c r="P118" s="44"/>
      <c r="Q118" s="34"/>
      <c r="R118" s="41">
        <f>SUM(Décaissements63[[#This Row],[Période 0]:[Période 12]])</f>
        <v>184164.79000000004</v>
      </c>
      <c r="S118" s="2">
        <f>+AVERAGE(Décaissements63[[#This Row],[Période 1]:[Période 12]])</f>
        <v>46041.197500000009</v>
      </c>
    </row>
    <row r="119" spans="2:19" ht="17.25" customHeight="1" x14ac:dyDescent="0.2">
      <c r="B119" s="360" t="s">
        <v>171</v>
      </c>
      <c r="C119" s="33"/>
      <c r="D119" s="11"/>
      <c r="E119" s="17">
        <v>2599.13</v>
      </c>
      <c r="F119" s="17">
        <v>1299.56</v>
      </c>
      <c r="G119" s="17"/>
      <c r="H119" s="79"/>
      <c r="I119" s="100"/>
      <c r="J119" s="100"/>
      <c r="K119" s="100"/>
      <c r="L119" s="100"/>
      <c r="M119" s="11"/>
      <c r="N119" s="100"/>
      <c r="O119" s="100"/>
      <c r="P119" s="100"/>
      <c r="Q119" s="141"/>
      <c r="R119" s="35">
        <f>SUM(Décaissements63[[#This Row],[Période 0]:[Période 12]])</f>
        <v>3898.69</v>
      </c>
      <c r="S119" s="36">
        <f>+AVERAGE(Décaissements63[[#This Row],[Période 1]:[Période 12]])</f>
        <v>1949.345</v>
      </c>
    </row>
    <row r="120" spans="2:19" ht="17.25" customHeight="1" x14ac:dyDescent="0.2">
      <c r="B120" s="360" t="s">
        <v>121</v>
      </c>
      <c r="C120" s="33"/>
      <c r="D120" s="11"/>
      <c r="E120" s="17"/>
      <c r="F120" s="17"/>
      <c r="G120" s="17"/>
      <c r="H120" s="17"/>
      <c r="I120" s="11"/>
      <c r="J120" s="11"/>
      <c r="K120" s="44"/>
      <c r="L120" s="44"/>
      <c r="M120" s="44"/>
      <c r="N120" s="44"/>
      <c r="O120" s="44"/>
      <c r="P120" s="44"/>
      <c r="Q120" s="47"/>
      <c r="R120" s="35">
        <f>SUM(Décaissements63[[#This Row],[Période 0]:[Période 12]])</f>
        <v>0</v>
      </c>
      <c r="S120" s="36" t="e">
        <f>+AVERAGE(Décaissements63[[#This Row],[Période 1]:[Période 12]])</f>
        <v>#DIV/0!</v>
      </c>
    </row>
    <row r="121" spans="2:19" ht="17.25" customHeight="1" x14ac:dyDescent="0.2">
      <c r="B121" s="360" t="s">
        <v>908</v>
      </c>
      <c r="C121" s="33"/>
      <c r="D121" s="11"/>
      <c r="E121" s="11"/>
      <c r="F121" s="17"/>
      <c r="G121" s="17"/>
      <c r="H121" s="17"/>
      <c r="I121" s="17"/>
      <c r="J121" s="11">
        <v>1082.1600000000001</v>
      </c>
      <c r="K121" s="44"/>
      <c r="L121" s="11"/>
      <c r="M121" s="44"/>
      <c r="N121" s="44"/>
      <c r="O121" s="44"/>
      <c r="P121" s="44"/>
      <c r="Q121" s="34"/>
      <c r="R121" s="35">
        <f>SUM(Décaissements63[[#This Row],[Période 0]:[Période 12]])</f>
        <v>1082.1600000000001</v>
      </c>
      <c r="S121" s="36">
        <f>+AVERAGE(Décaissements63[[#This Row],[Période 1]:[Période 12]])</f>
        <v>1082.1600000000001</v>
      </c>
    </row>
    <row r="122" spans="2:19" ht="17.25" customHeight="1" x14ac:dyDescent="0.2">
      <c r="B122" s="360" t="s">
        <v>42</v>
      </c>
      <c r="C122" s="33"/>
      <c r="D122" s="42"/>
      <c r="E122" s="17">
        <f>579.72+3173.34+3456.06+4814.58+22364.4</f>
        <v>34388.100000000006</v>
      </c>
      <c r="F122" s="17">
        <f>3667.2+3732.36</f>
        <v>7399.5599999999995</v>
      </c>
      <c r="G122" s="17">
        <f>4928.88+40573.92+1014.6+2588.04+2690.4+3655.92+4572.24+9397.2+23709.96</f>
        <v>93131.16</v>
      </c>
      <c r="H122" s="17"/>
      <c r="I122" s="44">
        <f>806.64+818.88+906.6+1408.56+1706.52+2734.8+4089.96+7864.68+27751.68+579.73+768.36+906.6+2524.92+14185.92</f>
        <v>67053.850000000006</v>
      </c>
      <c r="J122" s="11">
        <f>1316.88+1437.36+2299.32+4394.4+6544.32+7242.84</f>
        <v>23235.119999999999</v>
      </c>
      <c r="K122" s="44"/>
      <c r="L122" s="11"/>
      <c r="M122" s="44"/>
      <c r="N122" s="44"/>
      <c r="O122" s="44"/>
      <c r="P122" s="44"/>
      <c r="Q122" s="33"/>
      <c r="R122" s="41"/>
      <c r="S122" s="2">
        <f>+AVERAGE(Décaissements63[[#This Row],[Période 1]:[Période 12]])</f>
        <v>45041.558000000005</v>
      </c>
    </row>
    <row r="123" spans="2:19" ht="17.25" customHeight="1" x14ac:dyDescent="0.2">
      <c r="B123" s="360" t="s">
        <v>130</v>
      </c>
      <c r="C123" s="33"/>
      <c r="D123" s="11"/>
      <c r="E123" s="17"/>
      <c r="F123" s="17"/>
      <c r="G123" s="17"/>
      <c r="H123" s="79"/>
      <c r="I123" s="17"/>
      <c r="J123" s="11"/>
      <c r="K123" s="11"/>
      <c r="L123" s="11"/>
      <c r="M123" s="44"/>
      <c r="N123" s="44"/>
      <c r="O123" s="44"/>
      <c r="P123" s="44"/>
      <c r="Q123" s="80"/>
      <c r="R123" s="35">
        <f>SUM(Décaissements63[[#This Row],[Période 0]:[Période 12]])</f>
        <v>0</v>
      </c>
      <c r="S123" s="36" t="e">
        <f>+AVERAGE(Décaissements63[[#This Row],[Période 1]:[Période 12]])</f>
        <v>#DIV/0!</v>
      </c>
    </row>
    <row r="124" spans="2:19" ht="17.25" customHeight="1" x14ac:dyDescent="0.2">
      <c r="B124" s="360" t="s">
        <v>155</v>
      </c>
      <c r="C124" s="33"/>
      <c r="D124" s="11"/>
      <c r="E124" s="17"/>
      <c r="F124" s="17">
        <v>381.78</v>
      </c>
      <c r="G124" s="17">
        <v>886</v>
      </c>
      <c r="H124" s="79">
        <v>1202.5</v>
      </c>
      <c r="I124" s="17"/>
      <c r="J124" s="11">
        <f>1739.99+1739.99</f>
        <v>3479.98</v>
      </c>
      <c r="K124" s="11"/>
      <c r="L124" s="11"/>
      <c r="M124" s="100"/>
      <c r="N124" s="100"/>
      <c r="O124" s="100"/>
      <c r="P124" s="100"/>
      <c r="Q124" s="124"/>
      <c r="R124" s="35">
        <f>SUM(Décaissements63[[#This Row],[Période 0]:[Période 12]])</f>
        <v>5950.26</v>
      </c>
      <c r="S124" s="36">
        <f>+AVERAGE(Décaissements63[[#This Row],[Période 1]:[Période 12]])</f>
        <v>1487.5650000000001</v>
      </c>
    </row>
    <row r="125" spans="2:19" ht="17.25" customHeight="1" x14ac:dyDescent="0.2">
      <c r="B125" s="360" t="s">
        <v>910</v>
      </c>
      <c r="C125" s="33"/>
      <c r="D125" s="11"/>
      <c r="E125" s="17"/>
      <c r="F125" s="17"/>
      <c r="G125" s="17"/>
      <c r="H125" s="17"/>
      <c r="I125" s="17"/>
      <c r="J125" s="11">
        <f>121.82+178.33+121.82</f>
        <v>421.96999999999997</v>
      </c>
      <c r="K125" s="11"/>
      <c r="L125" s="11"/>
      <c r="M125" s="44"/>
      <c r="N125" s="44"/>
      <c r="O125" s="44"/>
      <c r="P125" s="44"/>
      <c r="Q125" s="47"/>
      <c r="R125" s="35">
        <f>SUM(Décaissements63[[#This Row],[Période 0]:[Période 12]])</f>
        <v>421.96999999999997</v>
      </c>
      <c r="S125" s="36">
        <f>+AVERAGE(Décaissements63[[#This Row],[Période 1]:[Période 12]])</f>
        <v>421.96999999999997</v>
      </c>
    </row>
    <row r="126" spans="2:19" ht="17.25" customHeight="1" x14ac:dyDescent="0.2">
      <c r="B126" s="360" t="s">
        <v>157</v>
      </c>
      <c r="C126" s="33"/>
      <c r="D126" s="11"/>
      <c r="E126" s="17"/>
      <c r="F126" s="17"/>
      <c r="G126" s="17">
        <v>200.88</v>
      </c>
      <c r="H126" s="79"/>
      <c r="I126" s="17"/>
      <c r="J126" s="11">
        <v>587.4</v>
      </c>
      <c r="K126" s="11"/>
      <c r="L126" s="11"/>
      <c r="M126" s="100"/>
      <c r="N126" s="100"/>
      <c r="O126" s="100"/>
      <c r="P126" s="100"/>
      <c r="Q126" s="124"/>
      <c r="R126" s="35">
        <f>SUM(Décaissements63[[#This Row],[Période 0]:[Période 12]])</f>
        <v>788.28</v>
      </c>
      <c r="S126" s="36">
        <f>+AVERAGE(Décaissements63[[#This Row],[Période 1]:[Période 12]])</f>
        <v>394.14</v>
      </c>
    </row>
    <row r="127" spans="2:19" ht="17.25" customHeight="1" x14ac:dyDescent="0.2">
      <c r="B127" s="360" t="s">
        <v>43</v>
      </c>
      <c r="C127" s="33"/>
      <c r="D127" s="42"/>
      <c r="E127" s="17">
        <v>11346.32</v>
      </c>
      <c r="F127" s="17"/>
      <c r="G127" s="17">
        <f>2332.25+689.4+29558.22+1980.92+330.25+510.52+16391.28</f>
        <v>51792.84</v>
      </c>
      <c r="H127" s="17"/>
      <c r="I127" s="17">
        <f>18196.19+13719.44</f>
        <v>31915.629999999997</v>
      </c>
      <c r="J127" s="11">
        <v>14286.57</v>
      </c>
      <c r="K127" s="11"/>
      <c r="L127" s="11"/>
      <c r="M127" s="44"/>
      <c r="N127" s="44"/>
      <c r="O127" s="44"/>
      <c r="P127" s="44"/>
      <c r="Q127" s="33"/>
      <c r="R127" s="41"/>
      <c r="S127" s="2">
        <f>+AVERAGE(Décaissements63[[#This Row],[Période 1]:[Période 12]])</f>
        <v>27335.339999999997</v>
      </c>
    </row>
    <row r="128" spans="2:19" ht="17.25" customHeight="1" x14ac:dyDescent="0.2">
      <c r="B128" s="360" t="s">
        <v>44</v>
      </c>
      <c r="C128" s="33"/>
      <c r="D128" s="42"/>
      <c r="E128" s="17">
        <f>3071.65+1017.62+75+55.21+56.17+132.69+172.08+81.49</f>
        <v>4661.91</v>
      </c>
      <c r="F128" s="17">
        <f>5829.29+457.84+99.28+28.71+711.5+1658.73+1492.81</f>
        <v>10278.16</v>
      </c>
      <c r="G128" s="17">
        <f>26.17+937.71+304.87+109.42+109.63+56.71+68.37+278.71+154.81+5829.28+2926.72</f>
        <v>10802.4</v>
      </c>
      <c r="H128" s="17"/>
      <c r="I128" s="17">
        <f>27.02+1462.29+563.88+201.19+339.45+86+520.38+742.43+1532.78+2359.56</f>
        <v>7834.98</v>
      </c>
      <c r="J128" s="11">
        <f>1250.2+160.17+237.18+569.72+276.74</f>
        <v>2494.0100000000002</v>
      </c>
      <c r="K128" s="11"/>
      <c r="L128" s="11"/>
      <c r="M128" s="44"/>
      <c r="N128" s="44"/>
      <c r="O128" s="44"/>
      <c r="P128" s="44"/>
      <c r="Q128" s="33"/>
      <c r="R128" s="41"/>
      <c r="S128" s="2">
        <f>+AVERAGE(Décaissements63[[#This Row],[Période 1]:[Période 12]])</f>
        <v>7214.2919999999995</v>
      </c>
    </row>
    <row r="129" spans="2:19" ht="17.25" customHeight="1" x14ac:dyDescent="0.2">
      <c r="B129" s="360" t="s">
        <v>131</v>
      </c>
      <c r="C129" s="33"/>
      <c r="D129" s="42"/>
      <c r="E129" s="17">
        <v>134.11000000000001</v>
      </c>
      <c r="F129" s="17">
        <v>126.19</v>
      </c>
      <c r="G129" s="17"/>
      <c r="H129" s="17"/>
      <c r="I129" s="17">
        <v>426.48</v>
      </c>
      <c r="J129" s="11"/>
      <c r="K129" s="11"/>
      <c r="L129" s="11"/>
      <c r="M129" s="44"/>
      <c r="N129" s="44"/>
      <c r="O129" s="44"/>
      <c r="P129" s="44"/>
      <c r="Q129" s="34"/>
      <c r="R129" s="41">
        <f>SUM(Décaissements63[[#This Row],[Période 0]:[Période 12]])</f>
        <v>686.78</v>
      </c>
      <c r="S129" s="2">
        <f>+AVERAGE(Décaissements63[[#This Row],[Période 1]:[Période 12]])</f>
        <v>228.92666666666665</v>
      </c>
    </row>
    <row r="130" spans="2:19" ht="17.25" customHeight="1" x14ac:dyDescent="0.2">
      <c r="B130" s="360" t="s">
        <v>46</v>
      </c>
      <c r="C130" s="33"/>
      <c r="D130" s="42"/>
      <c r="E130" s="17">
        <v>12007.62</v>
      </c>
      <c r="F130" s="17">
        <v>5068.74</v>
      </c>
      <c r="G130" s="17"/>
      <c r="H130" s="17"/>
      <c r="I130" s="17">
        <f>9639.44+8611.7</f>
        <v>18251.14</v>
      </c>
      <c r="J130" s="11">
        <v>10711.84</v>
      </c>
      <c r="K130" s="11"/>
      <c r="L130" s="11"/>
      <c r="M130" s="44"/>
      <c r="N130" s="44"/>
      <c r="O130" s="44"/>
      <c r="P130" s="44"/>
      <c r="Q130" s="34"/>
      <c r="R130" s="41">
        <f>SUM(Décaissements63[[#This Row],[Période 0]:[Période 12]])</f>
        <v>46039.34</v>
      </c>
      <c r="S130" s="2">
        <f>+AVERAGE(Décaissements63[[#This Row],[Période 1]:[Période 12]])</f>
        <v>11509.834999999999</v>
      </c>
    </row>
    <row r="131" spans="2:19" ht="17.25" customHeight="1" x14ac:dyDescent="0.2">
      <c r="B131" s="360" t="s">
        <v>127</v>
      </c>
      <c r="C131" s="33"/>
      <c r="D131" s="11"/>
      <c r="E131" s="17"/>
      <c r="F131" s="17"/>
      <c r="G131" s="17"/>
      <c r="H131" s="17"/>
      <c r="I131" s="17"/>
      <c r="J131" s="11"/>
      <c r="K131" s="11"/>
      <c r="L131" s="11"/>
      <c r="M131" s="44"/>
      <c r="N131" s="44"/>
      <c r="O131" s="44"/>
      <c r="P131" s="44"/>
      <c r="Q131" s="47"/>
      <c r="R131" s="35">
        <f>SUM(Décaissements63[[#This Row],[Période 0]:[Période 12]])</f>
        <v>0</v>
      </c>
      <c r="S131" s="36" t="e">
        <f>+AVERAGE(Décaissements63[[#This Row],[Période 1]:[Période 12]])</f>
        <v>#DIV/0!</v>
      </c>
    </row>
    <row r="132" spans="2:19" ht="17.25" customHeight="1" x14ac:dyDescent="0.2">
      <c r="B132" s="360" t="s">
        <v>83</v>
      </c>
      <c r="C132" s="33"/>
      <c r="D132" s="11"/>
      <c r="E132" s="11">
        <v>14750.59</v>
      </c>
      <c r="F132" s="11">
        <f>768.39</f>
        <v>768.39</v>
      </c>
      <c r="G132" s="17">
        <v>6016.03</v>
      </c>
      <c r="H132" s="11"/>
      <c r="I132" s="17">
        <v>6278.22</v>
      </c>
      <c r="J132" s="11"/>
      <c r="K132" s="11"/>
      <c r="L132" s="11"/>
      <c r="M132" s="44"/>
      <c r="N132" s="44"/>
      <c r="O132" s="44"/>
      <c r="P132" s="44"/>
      <c r="Q132" s="34"/>
      <c r="R132" s="35">
        <f>SUM(Décaissements63[[#This Row],[Période 0]:[Période 12]])</f>
        <v>27813.23</v>
      </c>
      <c r="S132" s="36">
        <f>+AVERAGE(Décaissements63[[#This Row],[Période 1]:[Période 12]])</f>
        <v>6953.3074999999999</v>
      </c>
    </row>
    <row r="133" spans="2:19" ht="17.25" customHeight="1" x14ac:dyDescent="0.2">
      <c r="B133" s="360" t="s">
        <v>514</v>
      </c>
      <c r="C133" s="33"/>
      <c r="D133" s="11"/>
      <c r="E133" s="11"/>
      <c r="F133" s="11"/>
      <c r="G133" s="17"/>
      <c r="H133" s="17"/>
      <c r="I133" s="17">
        <v>451.3</v>
      </c>
      <c r="J133" s="11"/>
      <c r="K133" s="11"/>
      <c r="L133" s="11"/>
      <c r="M133" s="44"/>
      <c r="N133" s="44"/>
      <c r="O133" s="44"/>
      <c r="P133" s="44"/>
      <c r="Q133" s="47"/>
      <c r="R133" s="35">
        <f>SUM(Décaissements63[[#This Row],[Période 0]:[Période 12]])</f>
        <v>451.3</v>
      </c>
      <c r="S133" s="36">
        <f>+AVERAGE(Décaissements63[[#This Row],[Période 1]:[Période 12]])</f>
        <v>451.3</v>
      </c>
    </row>
    <row r="134" spans="2:19" ht="17.25" customHeight="1" x14ac:dyDescent="0.2">
      <c r="B134" s="360" t="s">
        <v>84</v>
      </c>
      <c r="C134" s="33"/>
      <c r="D134" s="11"/>
      <c r="E134" s="11"/>
      <c r="F134" s="11"/>
      <c r="G134" s="17"/>
      <c r="H134" s="11"/>
      <c r="I134" s="17"/>
      <c r="J134" s="11"/>
      <c r="K134" s="11"/>
      <c r="L134" s="11"/>
      <c r="M134" s="44"/>
      <c r="N134" s="44"/>
      <c r="O134" s="44"/>
      <c r="P134" s="44"/>
      <c r="Q134" s="34"/>
      <c r="R134" s="35">
        <f>SUM(Décaissements63[[#This Row],[Période 0]:[Période 12]])</f>
        <v>0</v>
      </c>
      <c r="S134" s="36" t="e">
        <f>+AVERAGE(Décaissements63[[#This Row],[Période 1]:[Période 12]])</f>
        <v>#DIV/0!</v>
      </c>
    </row>
    <row r="135" spans="2:19" ht="17.25" customHeight="1" x14ac:dyDescent="0.2">
      <c r="B135" s="360" t="s">
        <v>154</v>
      </c>
      <c r="C135" s="33"/>
      <c r="D135" s="11"/>
      <c r="E135" s="17">
        <v>182.37</v>
      </c>
      <c r="F135" s="17"/>
      <c r="G135" s="17">
        <v>4663.5600000000004</v>
      </c>
      <c r="H135" s="79"/>
      <c r="I135" s="17">
        <f>1008.54-69+1286</f>
        <v>2225.54</v>
      </c>
      <c r="J135" s="17">
        <f>4589.64+813.23</f>
        <v>5402.8700000000008</v>
      </c>
      <c r="K135" s="11"/>
      <c r="L135" s="11"/>
      <c r="M135" s="100"/>
      <c r="N135" s="100"/>
      <c r="O135" s="100"/>
      <c r="P135" s="100"/>
      <c r="Q135" s="124"/>
      <c r="R135" s="35">
        <f>SUM(Décaissements63[[#This Row],[Période 0]:[Période 12]])</f>
        <v>12474.34</v>
      </c>
      <c r="S135" s="36">
        <f>+AVERAGE(Décaissements63[[#This Row],[Période 1]:[Période 12]])</f>
        <v>3118.585</v>
      </c>
    </row>
    <row r="136" spans="2:19" ht="17.25" customHeight="1" x14ac:dyDescent="0.2">
      <c r="B136" s="360" t="s">
        <v>165</v>
      </c>
      <c r="C136" s="33"/>
      <c r="D136" s="11"/>
      <c r="E136" s="17">
        <v>1906</v>
      </c>
      <c r="F136" s="17">
        <v>4552.7700000000004</v>
      </c>
      <c r="G136" s="17">
        <f>6187.88+10623.14</f>
        <v>16811.02</v>
      </c>
      <c r="H136" s="79"/>
      <c r="I136" s="100"/>
      <c r="J136" s="100"/>
      <c r="K136" s="100"/>
      <c r="L136" s="11"/>
      <c r="M136" s="100"/>
      <c r="N136" s="100"/>
      <c r="O136" s="100"/>
      <c r="P136" s="100"/>
      <c r="Q136" s="136"/>
      <c r="R136" s="35">
        <f>SUM(Décaissements63[[#This Row],[Période 0]:[Période 12]])</f>
        <v>23269.79</v>
      </c>
      <c r="S136" s="36">
        <f>+AVERAGE(Décaissements63[[#This Row],[Période 1]:[Période 12]])</f>
        <v>7756.5966666666673</v>
      </c>
    </row>
    <row r="137" spans="2:19" ht="17.25" customHeight="1" x14ac:dyDescent="0.2">
      <c r="B137" s="360" t="s">
        <v>100</v>
      </c>
      <c r="C137" s="33"/>
      <c r="D137" s="11"/>
      <c r="E137" s="17">
        <v>903.18</v>
      </c>
      <c r="F137" s="17"/>
      <c r="G137" s="17"/>
      <c r="H137" s="11">
        <v>499</v>
      </c>
      <c r="I137" s="17"/>
      <c r="J137" s="17"/>
      <c r="K137" s="11"/>
      <c r="L137" s="11"/>
      <c r="M137" s="44"/>
      <c r="N137" s="44"/>
      <c r="O137" s="44"/>
      <c r="P137" s="44"/>
      <c r="Q137" s="47"/>
      <c r="R137" s="35">
        <f>SUM(Décaissements63[[#This Row],[Période 0]:[Période 12]])</f>
        <v>1402.1799999999998</v>
      </c>
      <c r="S137" s="36">
        <f>+AVERAGE(Décaissements63[[#This Row],[Période 1]:[Période 12]])</f>
        <v>701.08999999999992</v>
      </c>
    </row>
    <row r="138" spans="2:19" ht="17.25" customHeight="1" x14ac:dyDescent="0.2">
      <c r="B138" s="360" t="s">
        <v>80</v>
      </c>
      <c r="C138" s="33"/>
      <c r="D138" s="11"/>
      <c r="E138" s="11"/>
      <c r="F138" s="11"/>
      <c r="G138" s="17"/>
      <c r="H138" s="17"/>
      <c r="I138" s="44"/>
      <c r="J138" s="17"/>
      <c r="K138" s="11"/>
      <c r="L138" s="11"/>
      <c r="M138" s="44"/>
      <c r="N138" s="44"/>
      <c r="O138" s="44"/>
      <c r="P138" s="44"/>
      <c r="Q138" s="34"/>
      <c r="R138" s="35">
        <f>SUM(Décaissements63[[#This Row],[Période 0]:[Période 12]])</f>
        <v>0</v>
      </c>
      <c r="S138" s="36" t="e">
        <f>+AVERAGE(Décaissements63[[#This Row],[Période 1]:[Période 12]])</f>
        <v>#DIV/0!</v>
      </c>
    </row>
    <row r="139" spans="2:19" ht="17.25" customHeight="1" x14ac:dyDescent="0.2">
      <c r="B139" s="360" t="s">
        <v>79</v>
      </c>
      <c r="C139" s="33"/>
      <c r="D139" s="11"/>
      <c r="E139" s="11">
        <f>1396.15+1132.2+682.9+847.6</f>
        <v>4058.8500000000004</v>
      </c>
      <c r="F139" s="11"/>
      <c r="G139" s="17">
        <v>10333.17</v>
      </c>
      <c r="H139" s="17"/>
      <c r="I139" s="17">
        <f>8638.36+163.72</f>
        <v>8802.08</v>
      </c>
      <c r="J139" s="17">
        <f>8802.08+8805.08</f>
        <v>17607.16</v>
      </c>
      <c r="K139" s="17"/>
      <c r="L139" s="11"/>
      <c r="M139" s="44"/>
      <c r="N139" s="44"/>
      <c r="O139" s="44"/>
      <c r="P139" s="44"/>
      <c r="Q139" s="34"/>
      <c r="R139" s="35">
        <f>SUM(Décaissements63[[#This Row],[Période 0]:[Période 12]])</f>
        <v>40801.259999999995</v>
      </c>
      <c r="S139" s="36">
        <f>+AVERAGE(Décaissements63[[#This Row],[Période 1]:[Période 12]])</f>
        <v>10200.314999999999</v>
      </c>
    </row>
    <row r="140" spans="2:19" ht="17.25" customHeight="1" x14ac:dyDescent="0.2">
      <c r="B140" s="360" t="s">
        <v>93</v>
      </c>
      <c r="C140" s="33"/>
      <c r="D140" s="11"/>
      <c r="E140" s="11">
        <v>500.98</v>
      </c>
      <c r="F140" s="11"/>
      <c r="G140" s="11"/>
      <c r="H140" s="17"/>
      <c r="I140" s="17"/>
      <c r="J140" s="17"/>
      <c r="K140" s="44"/>
      <c r="L140" s="11"/>
      <c r="M140" s="100"/>
      <c r="N140" s="44"/>
      <c r="O140" s="44"/>
      <c r="P140" s="44"/>
      <c r="Q140" s="47"/>
      <c r="R140" s="35">
        <f>SUM(Décaissements63[[#This Row],[Période 0]:[Période 12]])</f>
        <v>500.98</v>
      </c>
      <c r="S140" s="36">
        <f>+AVERAGE(Décaissements63[[#This Row],[Période 1]:[Période 12]])</f>
        <v>500.98</v>
      </c>
    </row>
    <row r="141" spans="2:19" ht="17.25" customHeight="1" x14ac:dyDescent="0.2">
      <c r="B141" s="357" t="s">
        <v>172</v>
      </c>
      <c r="C141" s="33"/>
      <c r="D141" s="11"/>
      <c r="E141" s="17">
        <v>78.709999999999994</v>
      </c>
      <c r="F141" s="17"/>
      <c r="G141" s="17">
        <f>70.92+72</f>
        <v>142.92000000000002</v>
      </c>
      <c r="H141" s="79"/>
      <c r="I141" s="100"/>
      <c r="J141" s="100">
        <v>106.44</v>
      </c>
      <c r="K141" s="100"/>
      <c r="L141" s="100"/>
      <c r="M141" s="17"/>
      <c r="N141" s="100"/>
      <c r="O141" s="100"/>
      <c r="P141" s="100"/>
      <c r="Q141" s="141"/>
      <c r="R141" s="35">
        <f>SUM(Décaissements63[[#This Row],[Période 0]:[Période 12]])</f>
        <v>328.07</v>
      </c>
      <c r="S141" s="36">
        <f>+AVERAGE(Décaissements63[[#This Row],[Période 1]:[Période 12]])</f>
        <v>109.35666666666667</v>
      </c>
    </row>
    <row r="142" spans="2:19" ht="17.25" customHeight="1" x14ac:dyDescent="0.2">
      <c r="B142" s="360" t="s">
        <v>71</v>
      </c>
      <c r="C142" s="33"/>
      <c r="D142" s="11"/>
      <c r="E142" s="17"/>
      <c r="F142" s="17">
        <f>13.55+44.9+44.92</f>
        <v>103.37</v>
      </c>
      <c r="G142" s="17"/>
      <c r="H142" s="17">
        <f>32.8+137.5</f>
        <v>170.3</v>
      </c>
      <c r="I142" s="17"/>
      <c r="J142" s="17"/>
      <c r="K142" s="11"/>
      <c r="L142" s="11"/>
      <c r="M142" s="44"/>
      <c r="N142" s="44"/>
      <c r="O142" s="44"/>
      <c r="P142" s="44"/>
      <c r="Q142" s="47"/>
      <c r="R142" s="35">
        <f>SUM(Décaissements63[[#This Row],[Période 0]:[Période 12]])</f>
        <v>273.67</v>
      </c>
      <c r="S142" s="36">
        <f>+AVERAGE(Décaissements63[[#This Row],[Période 1]:[Période 12]])</f>
        <v>136.83500000000001</v>
      </c>
    </row>
    <row r="143" spans="2:19" ht="17.25" customHeight="1" x14ac:dyDescent="0.2">
      <c r="B143" s="360" t="s">
        <v>149</v>
      </c>
      <c r="C143" s="33"/>
      <c r="D143" s="11"/>
      <c r="E143" s="17">
        <f>30.38+30.88+20.88</f>
        <v>82.14</v>
      </c>
      <c r="F143" s="17"/>
      <c r="G143" s="17">
        <v>12.31</v>
      </c>
      <c r="H143" s="79"/>
      <c r="I143" s="17"/>
      <c r="J143" s="17"/>
      <c r="K143" s="11"/>
      <c r="L143" s="11"/>
      <c r="M143" s="11"/>
      <c r="N143" s="100"/>
      <c r="O143" s="100"/>
      <c r="P143" s="100"/>
      <c r="Q143" s="124"/>
      <c r="R143" s="35">
        <f>SUM(Décaissements63[[#This Row],[Période 0]:[Période 12]])</f>
        <v>94.45</v>
      </c>
      <c r="S143" s="36">
        <f>+AVERAGE(Décaissements63[[#This Row],[Période 1]:[Période 12]])</f>
        <v>47.225000000000001</v>
      </c>
    </row>
    <row r="144" spans="2:19" ht="17.25" customHeight="1" x14ac:dyDescent="0.2">
      <c r="B144" s="360" t="s">
        <v>144</v>
      </c>
      <c r="C144" s="33"/>
      <c r="D144" s="11"/>
      <c r="E144" s="17"/>
      <c r="F144" s="17"/>
      <c r="G144" s="17"/>
      <c r="H144" s="79"/>
      <c r="I144" s="17"/>
      <c r="J144" s="17"/>
      <c r="K144" s="11"/>
      <c r="L144" s="11"/>
      <c r="M144" s="100"/>
      <c r="N144" s="100"/>
      <c r="O144" s="100"/>
      <c r="P144" s="100"/>
      <c r="Q144" s="34"/>
      <c r="R144" s="35">
        <f>SUM(Décaissements63[[#This Row],[Période 0]:[Période 12]])</f>
        <v>0</v>
      </c>
      <c r="S144" s="36" t="e">
        <f>+AVERAGE(Décaissements63[[#This Row],[Période 1]:[Période 12]])</f>
        <v>#DIV/0!</v>
      </c>
    </row>
    <row r="145" spans="2:19" ht="17.25" customHeight="1" x14ac:dyDescent="0.2">
      <c r="B145" s="360" t="s">
        <v>153</v>
      </c>
      <c r="C145" s="33"/>
      <c r="D145" s="11"/>
      <c r="E145" s="17"/>
      <c r="F145" s="17">
        <v>4.41</v>
      </c>
      <c r="G145" s="17"/>
      <c r="H145" s="79"/>
      <c r="I145" s="17"/>
      <c r="J145" s="17"/>
      <c r="K145" s="11"/>
      <c r="L145" s="11"/>
      <c r="M145" s="100"/>
      <c r="N145" s="100"/>
      <c r="O145" s="100"/>
      <c r="P145" s="100"/>
      <c r="Q145" s="124"/>
      <c r="R145" s="35">
        <f>SUM(Décaissements63[[#This Row],[Période 0]:[Période 12]])</f>
        <v>4.41</v>
      </c>
      <c r="S145" s="36">
        <f>+AVERAGE(Décaissements63[[#This Row],[Période 1]:[Période 12]])</f>
        <v>4.41</v>
      </c>
    </row>
    <row r="146" spans="2:19" ht="17.25" customHeight="1" x14ac:dyDescent="0.2">
      <c r="B146" s="360" t="s">
        <v>87</v>
      </c>
      <c r="C146" s="33"/>
      <c r="D146" s="11"/>
      <c r="E146" s="11"/>
      <c r="F146" s="11">
        <f>25.8+131.8+54.99</f>
        <v>212.59000000000003</v>
      </c>
      <c r="G146" s="17"/>
      <c r="H146" s="11"/>
      <c r="I146" s="17"/>
      <c r="J146" s="17"/>
      <c r="K146" s="11"/>
      <c r="L146" s="11"/>
      <c r="M146" s="44"/>
      <c r="N146" s="44"/>
      <c r="O146" s="44"/>
      <c r="P146" s="44"/>
      <c r="Q146" s="47"/>
      <c r="R146" s="35">
        <f>SUM(Décaissements63[[#This Row],[Période 0]:[Période 12]])</f>
        <v>212.59000000000003</v>
      </c>
      <c r="S146" s="36">
        <f>+AVERAGE(Décaissements63[[#This Row],[Période 1]:[Période 12]])</f>
        <v>212.59000000000003</v>
      </c>
    </row>
    <row r="147" spans="2:19" ht="17.25" customHeight="1" x14ac:dyDescent="0.2">
      <c r="B147" s="360" t="s">
        <v>164</v>
      </c>
      <c r="C147" s="33"/>
      <c r="D147" s="11"/>
      <c r="E147" s="17"/>
      <c r="F147" s="17"/>
      <c r="G147" s="17"/>
      <c r="H147" s="79"/>
      <c r="I147" s="100"/>
      <c r="J147" s="100"/>
      <c r="K147" s="100"/>
      <c r="L147" s="11"/>
      <c r="M147" s="100"/>
      <c r="N147" s="100"/>
      <c r="O147" s="100"/>
      <c r="P147" s="100"/>
      <c r="Q147" s="136"/>
      <c r="R147" s="35">
        <f>SUM(Décaissements63[[#This Row],[Période 0]:[Période 12]])</f>
        <v>0</v>
      </c>
      <c r="S147" s="36" t="e">
        <f>+AVERAGE(Décaissements63[[#This Row],[Période 1]:[Période 12]])</f>
        <v>#DIV/0!</v>
      </c>
    </row>
    <row r="148" spans="2:19" ht="17.25" customHeight="1" x14ac:dyDescent="0.2">
      <c r="B148" s="360" t="s">
        <v>190</v>
      </c>
      <c r="C148" s="33"/>
      <c r="D148" s="11"/>
      <c r="E148" s="17"/>
      <c r="F148" s="17"/>
      <c r="G148" s="17"/>
      <c r="H148" s="79"/>
      <c r="I148" s="100"/>
      <c r="J148" s="100">
        <f>5450+459.52</f>
        <v>5909.52</v>
      </c>
      <c r="K148" s="100"/>
      <c r="L148" s="100"/>
      <c r="M148" s="100"/>
      <c r="N148" s="100"/>
      <c r="O148" s="100"/>
      <c r="P148" s="100"/>
      <c r="Q148" s="241"/>
      <c r="R148" s="35">
        <f>SUM(Décaissements63[[#This Row],[Période 0]:[Période 12]])</f>
        <v>5909.52</v>
      </c>
      <c r="S148" s="224">
        <f>+AVERAGE(Décaissements63[[#This Row],[Période 1]:[Période 12]])</f>
        <v>5909.52</v>
      </c>
    </row>
    <row r="149" spans="2:19" ht="17.25" customHeight="1" x14ac:dyDescent="0.2">
      <c r="B149" s="360" t="s">
        <v>72</v>
      </c>
      <c r="C149" s="33"/>
      <c r="D149" s="42"/>
      <c r="E149" s="17"/>
      <c r="F149" s="17"/>
      <c r="G149" s="17"/>
      <c r="H149" s="44"/>
      <c r="I149" s="17"/>
      <c r="J149" s="17"/>
      <c r="K149" s="11"/>
      <c r="L149" s="44"/>
      <c r="M149" s="44"/>
      <c r="N149" s="44"/>
      <c r="O149" s="44"/>
      <c r="P149" s="44"/>
      <c r="Q149" s="34"/>
      <c r="R149" s="41">
        <f>SUM(Décaissements63[[#This Row],[Période 0]:[Période 12]])</f>
        <v>0</v>
      </c>
      <c r="S149" s="2" t="e">
        <f>+AVERAGE(Décaissements63[[#This Row],[Période 1]:[Période 12]])</f>
        <v>#DIV/0!</v>
      </c>
    </row>
    <row r="150" spans="2:19" ht="17.25" customHeight="1" x14ac:dyDescent="0.2">
      <c r="B150" s="360" t="s">
        <v>374</v>
      </c>
      <c r="C150" s="33"/>
      <c r="D150" s="11"/>
      <c r="E150" s="17">
        <v>300</v>
      </c>
      <c r="F150" s="17"/>
      <c r="G150" s="17">
        <v>364.8</v>
      </c>
      <c r="H150" s="79"/>
      <c r="I150" s="100">
        <v>729.6</v>
      </c>
      <c r="J150" s="100"/>
      <c r="K150" s="100"/>
      <c r="L150" s="100"/>
      <c r="M150" s="100"/>
      <c r="N150" s="100"/>
      <c r="O150" s="100"/>
      <c r="P150" s="100"/>
      <c r="Q150" s="228"/>
      <c r="R150" s="35">
        <f>SUM(Décaissements63[[#This Row],[Période 0]:[Période 12]])</f>
        <v>1394.4</v>
      </c>
      <c r="S150" s="224">
        <f>+AVERAGE(Décaissements63[[#This Row],[Période 1]:[Période 12]])</f>
        <v>464.8</v>
      </c>
    </row>
    <row r="151" spans="2:19" ht="17.25" customHeight="1" x14ac:dyDescent="0.2">
      <c r="B151" s="360" t="s">
        <v>136</v>
      </c>
      <c r="C151" s="33"/>
      <c r="D151" s="11"/>
      <c r="E151" s="17"/>
      <c r="F151" s="17"/>
      <c r="G151" s="17"/>
      <c r="H151" s="79"/>
      <c r="I151" s="17"/>
      <c r="J151" s="17"/>
      <c r="K151" s="11"/>
      <c r="L151" s="44"/>
      <c r="M151" s="44"/>
      <c r="N151" s="44"/>
      <c r="O151" s="44"/>
      <c r="P151" s="44"/>
      <c r="Q151" s="80"/>
      <c r="R151" s="35">
        <f>SUM(Décaissements63[[#This Row],[Période 0]:[Période 12]])</f>
        <v>0</v>
      </c>
      <c r="S151" s="36" t="e">
        <f>+AVERAGE(Décaissements63[[#This Row],[Période 1]:[Période 12]])</f>
        <v>#DIV/0!</v>
      </c>
    </row>
    <row r="152" spans="2:19" ht="17.25" customHeight="1" x14ac:dyDescent="0.2">
      <c r="B152" s="360" t="s">
        <v>134</v>
      </c>
      <c r="C152" s="33"/>
      <c r="D152" s="11"/>
      <c r="E152" s="17"/>
      <c r="F152" s="17"/>
      <c r="G152" s="17"/>
      <c r="H152" s="79"/>
      <c r="I152" s="17"/>
      <c r="J152" s="17"/>
      <c r="K152" s="11"/>
      <c r="L152" s="44"/>
      <c r="M152" s="44"/>
      <c r="N152" s="44"/>
      <c r="O152" s="44"/>
      <c r="P152" s="44"/>
      <c r="Q152" s="80"/>
      <c r="R152" s="35">
        <f>SUM(Décaissements63[[#This Row],[Période 0]:[Période 12]])</f>
        <v>0</v>
      </c>
      <c r="S152" s="36" t="e">
        <f>+AVERAGE(Décaissements63[[#This Row],[Période 1]:[Période 12]])</f>
        <v>#DIV/0!</v>
      </c>
    </row>
    <row r="153" spans="2:19" ht="17.25" customHeight="1" x14ac:dyDescent="0.2">
      <c r="B153" s="354" t="s">
        <v>118</v>
      </c>
      <c r="C153" s="56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4"/>
      <c r="R153" s="55">
        <f>SUM(Décaissements63[[#This Row],[Période 0]:[Période 12]])</f>
        <v>0</v>
      </c>
      <c r="S153" s="2" t="e">
        <f>+AVERAGE(Décaissements63[[#This Row],[Période 1]:[Période 12]])</f>
        <v>#DIV/0!</v>
      </c>
    </row>
    <row r="154" spans="2:19" ht="17.25" customHeight="1" x14ac:dyDescent="0.2">
      <c r="B154" s="359" t="s">
        <v>68</v>
      </c>
      <c r="C154" s="33"/>
      <c r="D154" s="42"/>
      <c r="E154" s="17">
        <v>51.84</v>
      </c>
      <c r="F154" s="17"/>
      <c r="G154" s="17"/>
      <c r="H154" s="44"/>
      <c r="I154" s="17"/>
      <c r="J154" s="17"/>
      <c r="K154" s="11"/>
      <c r="L154" s="44"/>
      <c r="M154" s="44"/>
      <c r="N154" s="44"/>
      <c r="O154" s="44"/>
      <c r="P154" s="44"/>
      <c r="Q154" s="34"/>
      <c r="R154" s="41">
        <f>SUM(Décaissements63[[#This Row],[Période 0]:[Période 12]])</f>
        <v>51.84</v>
      </c>
      <c r="S154" s="2">
        <f>+AVERAGE(Décaissements63[[#This Row],[Période 1]:[Période 12]])</f>
        <v>51.84</v>
      </c>
    </row>
    <row r="155" spans="2:19" ht="17.25" customHeight="1" x14ac:dyDescent="0.2">
      <c r="B155" s="357" t="s">
        <v>194</v>
      </c>
      <c r="C155" s="33"/>
      <c r="D155" s="11"/>
      <c r="E155" s="17"/>
      <c r="F155" s="17">
        <v>1524.08</v>
      </c>
      <c r="G155" s="17">
        <f>4380.4</f>
        <v>4380.3999999999996</v>
      </c>
      <c r="H155" s="79"/>
      <c r="I155" s="100"/>
      <c r="J155" s="100"/>
      <c r="K155" s="100"/>
      <c r="L155" s="100"/>
      <c r="M155" s="100"/>
      <c r="N155" s="100"/>
      <c r="O155" s="100"/>
      <c r="P155" s="100"/>
      <c r="Q155" s="241"/>
      <c r="R155" s="35">
        <f>SUM(Décaissements63[[#This Row],[Période 0]:[Période 12]])</f>
        <v>5904.48</v>
      </c>
      <c r="S155" s="224">
        <f>+AVERAGE(Décaissements63[[#This Row],[Période 1]:[Période 12]])</f>
        <v>2952.24</v>
      </c>
    </row>
    <row r="156" spans="2:19" ht="17.25" customHeight="1" x14ac:dyDescent="0.2">
      <c r="B156" s="357" t="s">
        <v>159</v>
      </c>
      <c r="C156" s="33"/>
      <c r="D156" s="11"/>
      <c r="E156" s="17"/>
      <c r="F156" s="17">
        <v>3000</v>
      </c>
      <c r="G156" s="17">
        <f>1500+3000</f>
        <v>4500</v>
      </c>
      <c r="H156" s="79">
        <v>3000</v>
      </c>
      <c r="I156" s="100"/>
      <c r="J156" s="100">
        <f>3000+3000+3000</f>
        <v>9000</v>
      </c>
      <c r="K156" s="100"/>
      <c r="L156" s="100"/>
      <c r="M156" s="100"/>
      <c r="N156" s="100"/>
      <c r="O156" s="100"/>
      <c r="P156" s="100"/>
      <c r="Q156" s="34"/>
      <c r="R156" s="35">
        <f>SUM(Décaissements63[[#This Row],[Période 0]:[Période 12]])</f>
        <v>19500</v>
      </c>
      <c r="S156" s="36">
        <f>+AVERAGE(Décaissements63[[#This Row],[Période 1]:[Période 12]])</f>
        <v>4875</v>
      </c>
    </row>
    <row r="157" spans="2:19" ht="17.25" customHeight="1" x14ac:dyDescent="0.2">
      <c r="B157" s="357" t="s">
        <v>268</v>
      </c>
      <c r="C157" s="33"/>
      <c r="D157" s="11"/>
      <c r="E157" s="17"/>
      <c r="F157" s="17">
        <v>2400</v>
      </c>
      <c r="G157" s="17">
        <v>2400</v>
      </c>
      <c r="H157" s="79">
        <v>2400</v>
      </c>
      <c r="I157" s="100"/>
      <c r="J157" s="100">
        <v>2400</v>
      </c>
      <c r="K157" s="100"/>
      <c r="L157" s="100"/>
      <c r="M157" s="100"/>
      <c r="N157" s="100"/>
      <c r="O157" s="100"/>
      <c r="P157" s="100"/>
      <c r="Q157" s="241"/>
      <c r="R157" s="35">
        <f>SUM(Décaissements63[[#This Row],[Période 0]:[Période 12]])</f>
        <v>9600</v>
      </c>
      <c r="S157" s="224">
        <f>+AVERAGE(Décaissements63[[#This Row],[Période 1]:[Période 12]])</f>
        <v>2400</v>
      </c>
    </row>
    <row r="158" spans="2:19" ht="17.25" customHeight="1" x14ac:dyDescent="0.2">
      <c r="B158" s="359" t="s">
        <v>47</v>
      </c>
      <c r="C158" s="33"/>
      <c r="D158" s="42"/>
      <c r="E158" s="17">
        <v>1077.5</v>
      </c>
      <c r="F158" s="17">
        <f>324.46+325.94</f>
        <v>650.4</v>
      </c>
      <c r="G158" s="17">
        <f>841.86+292.7+90+973.25</f>
        <v>2197.81</v>
      </c>
      <c r="H158" s="17">
        <f>688.21+2856.37</f>
        <v>3544.58</v>
      </c>
      <c r="I158" s="17"/>
      <c r="J158" s="17"/>
      <c r="K158" s="11"/>
      <c r="L158" s="44"/>
      <c r="M158" s="44"/>
      <c r="N158" s="44"/>
      <c r="O158" s="44"/>
      <c r="P158" s="44"/>
      <c r="Q158" s="33"/>
      <c r="R158" s="41"/>
      <c r="S158" s="2">
        <f>+AVERAGE(Décaissements63[[#This Row],[Période 1]:[Période 12]])</f>
        <v>1867.5725</v>
      </c>
    </row>
    <row r="159" spans="2:19" ht="17.25" customHeight="1" x14ac:dyDescent="0.2">
      <c r="B159" s="357" t="s">
        <v>95</v>
      </c>
      <c r="C159" s="33"/>
      <c r="D159" s="11"/>
      <c r="E159" s="17"/>
      <c r="F159" s="17"/>
      <c r="G159" s="17"/>
      <c r="H159" s="17"/>
      <c r="I159" s="17"/>
      <c r="J159" s="17"/>
      <c r="K159" s="11"/>
      <c r="L159" s="11"/>
      <c r="M159" s="11"/>
      <c r="N159" s="44"/>
      <c r="O159" s="44"/>
      <c r="P159" s="44"/>
      <c r="Q159" s="47"/>
      <c r="R159" s="35">
        <f>SUM(Décaissements63[[#This Row],[Période 0]:[Période 12]])</f>
        <v>0</v>
      </c>
      <c r="S159" s="36" t="e">
        <f>+AVERAGE(Décaissements63[[#This Row],[Période 1]:[Période 12]])</f>
        <v>#DIV/0!</v>
      </c>
    </row>
    <row r="160" spans="2:19" ht="17.25" customHeight="1" x14ac:dyDescent="0.2">
      <c r="B160" s="357" t="s">
        <v>168</v>
      </c>
      <c r="C160" s="33"/>
      <c r="D160" s="11"/>
      <c r="E160" s="17">
        <v>2034.65</v>
      </c>
      <c r="F160" s="17">
        <f>4617.86</f>
        <v>4617.8599999999997</v>
      </c>
      <c r="G160" s="17">
        <f>2034.65+968.62</f>
        <v>3003.27</v>
      </c>
      <c r="H160" s="79">
        <v>3308.61</v>
      </c>
      <c r="I160" s="100">
        <f>2034.65+466.25</f>
        <v>2500.9</v>
      </c>
      <c r="J160" s="100">
        <v>860.57</v>
      </c>
      <c r="K160" s="100"/>
      <c r="L160" s="100"/>
      <c r="M160" s="100"/>
      <c r="N160" s="100"/>
      <c r="O160" s="100"/>
      <c r="P160" s="100"/>
      <c r="Q160" s="136"/>
      <c r="R160" s="35">
        <f>SUM(Décaissements63[[#This Row],[Période 0]:[Période 12]])</f>
        <v>16325.86</v>
      </c>
      <c r="S160" s="36">
        <f>+AVERAGE(Décaissements63[[#This Row],[Période 1]:[Période 12]])</f>
        <v>2720.9766666666669</v>
      </c>
    </row>
    <row r="161" spans="2:19" ht="17.25" customHeight="1" x14ac:dyDescent="0.2">
      <c r="B161" s="357" t="s">
        <v>173</v>
      </c>
      <c r="C161" s="33"/>
      <c r="D161" s="11"/>
      <c r="E161" s="17"/>
      <c r="F161" s="17"/>
      <c r="G161" s="17"/>
      <c r="H161" s="79"/>
      <c r="I161" s="100"/>
      <c r="J161" s="100"/>
      <c r="K161" s="100"/>
      <c r="L161" s="100"/>
      <c r="M161" s="100"/>
      <c r="N161" s="100"/>
      <c r="O161" s="100"/>
      <c r="P161" s="100"/>
      <c r="Q161" s="141"/>
      <c r="R161" s="35">
        <f>SUM(Décaissements63[[#This Row],[Période 0]:[Période 12]])</f>
        <v>0</v>
      </c>
      <c r="S161" s="36" t="e">
        <f>+AVERAGE(Décaissements63[[#This Row],[Période 1]:[Période 12]])</f>
        <v>#DIV/0!</v>
      </c>
    </row>
    <row r="162" spans="2:19" ht="17.25" customHeight="1" x14ac:dyDescent="0.2">
      <c r="B162" s="359" t="s">
        <v>48</v>
      </c>
      <c r="C162" s="33"/>
      <c r="D162" s="42"/>
      <c r="E162" s="17">
        <v>796.49</v>
      </c>
      <c r="F162" s="17"/>
      <c r="G162" s="17">
        <f>796.49+796.49</f>
        <v>1592.98</v>
      </c>
      <c r="H162" s="42"/>
      <c r="I162" s="17">
        <f>1293.37+186.77+186.77+68.76</f>
        <v>1735.6699999999998</v>
      </c>
      <c r="J162" s="17">
        <v>255.53</v>
      </c>
      <c r="K162" s="44"/>
      <c r="L162" s="44"/>
      <c r="M162" s="44"/>
      <c r="N162" s="44"/>
      <c r="O162" s="44"/>
      <c r="P162" s="44"/>
      <c r="Q162" s="34"/>
      <c r="R162" s="41">
        <f>SUM(Décaissements63[[#This Row],[Période 0]:[Période 12]])</f>
        <v>4380.67</v>
      </c>
      <c r="S162" s="2">
        <f>+AVERAGE(Décaissements63[[#This Row],[Période 1]:[Période 12]])</f>
        <v>1095.1675</v>
      </c>
    </row>
    <row r="163" spans="2:19" ht="17.25" customHeight="1" x14ac:dyDescent="0.2">
      <c r="B163" s="359" t="s">
        <v>565</v>
      </c>
      <c r="C163" s="33"/>
      <c r="D163" s="42"/>
      <c r="E163" s="42"/>
      <c r="F163" s="44"/>
      <c r="G163" s="17">
        <v>586.42999999999995</v>
      </c>
      <c r="H163" s="44">
        <v>284.58999999999997</v>
      </c>
      <c r="I163" s="17">
        <v>315.08</v>
      </c>
      <c r="J163" s="44">
        <f>454.31+304.92</f>
        <v>759.23</v>
      </c>
      <c r="K163" s="17"/>
      <c r="L163" s="44"/>
      <c r="M163" s="44"/>
      <c r="N163" s="44"/>
      <c r="O163" s="44"/>
      <c r="P163" s="44"/>
      <c r="Q163" s="34"/>
      <c r="R163" s="41">
        <f>SUM(Décaissements63[[#This Row],[Période 0]:[Période 12]])</f>
        <v>1945.33</v>
      </c>
      <c r="S163" s="2">
        <f>+AVERAGE(Décaissements63[[#This Row],[Période 1]:[Période 12]])</f>
        <v>486.33249999999998</v>
      </c>
    </row>
    <row r="164" spans="2:19" ht="17.25" customHeight="1" x14ac:dyDescent="0.2">
      <c r="B164" s="357" t="s">
        <v>138</v>
      </c>
      <c r="C164" s="33"/>
      <c r="D164" s="11"/>
      <c r="E164" s="17"/>
      <c r="F164" s="17"/>
      <c r="G164" s="17"/>
      <c r="H164" s="79"/>
      <c r="I164" s="17"/>
      <c r="J164" s="17"/>
      <c r="K164" s="17"/>
      <c r="L164" s="44"/>
      <c r="M164" s="44"/>
      <c r="N164" s="44"/>
      <c r="O164" s="44"/>
      <c r="P164" s="44"/>
      <c r="Q164" s="80"/>
      <c r="R164" s="35">
        <f>SUM(Décaissements63[[#This Row],[Période 0]:[Période 12]])</f>
        <v>0</v>
      </c>
      <c r="S164" s="36" t="e">
        <f>+AVERAGE(Décaissements63[[#This Row],[Période 1]:[Période 12]])</f>
        <v>#DIV/0!</v>
      </c>
    </row>
    <row r="165" spans="2:19" ht="17.25" customHeight="1" x14ac:dyDescent="0.2">
      <c r="B165" s="357" t="s">
        <v>659</v>
      </c>
      <c r="C165" s="33"/>
      <c r="D165" s="11"/>
      <c r="E165" s="17"/>
      <c r="F165" s="17"/>
      <c r="G165" s="17"/>
      <c r="H165" s="17">
        <v>1393.52</v>
      </c>
      <c r="I165" s="17">
        <v>1393.52</v>
      </c>
      <c r="J165" s="17">
        <v>1329.57</v>
      </c>
      <c r="K165" s="17"/>
      <c r="L165" s="11"/>
      <c r="M165" s="44"/>
      <c r="N165" s="44"/>
      <c r="O165" s="44"/>
      <c r="P165" s="44"/>
      <c r="Q165" s="47"/>
      <c r="R165" s="35">
        <f>SUM(Décaissements63[[#This Row],[Période 0]:[Période 12]])</f>
        <v>4116.6099999999997</v>
      </c>
      <c r="S165" s="36">
        <f>+AVERAGE(Décaissements63[[#This Row],[Période 1]:[Période 12]])</f>
        <v>1372.2033333333331</v>
      </c>
    </row>
    <row r="166" spans="2:19" ht="17.25" customHeight="1" x14ac:dyDescent="0.2">
      <c r="B166" s="357" t="s">
        <v>367</v>
      </c>
      <c r="C166" s="33"/>
      <c r="D166" s="11"/>
      <c r="E166" s="17"/>
      <c r="F166" s="17">
        <v>19755.240000000002</v>
      </c>
      <c r="G166" s="17"/>
      <c r="H166" s="79">
        <v>12728.55</v>
      </c>
      <c r="I166" s="100"/>
      <c r="J166" s="100"/>
      <c r="K166" s="100"/>
      <c r="L166" s="100"/>
      <c r="M166" s="100"/>
      <c r="N166" s="100"/>
      <c r="O166" s="100"/>
      <c r="P166" s="100"/>
      <c r="Q166" s="223"/>
      <c r="R166" s="35">
        <f>SUM(Décaissements63[[#This Row],[Période 0]:[Période 12]])</f>
        <v>32483.79</v>
      </c>
      <c r="S166" s="224">
        <f>+AVERAGE(Décaissements63[[#This Row],[Période 1]:[Période 12]])</f>
        <v>16241.895</v>
      </c>
    </row>
    <row r="167" spans="2:19" ht="17.25" customHeight="1" x14ac:dyDescent="0.2">
      <c r="B167" s="357" t="s">
        <v>166</v>
      </c>
      <c r="C167" s="33"/>
      <c r="D167" s="11"/>
      <c r="E167" s="17"/>
      <c r="F167" s="17">
        <v>3398.11</v>
      </c>
      <c r="G167" s="17">
        <f>2937.12</f>
        <v>2937.12</v>
      </c>
      <c r="H167" s="79"/>
      <c r="I167" s="100"/>
      <c r="J167" s="100"/>
      <c r="K167" s="100"/>
      <c r="L167" s="11"/>
      <c r="M167" s="100"/>
      <c r="N167" s="100"/>
      <c r="O167" s="100"/>
      <c r="P167" s="100"/>
      <c r="Q167" s="136"/>
      <c r="R167" s="35">
        <f>SUM(Décaissements63[[#This Row],[Période 0]:[Période 12]])</f>
        <v>6335.23</v>
      </c>
      <c r="S167" s="36">
        <f>+AVERAGE(Décaissements63[[#This Row],[Période 1]:[Période 12]])</f>
        <v>3167.6149999999998</v>
      </c>
    </row>
    <row r="168" spans="2:19" ht="17.25" customHeight="1" x14ac:dyDescent="0.2">
      <c r="B168" s="359" t="s">
        <v>49</v>
      </c>
      <c r="C168" s="33"/>
      <c r="D168" s="42"/>
      <c r="E168" s="42">
        <f>2000+600+410.54</f>
        <v>3010.54</v>
      </c>
      <c r="F168" s="17">
        <f>40.66+1393.52+457.05+1380+240</f>
        <v>3511.23</v>
      </c>
      <c r="G168" s="1">
        <v>213.61</v>
      </c>
      <c r="H168" s="42"/>
      <c r="I168" s="42"/>
      <c r="J168" s="17">
        <v>1957.22</v>
      </c>
      <c r="K168" s="17"/>
      <c r="L168" s="11"/>
      <c r="M168" s="44"/>
      <c r="N168" s="44"/>
      <c r="O168" s="44"/>
      <c r="P168" s="44"/>
      <c r="Q168" s="34"/>
      <c r="R168" s="41">
        <f>SUM(Décaissements63[[#This Row],[Période 0]:[Période 12]])</f>
        <v>8692.6</v>
      </c>
      <c r="S168" s="2">
        <f>+AVERAGE(Décaissements63[[#This Row],[Période 1]:[Période 12]])</f>
        <v>2173.15</v>
      </c>
    </row>
    <row r="169" spans="2:19" ht="17.25" customHeight="1" x14ac:dyDescent="0.2">
      <c r="B169" s="354" t="s">
        <v>112</v>
      </c>
      <c r="C169" s="56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4"/>
      <c r="R169" s="55">
        <f>SUM(Décaissements63[[#This Row],[Période 0]:[Période 12]])</f>
        <v>0</v>
      </c>
      <c r="S169" s="36" t="e">
        <f>+AVERAGE(Décaissements63[[#This Row],[Période 1]:[Période 12]])</f>
        <v>#DIV/0!</v>
      </c>
    </row>
    <row r="170" spans="2:19" ht="17.25" customHeight="1" x14ac:dyDescent="0.2">
      <c r="B170" s="357" t="s">
        <v>146</v>
      </c>
      <c r="C170" s="33"/>
      <c r="D170" s="11"/>
      <c r="E170" s="17"/>
      <c r="F170" s="17"/>
      <c r="G170" s="17"/>
      <c r="H170" s="79"/>
      <c r="I170" s="42"/>
      <c r="J170" s="134"/>
      <c r="K170" s="100"/>
      <c r="L170" s="100"/>
      <c r="M170" s="100"/>
      <c r="N170" s="100"/>
      <c r="O170" s="100"/>
      <c r="P170" s="100"/>
      <c r="Q170" s="34"/>
      <c r="R170" s="35">
        <f>SUM(Décaissements63[[#This Row],[Période 0]:[Période 12]])</f>
        <v>0</v>
      </c>
      <c r="S170" s="36" t="e">
        <f>+AVERAGE(Décaissements63[[#This Row],[Période 1]:[Période 12]])</f>
        <v>#DIV/0!</v>
      </c>
    </row>
    <row r="171" spans="2:19" ht="17.25" customHeight="1" x14ac:dyDescent="0.2">
      <c r="B171" s="357" t="s">
        <v>152</v>
      </c>
      <c r="C171" s="33"/>
      <c r="D171" s="11"/>
      <c r="E171" s="17"/>
      <c r="F171" s="17"/>
      <c r="G171" s="17"/>
      <c r="H171" s="79"/>
      <c r="I171" s="42"/>
      <c r="J171" s="17"/>
      <c r="K171" s="100"/>
      <c r="L171" s="100"/>
      <c r="M171" s="100"/>
      <c r="N171" s="100"/>
      <c r="O171" s="100"/>
      <c r="P171" s="100"/>
      <c r="Q171" s="124"/>
      <c r="R171" s="35">
        <f>SUM(Décaissements63[[#This Row],[Période 0]:[Période 12]])</f>
        <v>0</v>
      </c>
      <c r="S171" s="36" t="e">
        <f>+AVERAGE(Décaissements63[[#This Row],[Période 1]:[Période 12]])</f>
        <v>#DIV/0!</v>
      </c>
    </row>
    <row r="172" spans="2:19" ht="17.25" customHeight="1" x14ac:dyDescent="0.2">
      <c r="B172" s="357" t="s">
        <v>151</v>
      </c>
      <c r="C172" s="33"/>
      <c r="D172" s="11"/>
      <c r="E172" s="17"/>
      <c r="F172" s="17"/>
      <c r="G172" s="17">
        <v>586.38</v>
      </c>
      <c r="H172" s="79"/>
      <c r="I172" s="42"/>
      <c r="J172" s="17"/>
      <c r="K172" s="100"/>
      <c r="L172" s="100"/>
      <c r="M172" s="100"/>
      <c r="N172" s="100"/>
      <c r="O172" s="100"/>
      <c r="P172" s="100"/>
      <c r="Q172" s="124"/>
      <c r="R172" s="35">
        <f>SUM(Décaissements63[[#This Row],[Période 0]:[Période 12]])</f>
        <v>586.38</v>
      </c>
      <c r="S172" s="36">
        <f>+AVERAGE(Décaissements63[[#This Row],[Période 1]:[Période 12]])</f>
        <v>586.38</v>
      </c>
    </row>
    <row r="173" spans="2:19" ht="17.25" customHeight="1" x14ac:dyDescent="0.2">
      <c r="B173" s="359" t="s">
        <v>50</v>
      </c>
      <c r="C173" s="33"/>
      <c r="D173" s="42"/>
      <c r="E173" s="48"/>
      <c r="F173" s="48"/>
      <c r="G173" s="48"/>
      <c r="H173" s="48"/>
      <c r="I173" s="42"/>
      <c r="J173" s="17"/>
      <c r="K173" s="44"/>
      <c r="L173" s="44"/>
      <c r="M173" s="44"/>
      <c r="N173" s="44"/>
      <c r="O173" s="44"/>
      <c r="P173" s="44"/>
      <c r="Q173" s="34"/>
      <c r="R173" s="41">
        <f>SUM(Décaissements63[[#This Row],[Période 0]:[Période 12]])</f>
        <v>0</v>
      </c>
      <c r="S173" s="2" t="e">
        <f>+AVERAGE(Décaissements63[[#This Row],[Période 1]:[Période 12]])</f>
        <v>#DIV/0!</v>
      </c>
    </row>
    <row r="174" spans="2:19" ht="17.25" customHeight="1" x14ac:dyDescent="0.2">
      <c r="B174" s="357" t="s">
        <v>137</v>
      </c>
      <c r="C174" s="33"/>
      <c r="D174" s="11"/>
      <c r="E174" s="17"/>
      <c r="F174" s="17"/>
      <c r="G174" s="17"/>
      <c r="H174" s="79"/>
      <c r="I174" s="42"/>
      <c r="J174" s="17"/>
      <c r="K174" s="100"/>
      <c r="L174" s="44"/>
      <c r="M174" s="44"/>
      <c r="N174" s="44"/>
      <c r="O174" s="44"/>
      <c r="P174" s="44"/>
      <c r="Q174" s="80"/>
      <c r="R174" s="35">
        <f>SUM(Décaissements63[[#This Row],[Période 0]:[Période 12]])</f>
        <v>0</v>
      </c>
      <c r="S174" s="36" t="e">
        <f>+AVERAGE(Décaissements63[[#This Row],[Période 1]:[Période 12]])</f>
        <v>#DIV/0!</v>
      </c>
    </row>
    <row r="175" spans="2:19" ht="17.25" customHeight="1" x14ac:dyDescent="0.2">
      <c r="B175" s="357" t="s">
        <v>150</v>
      </c>
      <c r="C175" s="33"/>
      <c r="D175" s="11"/>
      <c r="E175" s="17"/>
      <c r="F175" s="17">
        <v>720</v>
      </c>
      <c r="G175" s="17">
        <v>480</v>
      </c>
      <c r="H175" s="79"/>
      <c r="I175" s="42"/>
      <c r="J175" s="17"/>
      <c r="K175" s="17"/>
      <c r="L175" s="100"/>
      <c r="M175" s="100"/>
      <c r="N175" s="100"/>
      <c r="O175" s="100"/>
      <c r="P175" s="100"/>
      <c r="Q175" s="124"/>
      <c r="R175" s="35">
        <f>SUM(Décaissements63[[#This Row],[Période 0]:[Période 12]])</f>
        <v>1200</v>
      </c>
      <c r="S175" s="36">
        <f>+AVERAGE(Décaissements63[[#This Row],[Période 1]:[Période 12]])</f>
        <v>600</v>
      </c>
    </row>
    <row r="176" spans="2:19" ht="17.25" customHeight="1" x14ac:dyDescent="0.2">
      <c r="B176" s="357" t="s">
        <v>162</v>
      </c>
      <c r="C176" s="33"/>
      <c r="D176" s="11"/>
      <c r="E176" s="17"/>
      <c r="F176" s="17"/>
      <c r="G176" s="17"/>
      <c r="H176" s="79"/>
      <c r="I176" s="100"/>
      <c r="J176" s="100"/>
      <c r="K176" s="17"/>
      <c r="L176" s="100"/>
      <c r="M176" s="100"/>
      <c r="N176" s="100"/>
      <c r="O176" s="100"/>
      <c r="P176" s="100"/>
      <c r="Q176" s="34"/>
      <c r="R176" s="35">
        <f>SUM(Décaissements63[[#This Row],[Période 0]:[Période 12]])</f>
        <v>0</v>
      </c>
      <c r="S176" s="36" t="e">
        <f>+AVERAGE(Décaissements63[[#This Row],[Période 1]:[Période 12]])</f>
        <v>#DIV/0!</v>
      </c>
    </row>
    <row r="177" spans="2:19" ht="17.25" customHeight="1" x14ac:dyDescent="0.2">
      <c r="B177" s="357" t="s">
        <v>135</v>
      </c>
      <c r="C177" s="33"/>
      <c r="D177" s="11"/>
      <c r="E177" s="17"/>
      <c r="F177" s="17">
        <f>120+3460.07</f>
        <v>3580.07</v>
      </c>
      <c r="G177" s="17"/>
      <c r="H177" s="79"/>
      <c r="I177" s="42"/>
      <c r="J177" s="17">
        <v>1170</v>
      </c>
      <c r="K177" s="17"/>
      <c r="L177" s="44"/>
      <c r="M177" s="44"/>
      <c r="N177" s="44"/>
      <c r="O177" s="44"/>
      <c r="P177" s="44"/>
      <c r="Q177" s="80"/>
      <c r="R177" s="35">
        <f>SUM(Décaissements63[[#This Row],[Période 0]:[Période 12]])</f>
        <v>4750.07</v>
      </c>
      <c r="S177" s="36">
        <f>+AVERAGE(Décaissements63[[#This Row],[Période 1]:[Période 12]])</f>
        <v>2375.0349999999999</v>
      </c>
    </row>
    <row r="178" spans="2:19" ht="17.25" customHeight="1" x14ac:dyDescent="0.2">
      <c r="B178" s="357" t="s">
        <v>145</v>
      </c>
      <c r="C178" s="33"/>
      <c r="D178" s="11"/>
      <c r="E178" s="17"/>
      <c r="F178" s="17"/>
      <c r="G178" s="17"/>
      <c r="H178" s="79"/>
      <c r="I178" s="42"/>
      <c r="J178" s="134"/>
      <c r="K178" s="17"/>
      <c r="L178" s="100"/>
      <c r="M178" s="100"/>
      <c r="N178" s="100"/>
      <c r="O178" s="100"/>
      <c r="P178" s="100"/>
      <c r="Q178" s="34"/>
      <c r="R178" s="35">
        <f>SUM(Décaissements63[[#This Row],[Période 0]:[Période 12]])</f>
        <v>0</v>
      </c>
      <c r="S178" s="36" t="e">
        <f>+AVERAGE(Décaissements63[[#This Row],[Période 1]:[Période 12]])</f>
        <v>#DIV/0!</v>
      </c>
    </row>
    <row r="179" spans="2:19" ht="17.25" customHeight="1" x14ac:dyDescent="0.2">
      <c r="B179" s="359" t="s">
        <v>178</v>
      </c>
      <c r="C179" s="33"/>
      <c r="D179" s="42"/>
      <c r="E179" s="17"/>
      <c r="F179" s="17"/>
      <c r="G179" s="17"/>
      <c r="H179" s="44"/>
      <c r="I179" s="42"/>
      <c r="J179" s="133"/>
      <c r="K179" s="44"/>
      <c r="L179" s="44"/>
      <c r="M179" s="44"/>
      <c r="N179" s="44"/>
      <c r="O179" s="44"/>
      <c r="P179" s="44"/>
      <c r="Q179" s="34"/>
      <c r="R179" s="41">
        <f>SUM(Décaissements63[[#This Row],[Période 0]:[Période 12]])</f>
        <v>0</v>
      </c>
      <c r="S179" s="2" t="e">
        <f>+AVERAGE(Décaissements63[[#This Row],[Période 1]:[Période 12]])</f>
        <v>#DIV/0!</v>
      </c>
    </row>
    <row r="180" spans="2:19" ht="17.25" customHeight="1" x14ac:dyDescent="0.2">
      <c r="B180" s="357" t="s">
        <v>175</v>
      </c>
      <c r="C180" s="33"/>
      <c r="D180" s="11"/>
      <c r="E180" s="17">
        <f>650+650</f>
        <v>1300</v>
      </c>
      <c r="F180" s="17">
        <v>144.96</v>
      </c>
      <c r="G180" s="17">
        <v>650</v>
      </c>
      <c r="H180" s="79">
        <v>650</v>
      </c>
      <c r="I180" s="100"/>
      <c r="J180" s="100">
        <f>650+675</f>
        <v>1325</v>
      </c>
      <c r="K180" s="100"/>
      <c r="L180" s="100"/>
      <c r="M180" s="100"/>
      <c r="N180" s="100"/>
      <c r="O180" s="100"/>
      <c r="P180" s="100"/>
      <c r="Q180" s="151"/>
      <c r="R180" s="35">
        <f>SUM(Décaissements63[[#This Row],[Période 0]:[Période 12]])</f>
        <v>4069.96</v>
      </c>
      <c r="S180" s="36">
        <f>+AVERAGE(Décaissements63[[#This Row],[Période 1]:[Période 12]])</f>
        <v>813.99199999999996</v>
      </c>
    </row>
    <row r="181" spans="2:19" ht="17.25" customHeight="1" x14ac:dyDescent="0.2">
      <c r="B181" s="359" t="s">
        <v>54</v>
      </c>
      <c r="C181" s="33"/>
      <c r="D181" s="42"/>
      <c r="E181" s="17"/>
      <c r="F181" s="17"/>
      <c r="G181" s="1"/>
      <c r="H181" s="44"/>
      <c r="I181" s="42"/>
      <c r="J181" s="133"/>
      <c r="K181" s="44"/>
      <c r="L181" s="44"/>
      <c r="M181" s="44"/>
      <c r="N181" s="44"/>
      <c r="O181" s="44"/>
      <c r="P181" s="44"/>
      <c r="Q181" s="43"/>
      <c r="R181" s="41">
        <f>SUM(Décaissements63[[#This Row],[Période 0]:[Période 12]])</f>
        <v>0</v>
      </c>
      <c r="S181" s="2" t="e">
        <f>+AVERAGE(Décaissements63[[#This Row],[Période 1]:[Période 12]])</f>
        <v>#DIV/0!</v>
      </c>
    </row>
    <row r="182" spans="2:19" ht="17.25" customHeight="1" x14ac:dyDescent="0.2">
      <c r="B182" s="359" t="s">
        <v>51</v>
      </c>
      <c r="C182" s="33"/>
      <c r="D182" s="42"/>
      <c r="E182" s="17"/>
      <c r="F182" s="17"/>
      <c r="G182" s="17">
        <f>31.2+48</f>
        <v>79.2</v>
      </c>
      <c r="H182" s="42"/>
      <c r="I182" s="17"/>
      <c r="J182" s="17"/>
      <c r="K182" s="11"/>
      <c r="L182" s="44"/>
      <c r="M182" s="44"/>
      <c r="N182" s="44"/>
      <c r="O182" s="44"/>
      <c r="P182" s="44"/>
      <c r="Q182" s="34"/>
      <c r="R182" s="41">
        <f>SUM(Décaissements63[[#This Row],[Période 0]:[Période 12]])</f>
        <v>79.2</v>
      </c>
      <c r="S182" s="2">
        <f>+AVERAGE(Décaissements63[[#This Row],[Période 1]:[Période 12]])</f>
        <v>79.2</v>
      </c>
    </row>
    <row r="183" spans="2:19" ht="17.25" customHeight="1" x14ac:dyDescent="0.2">
      <c r="B183" s="359" t="s">
        <v>52</v>
      </c>
      <c r="C183" s="33"/>
      <c r="D183" s="42"/>
      <c r="E183" s="17"/>
      <c r="F183" s="17"/>
      <c r="G183" s="1"/>
      <c r="H183" s="44"/>
      <c r="I183" s="42"/>
      <c r="J183" s="133"/>
      <c r="K183" s="44"/>
      <c r="L183" s="44"/>
      <c r="M183" s="44"/>
      <c r="N183" s="44"/>
      <c r="O183" s="44"/>
      <c r="P183" s="44"/>
      <c r="Q183" s="43"/>
      <c r="R183" s="41">
        <f>SUM(Décaissements63[[#This Row],[Période 0]:[Période 12]])</f>
        <v>0</v>
      </c>
      <c r="S183" s="2" t="e">
        <f>+AVERAGE(Décaissements63[[#This Row],[Période 1]:[Période 12]])</f>
        <v>#DIV/0!</v>
      </c>
    </row>
    <row r="184" spans="2:19" ht="17.25" customHeight="1" x14ac:dyDescent="0.2">
      <c r="B184" s="357" t="s">
        <v>128</v>
      </c>
      <c r="C184" s="33"/>
      <c r="D184" s="11"/>
      <c r="E184" s="17"/>
      <c r="F184" s="17"/>
      <c r="G184" s="17"/>
      <c r="H184" s="17"/>
      <c r="I184" s="42"/>
      <c r="J184" s="42"/>
      <c r="K184" s="17"/>
      <c r="L184" s="44"/>
      <c r="M184" s="44"/>
      <c r="N184" s="44"/>
      <c r="O184" s="44"/>
      <c r="P184" s="44"/>
      <c r="Q184" s="47"/>
      <c r="R184" s="35">
        <f>SUM(Décaissements63[[#This Row],[Période 0]:[Période 12]])</f>
        <v>0</v>
      </c>
      <c r="S184" s="36" t="e">
        <f>+AVERAGE(Décaissements63[[#This Row],[Période 1]:[Période 12]])</f>
        <v>#DIV/0!</v>
      </c>
    </row>
    <row r="185" spans="2:19" ht="17.25" customHeight="1" x14ac:dyDescent="0.2">
      <c r="B185" s="359" t="s">
        <v>53</v>
      </c>
      <c r="C185" s="33"/>
      <c r="D185" s="42"/>
      <c r="E185" s="17"/>
      <c r="F185" s="17"/>
      <c r="G185" s="1"/>
      <c r="H185" s="17">
        <v>220.8</v>
      </c>
      <c r="I185" s="42"/>
      <c r="J185" s="42">
        <v>220.8</v>
      </c>
      <c r="K185" s="17"/>
      <c r="L185" s="17"/>
      <c r="M185" s="17"/>
      <c r="N185" s="44"/>
      <c r="O185" s="44"/>
      <c r="P185" s="44"/>
      <c r="Q185" s="43"/>
      <c r="R185" s="41">
        <f>SUM(Décaissements63[[#This Row],[Période 0]:[Période 12]])</f>
        <v>441.6</v>
      </c>
      <c r="S185" s="2">
        <f>+AVERAGE(Décaissements63[[#This Row],[Période 1]:[Période 12]])</f>
        <v>220.8</v>
      </c>
    </row>
    <row r="186" spans="2:19" ht="17.25" customHeight="1" x14ac:dyDescent="0.2">
      <c r="B186" s="359" t="s">
        <v>74</v>
      </c>
      <c r="C186" s="33"/>
      <c r="D186" s="42"/>
      <c r="E186" s="17">
        <v>650</v>
      </c>
      <c r="F186" s="17"/>
      <c r="G186" s="42"/>
      <c r="H186" s="44"/>
      <c r="I186" s="42"/>
      <c r="J186" s="42"/>
      <c r="K186" s="44"/>
      <c r="L186" s="44"/>
      <c r="M186" s="44"/>
      <c r="N186" s="44"/>
      <c r="O186" s="44"/>
      <c r="P186" s="44"/>
      <c r="Q186" s="43"/>
      <c r="R186" s="41">
        <f>SUM(Décaissements63[[#This Row],[Période 0]:[Période 12]])</f>
        <v>650</v>
      </c>
      <c r="S186" s="2">
        <f>+AVERAGE(Décaissements63[[#This Row],[Période 1]:[Période 12]])</f>
        <v>650</v>
      </c>
    </row>
    <row r="187" spans="2:19" ht="17.25" customHeight="1" x14ac:dyDescent="0.2">
      <c r="B187" s="359" t="s">
        <v>56</v>
      </c>
      <c r="C187" s="33"/>
      <c r="D187" s="42"/>
      <c r="E187" s="17">
        <f>31.15+280.01+2200+86.4+1560</f>
        <v>4157.5599999999995</v>
      </c>
      <c r="F187" s="17">
        <f>280.01+1596</f>
        <v>1876.01</v>
      </c>
      <c r="G187" s="17">
        <f>3960</f>
        <v>3960</v>
      </c>
      <c r="H187" s="17">
        <v>61.08</v>
      </c>
      <c r="I187" s="42">
        <v>360</v>
      </c>
      <c r="J187" s="42">
        <f>2000+577.8+3000+3250</f>
        <v>8827.7999999999993</v>
      </c>
      <c r="K187" s="11"/>
      <c r="L187" s="44"/>
      <c r="M187" s="44"/>
      <c r="N187" s="44"/>
      <c r="O187" s="44"/>
      <c r="P187" s="44"/>
      <c r="Q187" s="34"/>
      <c r="R187" s="41">
        <f>SUM(Décaissements63[[#This Row],[Période 0]:[Période 12]])</f>
        <v>19242.449999999997</v>
      </c>
      <c r="S187" s="2">
        <f>+AVERAGE(Décaissements63[[#This Row],[Période 1]:[Période 12]])</f>
        <v>3207.0749999999994</v>
      </c>
    </row>
    <row r="188" spans="2:19" ht="17.25" customHeight="1" x14ac:dyDescent="0.2">
      <c r="B188" s="357" t="s">
        <v>156</v>
      </c>
      <c r="C188" s="33"/>
      <c r="D188" s="11"/>
      <c r="E188" s="17"/>
      <c r="F188" s="278"/>
      <c r="G188" s="17"/>
      <c r="H188" s="79"/>
      <c r="I188" s="42"/>
      <c r="J188" s="42"/>
      <c r="K188" s="11"/>
      <c r="L188" s="100"/>
      <c r="M188" s="100"/>
      <c r="N188" s="100"/>
      <c r="O188" s="100"/>
      <c r="P188" s="100"/>
      <c r="Q188" s="124"/>
      <c r="R188" s="35">
        <f>SUM(Décaissements63[[#This Row],[Période 0]:[Période 12]])</f>
        <v>0</v>
      </c>
      <c r="S188" s="36" t="e">
        <f>+AVERAGE(Décaissements63[[#This Row],[Période 1]:[Période 12]])</f>
        <v>#DIV/0!</v>
      </c>
    </row>
    <row r="189" spans="2:19" ht="17.25" customHeight="1" x14ac:dyDescent="0.2">
      <c r="B189" s="359" t="s">
        <v>77</v>
      </c>
      <c r="C189" s="33"/>
      <c r="D189" s="42"/>
      <c r="E189" s="17"/>
      <c r="F189" s="17"/>
      <c r="G189" s="17">
        <v>720</v>
      </c>
      <c r="H189" s="17"/>
      <c r="I189" s="42"/>
      <c r="J189" s="42"/>
      <c r="K189" s="44"/>
      <c r="L189" s="44"/>
      <c r="M189" s="44"/>
      <c r="N189" s="44"/>
      <c r="O189" s="44"/>
      <c r="P189" s="44"/>
      <c r="Q189" s="34"/>
      <c r="R189" s="41">
        <f>SUM(Décaissements63[[#This Row],[Période 0]:[Période 12]])</f>
        <v>720</v>
      </c>
      <c r="S189" s="2">
        <f>+AVERAGE(Décaissements63[[#This Row],[Période 1]:[Période 12]])</f>
        <v>720</v>
      </c>
    </row>
    <row r="190" spans="2:19" ht="17.25" customHeight="1" x14ac:dyDescent="0.2">
      <c r="B190" s="357" t="s">
        <v>160</v>
      </c>
      <c r="C190" s="33"/>
      <c r="D190" s="11"/>
      <c r="E190" s="17"/>
      <c r="F190" s="17">
        <v>53.88</v>
      </c>
      <c r="G190" s="17">
        <v>53.88</v>
      </c>
      <c r="H190" s="79">
        <v>53.88</v>
      </c>
      <c r="I190" s="11">
        <v>53.88</v>
      </c>
      <c r="J190" s="42">
        <v>53.88</v>
      </c>
      <c r="K190" s="11"/>
      <c r="L190" s="17"/>
      <c r="M190" s="17"/>
      <c r="N190" s="11"/>
      <c r="O190" s="100"/>
      <c r="P190" s="100"/>
      <c r="Q190" s="34"/>
      <c r="R190" s="35">
        <f>SUM(Décaissements63[[#This Row],[Période 0]:[Période 12]])</f>
        <v>269.40000000000003</v>
      </c>
      <c r="S190" s="36">
        <f>+AVERAGE(Décaissements63[[#This Row],[Période 1]:[Période 12]])</f>
        <v>53.88000000000001</v>
      </c>
    </row>
    <row r="191" spans="2:19" ht="17.25" customHeight="1" x14ac:dyDescent="0.2">
      <c r="B191" s="359" t="s">
        <v>78</v>
      </c>
      <c r="C191" s="33"/>
      <c r="D191" s="42"/>
      <c r="E191" s="17"/>
      <c r="F191" s="17"/>
      <c r="G191" s="42"/>
      <c r="H191" s="17">
        <v>90</v>
      </c>
      <c r="I191" s="44"/>
      <c r="J191" s="42">
        <f>135+35+207.11+35</f>
        <v>412.11</v>
      </c>
      <c r="K191" s="44"/>
      <c r="L191" s="44"/>
      <c r="M191" s="44"/>
      <c r="N191" s="44"/>
      <c r="O191" s="44"/>
      <c r="P191" s="44"/>
      <c r="Q191" s="43"/>
      <c r="R191" s="41">
        <f>SUM(Décaissements63[[#This Row],[Période 0]:[Période 12]])</f>
        <v>502.11</v>
      </c>
      <c r="S191" s="2">
        <f>+AVERAGE(Décaissements63[[#This Row],[Période 1]:[Période 12]])</f>
        <v>251.05500000000001</v>
      </c>
    </row>
    <row r="192" spans="2:19" ht="17.25" customHeight="1" x14ac:dyDescent="0.2">
      <c r="B192" s="354" t="s">
        <v>57</v>
      </c>
      <c r="C192" s="56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4"/>
      <c r="R192" s="55">
        <f>SUM(Décaissements63[[#This Row],[Période 0]:[Période 12]])</f>
        <v>0</v>
      </c>
      <c r="S192" s="36" t="e">
        <f>+AVERAGE(Décaissements63[[#This Row],[Période 1]:[Période 12]])</f>
        <v>#DIV/0!</v>
      </c>
    </row>
    <row r="193" spans="2:20" ht="17.25" customHeight="1" x14ac:dyDescent="0.2">
      <c r="B193" s="359" t="s">
        <v>58</v>
      </c>
      <c r="C193" s="33"/>
      <c r="D193" s="42"/>
      <c r="E193" s="17">
        <v>49.99</v>
      </c>
      <c r="F193" s="17">
        <v>80.87</v>
      </c>
      <c r="G193" s="17">
        <v>14.5</v>
      </c>
      <c r="H193" s="42">
        <v>15.8</v>
      </c>
      <c r="I193" s="42">
        <v>126.87</v>
      </c>
      <c r="J193" s="42"/>
      <c r="K193" s="11"/>
      <c r="L193" s="17"/>
      <c r="M193" s="44"/>
      <c r="N193" s="44"/>
      <c r="O193" s="44"/>
      <c r="P193" s="44"/>
      <c r="Q193" s="33"/>
      <c r="R193" s="41"/>
      <c r="S193" s="2">
        <f>+AVERAGE(Décaissements63[[#This Row],[Période 1]:[Période 12]])</f>
        <v>57.606000000000009</v>
      </c>
    </row>
    <row r="194" spans="2:20" ht="17.25" customHeight="1" x14ac:dyDescent="0.2">
      <c r="B194" s="357" t="s">
        <v>119</v>
      </c>
      <c r="C194" s="33"/>
      <c r="D194" s="11"/>
      <c r="E194" s="17"/>
      <c r="F194" s="17">
        <v>38.799999999999997</v>
      </c>
      <c r="G194" s="17">
        <v>76.89</v>
      </c>
      <c r="H194" s="11"/>
      <c r="I194" s="44">
        <v>24.03</v>
      </c>
      <c r="J194" s="42"/>
      <c r="K194" s="44"/>
      <c r="L194" s="44"/>
      <c r="M194" s="44"/>
      <c r="N194" s="44"/>
      <c r="O194" s="44"/>
      <c r="P194" s="44"/>
      <c r="Q194" s="34"/>
      <c r="R194" s="35">
        <f>SUM(Décaissements63[[#This Row],[Période 0]:[Période 12]])</f>
        <v>139.72</v>
      </c>
      <c r="S194" s="36">
        <f>+AVERAGE(Décaissements63[[#This Row],[Période 1]:[Période 12]])</f>
        <v>46.573333333333331</v>
      </c>
    </row>
    <row r="195" spans="2:20" ht="17.25" customHeight="1" x14ac:dyDescent="0.2">
      <c r="B195" s="359" t="s">
        <v>120</v>
      </c>
      <c r="C195" s="33"/>
      <c r="D195" s="42"/>
      <c r="E195" s="17"/>
      <c r="F195" s="17"/>
      <c r="G195" s="17">
        <v>159.85</v>
      </c>
      <c r="H195" s="42"/>
      <c r="I195" s="11">
        <v>238.4</v>
      </c>
      <c r="J195" s="42"/>
      <c r="K195" s="44"/>
      <c r="L195" s="44"/>
      <c r="M195" s="44"/>
      <c r="N195" s="44"/>
      <c r="O195" s="44"/>
      <c r="P195" s="44"/>
      <c r="Q195" s="33"/>
      <c r="R195" s="41"/>
      <c r="S195" s="2">
        <f>+AVERAGE(Décaissements63[[#This Row],[Période 1]:[Période 12]])</f>
        <v>199.125</v>
      </c>
    </row>
    <row r="196" spans="2:20" ht="17.25" customHeight="1" x14ac:dyDescent="0.2">
      <c r="B196" s="359" t="s">
        <v>59</v>
      </c>
      <c r="C196" s="33"/>
      <c r="D196" s="42"/>
      <c r="E196" s="17"/>
      <c r="F196" s="17"/>
      <c r="G196" s="17"/>
      <c r="H196" s="42"/>
      <c r="I196" s="11"/>
      <c r="J196" s="42"/>
      <c r="K196" s="44"/>
      <c r="L196" s="44"/>
      <c r="M196" s="44"/>
      <c r="N196" s="44"/>
      <c r="O196" s="44"/>
      <c r="P196" s="44"/>
      <c r="Q196" s="33"/>
      <c r="R196" s="41"/>
      <c r="S196" s="2" t="e">
        <f>+AVERAGE(Décaissements63[[#This Row],[Période 1]:[Période 12]])</f>
        <v>#DIV/0!</v>
      </c>
    </row>
    <row r="197" spans="2:20" ht="17.25" customHeight="1" x14ac:dyDescent="0.2">
      <c r="B197" s="357" t="s">
        <v>89</v>
      </c>
      <c r="C197" s="33"/>
      <c r="D197" s="11"/>
      <c r="E197" s="17">
        <f>42+35+118+31.9+50</f>
        <v>276.89999999999998</v>
      </c>
      <c r="F197" s="17">
        <f>120+48.5+172.8+50+50+21.7+300</f>
        <v>763</v>
      </c>
      <c r="G197" s="17">
        <f>158.2+122+149.7+120+122.2</f>
        <v>672.1</v>
      </c>
      <c r="H197" s="11">
        <f>105.8+70+50+119.9+68.5+85.4+94.5</f>
        <v>594.1</v>
      </c>
      <c r="I197" s="11">
        <f>100+115.1+40+38+57.6+152.3+130+88.3+8.9+40+50+300</f>
        <v>1120.1999999999998</v>
      </c>
      <c r="J197" s="42">
        <f>76.9+1050+111.2+319.5+64+88+50+316+350+200+50+85+81</f>
        <v>2841.6000000000004</v>
      </c>
      <c r="K197" s="11"/>
      <c r="L197" s="11"/>
      <c r="M197" s="44"/>
      <c r="N197" s="44"/>
      <c r="O197" s="44"/>
      <c r="P197" s="44"/>
      <c r="Q197" s="47"/>
      <c r="R197" s="35">
        <f>SUM(Décaissements63[[#This Row],[Période 0]:[Période 12]])</f>
        <v>6267.9</v>
      </c>
      <c r="S197" s="36">
        <f>+AVERAGE(Décaissements63[[#This Row],[Période 1]:[Période 12]])</f>
        <v>1044.6499999999999</v>
      </c>
    </row>
    <row r="198" spans="2:20" ht="17.25" customHeight="1" x14ac:dyDescent="0.2">
      <c r="B198" s="357" t="s">
        <v>69</v>
      </c>
      <c r="C198" s="33"/>
      <c r="D198" s="11"/>
      <c r="E198" s="17"/>
      <c r="F198" s="17"/>
      <c r="G198" s="17"/>
      <c r="H198" s="11"/>
      <c r="I198" s="11"/>
      <c r="J198" s="42"/>
      <c r="K198" s="44"/>
      <c r="L198" s="44"/>
      <c r="M198" s="44"/>
      <c r="N198" s="44"/>
      <c r="O198" s="44"/>
      <c r="P198" s="44"/>
      <c r="Q198" s="34"/>
      <c r="R198" s="35">
        <f>SUM(Décaissements63[[#This Row],[Période 0]:[Période 12]])</f>
        <v>0</v>
      </c>
      <c r="S198" s="36" t="e">
        <f>+AVERAGE(Décaissements63[[#This Row],[Période 1]:[Période 12]])</f>
        <v>#DIV/0!</v>
      </c>
    </row>
    <row r="199" spans="2:20" ht="17.25" customHeight="1" x14ac:dyDescent="0.2">
      <c r="B199" s="357" t="s">
        <v>75</v>
      </c>
      <c r="C199" s="33"/>
      <c r="D199" s="11"/>
      <c r="E199" s="17"/>
      <c r="F199" s="17"/>
      <c r="G199" s="17"/>
      <c r="H199" s="11"/>
      <c r="I199" s="11"/>
      <c r="J199" s="42"/>
      <c r="K199" s="44"/>
      <c r="L199" s="44"/>
      <c r="M199" s="44"/>
      <c r="N199" s="44"/>
      <c r="O199" s="44"/>
      <c r="P199" s="44"/>
      <c r="Q199" s="34"/>
      <c r="R199" s="35">
        <f>SUM(Décaissements63[[#This Row],[Période 0]:[Période 12]])</f>
        <v>0</v>
      </c>
      <c r="S199" s="36" t="e">
        <f>+AVERAGE(Décaissements63[[#This Row],[Période 1]:[Période 12]])</f>
        <v>#DIV/0!</v>
      </c>
    </row>
    <row r="200" spans="2:20" ht="17.25" customHeight="1" x14ac:dyDescent="0.2">
      <c r="B200" s="359" t="s">
        <v>60</v>
      </c>
      <c r="C200" s="33"/>
      <c r="D200" s="42"/>
      <c r="E200" s="17"/>
      <c r="F200" s="17">
        <v>92</v>
      </c>
      <c r="G200" s="17"/>
      <c r="H200" s="42"/>
      <c r="I200" s="42"/>
      <c r="J200" s="42"/>
      <c r="K200" s="44"/>
      <c r="L200" s="44"/>
      <c r="M200" s="44"/>
      <c r="N200" s="44"/>
      <c r="O200" s="44"/>
      <c r="P200" s="44"/>
      <c r="Q200" s="45"/>
      <c r="R200" s="41"/>
      <c r="S200" s="2">
        <f>+AVERAGE(Décaissements63[[#This Row],[Période 1]:[Période 12]])</f>
        <v>92</v>
      </c>
    </row>
    <row r="201" spans="2:20" ht="17.25" customHeight="1" x14ac:dyDescent="0.2">
      <c r="B201" s="357" t="s">
        <v>76</v>
      </c>
      <c r="C201" s="33"/>
      <c r="D201" s="11"/>
      <c r="E201" s="17"/>
      <c r="F201" s="17">
        <v>8.6</v>
      </c>
      <c r="G201" s="17">
        <v>12</v>
      </c>
      <c r="H201" s="11"/>
      <c r="I201" s="11">
        <v>15</v>
      </c>
      <c r="J201" s="42"/>
      <c r="K201" s="11"/>
      <c r="L201" s="11"/>
      <c r="M201" s="44"/>
      <c r="N201" s="44"/>
      <c r="O201" s="44"/>
      <c r="P201" s="44"/>
      <c r="Q201" s="34"/>
      <c r="R201" s="35">
        <f>SUM(Décaissements63[[#This Row],[Période 0]:[Période 12]])</f>
        <v>35.6</v>
      </c>
      <c r="S201" s="36">
        <f>+AVERAGE(Décaissements63[[#This Row],[Période 1]:[Période 12]])</f>
        <v>11.866666666666667</v>
      </c>
    </row>
    <row r="202" spans="2:20" ht="17.25" customHeight="1" x14ac:dyDescent="0.2">
      <c r="B202" s="357" t="s">
        <v>133</v>
      </c>
      <c r="C202" s="33"/>
      <c r="D202" s="11"/>
      <c r="E202" s="17"/>
      <c r="F202" s="17"/>
      <c r="G202" s="17">
        <v>649</v>
      </c>
      <c r="H202" s="79"/>
      <c r="I202" s="79"/>
      <c r="J202" s="44"/>
      <c r="K202" s="44"/>
      <c r="L202" s="44"/>
      <c r="M202" s="44"/>
      <c r="N202" s="44"/>
      <c r="O202" s="44"/>
      <c r="P202" s="44"/>
      <c r="Q202" s="80"/>
      <c r="R202" s="35">
        <f>SUM(Décaissements63[[#This Row],[Période 0]:[Période 12]])</f>
        <v>649</v>
      </c>
      <c r="S202" s="36">
        <f>+AVERAGE(Décaissements63[[#This Row],[Période 1]:[Période 12]])</f>
        <v>649</v>
      </c>
    </row>
    <row r="203" spans="2:20" ht="17.25" customHeight="1" x14ac:dyDescent="0.2">
      <c r="B203" s="359" t="s">
        <v>61</v>
      </c>
      <c r="C203" s="14"/>
      <c r="D203" s="1"/>
      <c r="E203" s="17"/>
      <c r="F203" s="17"/>
      <c r="G203" s="17"/>
      <c r="H203" s="1"/>
      <c r="I203" s="44"/>
      <c r="J203" s="44"/>
      <c r="K203" s="44"/>
      <c r="L203" s="44"/>
      <c r="M203" s="44"/>
      <c r="N203" s="44"/>
      <c r="O203" s="44"/>
      <c r="P203" s="44"/>
      <c r="Q203" s="27"/>
      <c r="S203" s="2" t="e">
        <f>+AVERAGE(Décaissements63[[#This Row],[Période 1]:[Période 12]])</f>
        <v>#DIV/0!</v>
      </c>
    </row>
    <row r="204" spans="2:20" ht="17.25" customHeight="1" x14ac:dyDescent="0.2">
      <c r="B204" s="354" t="s">
        <v>117</v>
      </c>
      <c r="C204" s="56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4"/>
      <c r="R204" s="55">
        <f>SUM(Décaissements63[[#This Row],[Période 0]:[Période 12]])</f>
        <v>0</v>
      </c>
      <c r="S204" s="36" t="e">
        <f>+AVERAGE(Décaissements63[[#This Row],[Période 1]:[Période 12]])</f>
        <v>#DIV/0!</v>
      </c>
    </row>
    <row r="205" spans="2:20" ht="17.25" customHeight="1" x14ac:dyDescent="0.2">
      <c r="B205" s="361" t="s">
        <v>91</v>
      </c>
      <c r="C205" s="33"/>
      <c r="D205" s="11"/>
      <c r="E205" s="11"/>
      <c r="F205" s="11"/>
      <c r="G205" s="17"/>
      <c r="H205" s="11"/>
      <c r="I205" s="44"/>
      <c r="J205" s="11"/>
      <c r="K205" s="11"/>
      <c r="L205" s="11"/>
      <c r="M205" s="11"/>
      <c r="N205" s="11"/>
      <c r="O205" s="11"/>
      <c r="P205" s="11"/>
      <c r="Q205" s="47"/>
      <c r="R205" s="35">
        <f>SUM(Décaissements63[[#This Row],[Période 0]:[Période 12]])</f>
        <v>0</v>
      </c>
      <c r="S205" s="36" t="e">
        <f>+AVERAGE(Décaissements63[[#This Row],[Période 1]:[Période 12]])</f>
        <v>#DIV/0!</v>
      </c>
    </row>
    <row r="206" spans="2:20" ht="17.25" customHeight="1" x14ac:dyDescent="0.2">
      <c r="B206" s="362" t="s">
        <v>2</v>
      </c>
      <c r="C206" s="51"/>
      <c r="D206" s="52">
        <f>SUBTOTAL(109,Décaissements63[Période 0])</f>
        <v>0</v>
      </c>
      <c r="E206" s="52">
        <f>SUBTOTAL(109,Décaissements63[Période 1])</f>
        <v>249158.41999999998</v>
      </c>
      <c r="F206" s="52">
        <f>SUBTOTAL(109,Décaissements63[Période 2])</f>
        <v>237367.36999999994</v>
      </c>
      <c r="G206" s="52">
        <f>SUBTOTAL(109,Décaissements63[Période 3])</f>
        <v>463161.4</v>
      </c>
      <c r="H206" s="52">
        <f>SUBTOTAL(109,Décaissements63[Période 4])</f>
        <v>191177.5199999999</v>
      </c>
      <c r="I206" s="137">
        <f>SUBTOTAL(109,Décaissements63[Période 5])</f>
        <v>224233.33000000002</v>
      </c>
      <c r="J206" s="52">
        <f>SUBTOTAL(109,Décaissements63[Période 6])</f>
        <v>337649.45</v>
      </c>
      <c r="K206" s="52">
        <f>SUBTOTAL(109,Décaissements63[Période 7])</f>
        <v>0</v>
      </c>
      <c r="L206" s="52">
        <f>SUBTOTAL(109,Décaissements63[Période 8])</f>
        <v>0</v>
      </c>
      <c r="M206" s="52">
        <f>SUBTOTAL(109,Décaissements63[Période 9])</f>
        <v>0</v>
      </c>
      <c r="N206" s="52">
        <f>SUBTOTAL(109,Décaissements63[Période 10])</f>
        <v>0</v>
      </c>
      <c r="O206" s="52">
        <f>SUBTOTAL(109,Décaissements63[Période 11])</f>
        <v>0</v>
      </c>
      <c r="P206" s="52">
        <f>SUBTOTAL(109,Décaissements63[Période 12])</f>
        <v>0</v>
      </c>
      <c r="Q206" s="51"/>
      <c r="R206" s="52">
        <f>SUBTOTAL(109,Décaissements63[Total])</f>
        <v>1309047.1100000003</v>
      </c>
      <c r="S206" s="52"/>
      <c r="T206" s="52"/>
    </row>
    <row r="207" spans="2:20" ht="17.25" customHeight="1" x14ac:dyDescent="0.2">
      <c r="B207" s="505"/>
      <c r="C207" s="505"/>
      <c r="D207" s="505"/>
      <c r="E207" s="505"/>
      <c r="F207" s="505"/>
      <c r="G207" s="505"/>
      <c r="H207" s="505"/>
      <c r="I207" s="505"/>
      <c r="J207" s="505"/>
      <c r="K207" s="505"/>
      <c r="L207" s="505"/>
      <c r="M207" s="505"/>
      <c r="N207" s="505"/>
      <c r="O207" s="505"/>
      <c r="P207" s="505"/>
      <c r="Q207" s="505"/>
      <c r="R207" s="505"/>
      <c r="S207" s="505"/>
    </row>
    <row r="208" spans="2:20" ht="17.25" customHeight="1" x14ac:dyDescent="0.3">
      <c r="B208" s="363" t="s">
        <v>62</v>
      </c>
      <c r="C208" s="12"/>
      <c r="Q208" s="14"/>
    </row>
    <row r="210" spans="2:19" ht="17.25" customHeight="1" x14ac:dyDescent="0.2">
      <c r="B210" s="350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4"/>
    </row>
    <row r="211" spans="2:19" ht="17.25" customHeight="1" x14ac:dyDescent="0.2">
      <c r="B211" s="364" t="s">
        <v>2</v>
      </c>
      <c r="C211" s="14"/>
      <c r="D211" s="2">
        <f>SUBTOTAL(109,Décaissements274[Période 0])</f>
        <v>0</v>
      </c>
      <c r="E211" s="2">
        <f>SUBTOTAL(109,Décaissements274[Période 1])</f>
        <v>0</v>
      </c>
      <c r="F211" s="2">
        <f>SUBTOTAL(109,Décaissements274[Période 2])</f>
        <v>0</v>
      </c>
      <c r="G211" s="2">
        <f>SUBTOTAL(109,Décaissements274[Période 3])</f>
        <v>0</v>
      </c>
      <c r="H211" s="2">
        <f>SUBTOTAL(109,Décaissements274[Période 4])</f>
        <v>0</v>
      </c>
      <c r="I211" s="2">
        <f>SUBTOTAL(109,Décaissements274[Période 5])</f>
        <v>0</v>
      </c>
      <c r="J211" s="2">
        <f>SUBTOTAL(109,Décaissements274[Période 6])</f>
        <v>0</v>
      </c>
      <c r="K211" s="2">
        <f>SUBTOTAL(109,Décaissements274[Période 7])</f>
        <v>0</v>
      </c>
      <c r="L211" s="2">
        <f>SUBTOTAL(109,Décaissements274[Période 8])</f>
        <v>0</v>
      </c>
      <c r="M211" s="2">
        <f>SUBTOTAL(109,Décaissements274[Période 9])</f>
        <v>0</v>
      </c>
      <c r="N211" s="2">
        <f>SUBTOTAL(109,Décaissements274[Période 10])</f>
        <v>0</v>
      </c>
      <c r="O211" s="2">
        <f>SUBTOTAL(109,Décaissements274[Période 11])</f>
        <v>0</v>
      </c>
      <c r="P211" s="2">
        <f>SUBTOTAL(109,Décaissements274[Période 12])</f>
        <v>0</v>
      </c>
      <c r="Q211" s="14"/>
      <c r="R211" s="2">
        <f>SUBTOTAL(109,Décaissements274[Total])</f>
        <v>0</v>
      </c>
      <c r="S211" s="46"/>
    </row>
    <row r="212" spans="2:19" ht="17.25" customHeight="1" thickBot="1" x14ac:dyDescent="0.3">
      <c r="B212" s="352" t="s">
        <v>63</v>
      </c>
      <c r="C212" s="12"/>
      <c r="D212" s="10">
        <f>SUM(Décaissements63[Période 0],Décaissements274[Période 0])</f>
        <v>0</v>
      </c>
      <c r="E212" s="10">
        <f>SUM(Décaissements63[Période 1],Décaissements274[Période 1])</f>
        <v>249158.41999999998</v>
      </c>
      <c r="F212" s="10">
        <f>SUM(Décaissements63[Période 2],Décaissements274[Période 2])</f>
        <v>237367.36999999994</v>
      </c>
      <c r="G212" s="10">
        <f>SUM(Décaissements63[Période 3],Décaissements274[Période 3])</f>
        <v>463161.4</v>
      </c>
      <c r="H212" s="10">
        <f>SUM(Décaissements63[Période 4],Décaissements274[Période 4])</f>
        <v>191177.5199999999</v>
      </c>
      <c r="I212" s="10">
        <f>SUM(Décaissements63[Période 5],Décaissements274[Période 5])</f>
        <v>224233.33000000002</v>
      </c>
      <c r="J212" s="10">
        <f>SUM(Décaissements63[Période 6],Décaissements274[Période 6])</f>
        <v>337649.45</v>
      </c>
      <c r="K212" s="10">
        <f>SUM(Décaissements63[Période 7],Décaissements274[Période 7])</f>
        <v>0</v>
      </c>
      <c r="L212" s="10">
        <f>SUM(Décaissements63[Période 8],Décaissements274[Période 8])</f>
        <v>0</v>
      </c>
      <c r="M212" s="10">
        <f>SUM(Décaissements63[Période 9],Décaissements274[Période 9])</f>
        <v>0</v>
      </c>
      <c r="N212" s="10">
        <f>SUM(Décaissements63[Période 10],Décaissements274[Période 10])</f>
        <v>0</v>
      </c>
      <c r="O212" s="10">
        <f>SUM(Décaissements63[Période 11],Décaissements274[Période 11])</f>
        <v>0</v>
      </c>
      <c r="P212" s="10">
        <f>SUM(Décaissements63[Période 12],Décaissements274[Période 12])</f>
        <v>0</v>
      </c>
      <c r="Q212" s="12"/>
      <c r="R212" s="10">
        <f>SUM(Décaissements63[Total],Décaissements274[Total])</f>
        <v>1309047.1100000003</v>
      </c>
      <c r="S212" s="13"/>
    </row>
    <row r="213" spans="2:19" ht="17.25" customHeight="1" x14ac:dyDescent="0.2">
      <c r="B213" s="504"/>
      <c r="C213" s="504"/>
      <c r="D213" s="504"/>
      <c r="E213" s="504"/>
      <c r="F213" s="504"/>
      <c r="G213" s="504"/>
      <c r="H213" s="504"/>
      <c r="I213" s="504"/>
      <c r="J213" s="504"/>
      <c r="K213" s="504"/>
      <c r="L213" s="504"/>
      <c r="M213" s="504"/>
      <c r="N213" s="504"/>
      <c r="O213" s="504"/>
      <c r="P213" s="504"/>
      <c r="Q213" s="504"/>
      <c r="R213" s="504"/>
      <c r="S213" s="504"/>
    </row>
    <row r="214" spans="2:19" ht="17.25" customHeight="1" thickBot="1" x14ac:dyDescent="0.3">
      <c r="B214" s="352" t="s">
        <v>64</v>
      </c>
      <c r="C214" s="12"/>
      <c r="D214" s="10">
        <f t="shared" ref="D214:P214" si="5">D13-D212</f>
        <v>102548.87</v>
      </c>
      <c r="E214" s="10">
        <f t="shared" si="5"/>
        <v>6402.1900000000023</v>
      </c>
      <c r="F214" s="10">
        <f t="shared" si="5"/>
        <v>29803.490000000049</v>
      </c>
      <c r="G214" s="10">
        <f t="shared" si="5"/>
        <v>21685.090000000026</v>
      </c>
      <c r="H214" s="10">
        <f t="shared" si="5"/>
        <v>97823.14000000013</v>
      </c>
      <c r="I214" s="10">
        <f t="shared" si="5"/>
        <v>15322.990000000107</v>
      </c>
      <c r="J214" s="10">
        <f t="shared" si="5"/>
        <v>60697.130000000121</v>
      </c>
      <c r="K214" s="10">
        <f t="shared" si="5"/>
        <v>60697.130000000121</v>
      </c>
      <c r="L214" s="10">
        <f t="shared" si="5"/>
        <v>60697.130000000121</v>
      </c>
      <c r="M214" s="10">
        <f t="shared" si="5"/>
        <v>60697.130000000121</v>
      </c>
      <c r="N214" s="10">
        <f t="shared" si="5"/>
        <v>60697.130000000121</v>
      </c>
      <c r="O214" s="10">
        <f t="shared" si="5"/>
        <v>60697.130000000121</v>
      </c>
      <c r="P214" s="10">
        <f t="shared" si="5"/>
        <v>60697.130000000121</v>
      </c>
      <c r="Q214" s="12"/>
      <c r="R214" s="10">
        <f>R13-R212</f>
        <v>499534.0299999998</v>
      </c>
      <c r="S214" s="13"/>
    </row>
    <row r="218" spans="2:19" ht="17.25" customHeight="1" x14ac:dyDescent="0.2">
      <c r="J218" s="126"/>
    </row>
  </sheetData>
  <mergeCells count="3">
    <mergeCell ref="B14:S14"/>
    <mergeCell ref="B207:S207"/>
    <mergeCell ref="B213:S213"/>
  </mergeCells>
  <conditionalFormatting sqref="E4:P4">
    <cfRule type="expression" dxfId="1269" priority="7">
      <formula>E4&lt;0</formula>
    </cfRule>
  </conditionalFormatting>
  <conditionalFormatting sqref="E214:P214">
    <cfRule type="expression" dxfId="1268" priority="6">
      <formula>E214&lt;0</formula>
    </cfRule>
  </conditionalFormatting>
  <conditionalFormatting sqref="E13:P13">
    <cfRule type="expression" dxfId="1267" priority="5">
      <formula>E13&lt;0</formula>
    </cfRule>
  </conditionalFormatting>
  <conditionalFormatting sqref="E6:P6">
    <cfRule type="expression" dxfId="1266" priority="3">
      <formula>E6&lt;0</formula>
    </cfRule>
  </conditionalFormatting>
  <conditionalFormatting sqref="E5:P5">
    <cfRule type="expression" dxfId="1265" priority="1">
      <formula>E5&lt;0</formula>
    </cfRule>
  </conditionalFormatting>
  <printOptions horizontalCentered="1" verticalCentered="1"/>
  <pageMargins left="0.5" right="0.5" top="0.5" bottom="0.5" header="0.3" footer="0.3"/>
  <pageSetup scale="48" fitToHeight="0" orientation="landscape" r:id="rId1"/>
  <headerFooter>
    <oddHeader xml:space="preserve">&amp;CMGC PRESTIGE </oddHeader>
  </headerFooter>
  <legacy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C9C7B86E-33F6-45F5-B561-B94EADE7E99F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E4:R4</xm:sqref>
        </x14:conditionalFormatting>
        <x14:conditionalFormatting xmlns:xm="http://schemas.microsoft.com/office/excel/2006/main">
          <x14:cfRule type="iconSet" priority="9" id="{2805F419-5041-4A9A-9F70-8EBFF999EAB5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D13:R13</xm:sqref>
        </x14:conditionalFormatting>
        <x14:conditionalFormatting xmlns:xm="http://schemas.microsoft.com/office/excel/2006/main">
          <x14:cfRule type="iconSet" priority="10" id="{5A4593EC-C26C-4442-9B78-DD5843C3450A}">
            <x14:iconSet iconSet="3Flags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D214:P214 R214</xm:sqref>
        </x14:conditionalFormatting>
        <x14:conditionalFormatting xmlns:xm="http://schemas.microsoft.com/office/excel/2006/main">
          <x14:cfRule type="iconSet" priority="4" id="{96B57EB2-4F65-46DA-AEF2-B52B53E602B5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E6:R6 Q5:R5</xm:sqref>
        </x14:conditionalFormatting>
        <x14:conditionalFormatting xmlns:xm="http://schemas.microsoft.com/office/excel/2006/main">
          <x14:cfRule type="iconSet" priority="2" id="{CA815D6A-4F6F-4F2C-BA3C-67C4D7008383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E5:P5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830BC62C-93DB-4DF9-B05F-FA611876DBE4}">
          <x14:colorSeries theme="0" tint="-0.34998626667073579"/>
          <x14:colorNegative theme="9"/>
          <x14:colorAxis rgb="FF000000"/>
          <x14:colorMarkers theme="9"/>
          <x14:colorFirst theme="4"/>
          <x14:colorLast theme="5"/>
          <x14:colorHigh theme="6"/>
          <x14:colorLow theme="7"/>
          <x14:sparklines>
            <x14:sparkline>
              <xm:f>'Flux de trésorerie - REEL BP'!D214:P214</xm:f>
              <xm:sqref>S214</xm:sqref>
            </x14:sparkline>
            <x14:sparkline>
              <xm:f>'Flux de trésorerie - REEL BP'!D13:P13</xm:f>
              <xm:sqref>S13</xm:sqref>
            </x14:sparkline>
            <x14:sparkline>
              <xm:f>'Flux de trésorerie - REEL BP'!D211:P211</xm:f>
              <xm:sqref>S211</xm:sqref>
            </x14:sparkline>
            <x14:sparkline>
              <xm:f>'Flux de trésorerie - REEL BP'!D212:P212</xm:f>
              <xm:sqref>S212</xm:sqref>
            </x14:sparkline>
            <x14:sparkline>
              <xm:f>'Flux de trésorerie - REEL BP'!D206:P206</xm:f>
              <xm:sqref>S206</xm:sqref>
            </x14:sparkline>
            <x14:sparkline>
              <xm:f>'Flux de trésorerie - REEL BP'!D4:P4</xm:f>
              <xm:sqref>S4</xm:sqref>
            </x14:sparkline>
            <x14:sparkline>
              <xm:f>'Flux de trésorerie - REEL BP'!D12:P12</xm:f>
              <xm:sqref>S12</xm:sqref>
            </x14:sparkline>
          </x14:sparklines>
        </x14:sparklineGroup>
        <x14:sparklineGroup manualMax="0" manualMin="0" displayEmptyCellsAs="gap" markers="1" xr2:uid="{F4F20D2C-B012-418C-A299-4B9CBE08B134}">
          <x14:colorSeries theme="0" tint="-0.34998626667073579"/>
          <x14:colorNegative theme="9"/>
          <x14:colorAxis rgb="FF000000"/>
          <x14:colorMarkers theme="9"/>
          <x14:colorFirst theme="4"/>
          <x14:colorLast theme="5"/>
          <x14:colorHigh theme="6"/>
          <x14:colorLow theme="7"/>
          <x14:sparklines>
            <x14:sparkline>
              <xm:f>'Flux de trésorerie - REEL BP'!D5:P5</xm:f>
              <xm:sqref>S5</xm:sqref>
            </x14:sparkline>
            <x14:sparkline>
              <xm:f>'Flux de trésorerie - REEL BP'!D6:P6</xm:f>
              <xm:sqref>S6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41BB-1231-4DE6-BCDC-380C32AC53C2}">
  <sheetPr>
    <tabColor rgb="FF002060"/>
    <pageSetUpPr autoPageBreaks="0"/>
  </sheetPr>
  <dimension ref="A1:J91"/>
  <sheetViews>
    <sheetView showGridLines="0" zoomScaleNormal="100" zoomScaleSheetLayoutView="85" zoomScalePageLayoutView="55" workbookViewId="0">
      <pane ySplit="1" topLeftCell="A17" activePane="bottomLeft" state="frozen"/>
      <selection pane="bottomLeft" activeCell="J38" sqref="J38:L46"/>
    </sheetView>
  </sheetViews>
  <sheetFormatPr baseColWidth="10" defaultColWidth="9.140625" defaultRowHeight="21" customHeight="1" x14ac:dyDescent="0.3"/>
  <cols>
    <col min="1" max="1" width="17.85546875" style="57" customWidth="1"/>
    <col min="2" max="2" width="32.85546875" style="165" customWidth="1"/>
    <col min="3" max="3" width="30" style="82" customWidth="1"/>
    <col min="4" max="4" width="30" style="58" customWidth="1"/>
    <col min="5" max="5" width="47" style="82" customWidth="1"/>
    <col min="6" max="7" width="22.140625" style="59" customWidth="1"/>
    <col min="8" max="8" width="11.85546875" style="58" customWidth="1"/>
    <col min="9" max="9" width="9.140625" style="58"/>
    <col min="10" max="10" width="13.140625" style="58" bestFit="1" customWidth="1"/>
    <col min="11" max="16384" width="9.140625" style="58"/>
  </cols>
  <sheetData>
    <row r="1" spans="1:8" s="163" customFormat="1" ht="24" customHeight="1" x14ac:dyDescent="0.25">
      <c r="A1" s="150" t="s">
        <v>101</v>
      </c>
      <c r="B1" s="150" t="s">
        <v>181</v>
      </c>
      <c r="C1" s="150" t="s">
        <v>182</v>
      </c>
      <c r="D1" s="150" t="s">
        <v>102</v>
      </c>
      <c r="E1" s="150" t="s">
        <v>183</v>
      </c>
      <c r="F1" s="203" t="s">
        <v>184</v>
      </c>
      <c r="G1" s="203" t="s">
        <v>185</v>
      </c>
      <c r="H1" s="98" t="s">
        <v>105</v>
      </c>
    </row>
    <row r="2" spans="1:8" ht="18.600000000000001" customHeight="1" x14ac:dyDescent="0.3">
      <c r="A2" s="506" t="s">
        <v>122</v>
      </c>
      <c r="B2" s="195" t="s">
        <v>216</v>
      </c>
      <c r="C2" s="196" t="s">
        <v>217</v>
      </c>
      <c r="D2" s="197">
        <v>20.88</v>
      </c>
      <c r="E2" s="198"/>
      <c r="F2" s="199">
        <v>44570</v>
      </c>
      <c r="G2" s="199"/>
      <c r="H2" s="200"/>
    </row>
    <row r="3" spans="1:8" ht="18.600000000000001" customHeight="1" x14ac:dyDescent="0.3">
      <c r="A3" s="507"/>
      <c r="B3" s="177" t="s">
        <v>264</v>
      </c>
      <c r="C3" s="172" t="s">
        <v>265</v>
      </c>
      <c r="D3" s="173">
        <v>2034.65</v>
      </c>
      <c r="E3" s="174" t="s">
        <v>188</v>
      </c>
      <c r="F3" s="175">
        <v>44571</v>
      </c>
      <c r="G3" s="175">
        <v>44576</v>
      </c>
      <c r="H3" s="176" t="s">
        <v>296</v>
      </c>
    </row>
    <row r="4" spans="1:8" ht="18.600000000000001" customHeight="1" x14ac:dyDescent="0.3">
      <c r="A4" s="507"/>
      <c r="B4" s="177" t="s">
        <v>214</v>
      </c>
      <c r="C4" s="172" t="s">
        <v>215</v>
      </c>
      <c r="D4" s="173">
        <v>180.56</v>
      </c>
      <c r="E4" s="174"/>
      <c r="F4" s="175">
        <v>44574</v>
      </c>
      <c r="G4" s="175"/>
      <c r="H4" s="176"/>
    </row>
    <row r="5" spans="1:8" ht="18.600000000000001" customHeight="1" x14ac:dyDescent="0.3">
      <c r="A5" s="507"/>
      <c r="B5" s="177" t="s">
        <v>174</v>
      </c>
      <c r="C5" s="172" t="s">
        <v>189</v>
      </c>
      <c r="D5" s="173">
        <v>6639.05</v>
      </c>
      <c r="E5" s="174" t="s">
        <v>193</v>
      </c>
      <c r="F5" s="175">
        <v>44576</v>
      </c>
      <c r="G5" s="175">
        <v>44575</v>
      </c>
      <c r="H5" s="176" t="s">
        <v>296</v>
      </c>
    </row>
    <row r="6" spans="1:8" ht="18.600000000000001" customHeight="1" x14ac:dyDescent="0.3">
      <c r="A6" s="507"/>
      <c r="B6" s="177" t="s">
        <v>174</v>
      </c>
      <c r="C6" s="172" t="s">
        <v>187</v>
      </c>
      <c r="D6" s="173">
        <v>6594.44</v>
      </c>
      <c r="E6" s="174" t="s">
        <v>188</v>
      </c>
      <c r="F6" s="175">
        <v>44576</v>
      </c>
      <c r="G6" s="175">
        <v>44575</v>
      </c>
      <c r="H6" s="176" t="s">
        <v>296</v>
      </c>
    </row>
    <row r="7" spans="1:8" ht="18.600000000000001" customHeight="1" x14ac:dyDescent="0.3">
      <c r="A7" s="507"/>
      <c r="B7" s="177" t="s">
        <v>174</v>
      </c>
      <c r="C7" s="172" t="s">
        <v>186</v>
      </c>
      <c r="D7" s="173">
        <v>6727.71</v>
      </c>
      <c r="E7" s="174" t="s">
        <v>193</v>
      </c>
      <c r="F7" s="175">
        <v>44576</v>
      </c>
      <c r="G7" s="175">
        <v>44575</v>
      </c>
      <c r="H7" s="176" t="s">
        <v>296</v>
      </c>
    </row>
    <row r="8" spans="1:8" ht="18.600000000000001" customHeight="1" x14ac:dyDescent="0.3">
      <c r="A8" s="507"/>
      <c r="B8" s="177" t="s">
        <v>218</v>
      </c>
      <c r="C8" s="172" t="s">
        <v>219</v>
      </c>
      <c r="D8" s="178">
        <v>300</v>
      </c>
      <c r="E8" s="179" t="s">
        <v>220</v>
      </c>
      <c r="F8" s="220">
        <v>44592</v>
      </c>
      <c r="G8" s="175">
        <v>44592</v>
      </c>
      <c r="H8" s="176" t="s">
        <v>296</v>
      </c>
    </row>
    <row r="9" spans="1:8" ht="18.600000000000001" customHeight="1" x14ac:dyDescent="0.3">
      <c r="A9" s="507"/>
      <c r="B9" s="177" t="s">
        <v>221</v>
      </c>
      <c r="C9" s="172" t="s">
        <v>222</v>
      </c>
      <c r="D9" s="173">
        <v>438.37</v>
      </c>
      <c r="E9" s="174" t="s">
        <v>223</v>
      </c>
      <c r="F9" s="175">
        <v>44592</v>
      </c>
      <c r="G9" s="175"/>
      <c r="H9" s="176"/>
    </row>
    <row r="10" spans="1:8" ht="18.600000000000001" customHeight="1" x14ac:dyDescent="0.3">
      <c r="A10" s="507"/>
      <c r="B10" s="177" t="s">
        <v>221</v>
      </c>
      <c r="C10" s="172" t="s">
        <v>224</v>
      </c>
      <c r="D10" s="173">
        <v>122.11</v>
      </c>
      <c r="E10" s="174" t="s">
        <v>225</v>
      </c>
      <c r="F10" s="175">
        <v>44592</v>
      </c>
      <c r="G10" s="175"/>
      <c r="H10" s="176"/>
    </row>
    <row r="11" spans="1:8" ht="18.600000000000001" customHeight="1" x14ac:dyDescent="0.3">
      <c r="A11" s="507"/>
      <c r="B11" s="177" t="s">
        <v>221</v>
      </c>
      <c r="C11" s="172" t="s">
        <v>226</v>
      </c>
      <c r="D11" s="173">
        <v>14190.11</v>
      </c>
      <c r="E11" s="174" t="s">
        <v>227</v>
      </c>
      <c r="F11" s="175">
        <v>44592</v>
      </c>
      <c r="G11" s="175"/>
      <c r="H11" s="176"/>
    </row>
    <row r="12" spans="1:8" ht="18.600000000000001" customHeight="1" x14ac:dyDescent="0.3">
      <c r="A12" s="507"/>
      <c r="B12" s="177" t="s">
        <v>229</v>
      </c>
      <c r="C12" s="172" t="s">
        <v>230</v>
      </c>
      <c r="D12" s="173">
        <v>134.11000000000001</v>
      </c>
      <c r="E12" s="174" t="s">
        <v>188</v>
      </c>
      <c r="F12" s="175">
        <v>44592</v>
      </c>
      <c r="G12" s="175"/>
      <c r="H12" s="176"/>
    </row>
    <row r="13" spans="1:8" ht="18.600000000000001" customHeight="1" x14ac:dyDescent="0.3">
      <c r="A13" s="507"/>
      <c r="B13" s="177" t="s">
        <v>231</v>
      </c>
      <c r="C13" s="172" t="s">
        <v>232</v>
      </c>
      <c r="D13" s="173">
        <v>1665.67</v>
      </c>
      <c r="E13" s="174"/>
      <c r="F13" s="175">
        <v>44592</v>
      </c>
      <c r="G13" s="175">
        <v>44592</v>
      </c>
      <c r="H13" s="176" t="s">
        <v>296</v>
      </c>
    </row>
    <row r="14" spans="1:8" ht="18.600000000000001" customHeight="1" x14ac:dyDescent="0.3">
      <c r="A14" s="507"/>
      <c r="B14" s="177" t="s">
        <v>233</v>
      </c>
      <c r="C14" s="172" t="s">
        <v>234</v>
      </c>
      <c r="D14" s="173">
        <v>22364.400000000001</v>
      </c>
      <c r="E14" s="174" t="s">
        <v>188</v>
      </c>
      <c r="F14" s="175">
        <v>44592</v>
      </c>
      <c r="G14" s="175">
        <v>44592</v>
      </c>
      <c r="H14" s="176" t="s">
        <v>296</v>
      </c>
    </row>
    <row r="15" spans="1:8" ht="18.600000000000001" customHeight="1" x14ac:dyDescent="0.3">
      <c r="A15" s="507"/>
      <c r="B15" s="177" t="s">
        <v>233</v>
      </c>
      <c r="C15" s="172" t="s">
        <v>235</v>
      </c>
      <c r="D15" s="173">
        <v>4814.58</v>
      </c>
      <c r="E15" s="174" t="s">
        <v>236</v>
      </c>
      <c r="F15" s="175">
        <v>44592</v>
      </c>
      <c r="G15" s="175">
        <v>44592</v>
      </c>
      <c r="H15" s="176"/>
    </row>
    <row r="16" spans="1:8" ht="18.600000000000001" customHeight="1" x14ac:dyDescent="0.3">
      <c r="A16" s="507"/>
      <c r="B16" s="177" t="s">
        <v>233</v>
      </c>
      <c r="C16" s="172" t="s">
        <v>237</v>
      </c>
      <c r="D16" s="173">
        <v>3173.34</v>
      </c>
      <c r="E16" s="174" t="s">
        <v>239</v>
      </c>
      <c r="F16" s="175">
        <v>44592</v>
      </c>
      <c r="G16" s="175">
        <v>44592</v>
      </c>
      <c r="H16" s="176" t="s">
        <v>296</v>
      </c>
    </row>
    <row r="17" spans="1:8" ht="18.600000000000001" customHeight="1" x14ac:dyDescent="0.3">
      <c r="A17" s="507"/>
      <c r="B17" s="177" t="s">
        <v>233</v>
      </c>
      <c r="C17" s="172" t="s">
        <v>238</v>
      </c>
      <c r="D17" s="173">
        <v>579.72</v>
      </c>
      <c r="E17" s="174" t="s">
        <v>239</v>
      </c>
      <c r="F17" s="175">
        <v>44592</v>
      </c>
      <c r="G17" s="175">
        <v>44592</v>
      </c>
      <c r="H17" s="176" t="s">
        <v>296</v>
      </c>
    </row>
    <row r="18" spans="1:8" ht="18.600000000000001" customHeight="1" x14ac:dyDescent="0.3">
      <c r="A18" s="507"/>
      <c r="B18" s="177" t="s">
        <v>233</v>
      </c>
      <c r="C18" s="172" t="s">
        <v>240</v>
      </c>
      <c r="D18" s="173">
        <v>3456.06</v>
      </c>
      <c r="E18" s="174" t="s">
        <v>241</v>
      </c>
      <c r="F18" s="175">
        <v>44592</v>
      </c>
      <c r="G18" s="175">
        <v>44592</v>
      </c>
      <c r="H18" s="176" t="s">
        <v>296</v>
      </c>
    </row>
    <row r="19" spans="1:8" ht="18.600000000000001" customHeight="1" x14ac:dyDescent="0.3">
      <c r="A19" s="507"/>
      <c r="B19" s="177" t="s">
        <v>243</v>
      </c>
      <c r="C19" s="172" t="s">
        <v>244</v>
      </c>
      <c r="D19" s="173">
        <v>12007.62</v>
      </c>
      <c r="E19" s="174" t="s">
        <v>245</v>
      </c>
      <c r="F19" s="175">
        <v>44592</v>
      </c>
      <c r="G19" s="175">
        <v>44592</v>
      </c>
      <c r="H19" s="176" t="s">
        <v>296</v>
      </c>
    </row>
    <row r="20" spans="1:8" ht="18.600000000000001" customHeight="1" x14ac:dyDescent="0.3">
      <c r="A20" s="507"/>
      <c r="B20" s="177" t="s">
        <v>256</v>
      </c>
      <c r="C20" s="172" t="s">
        <v>255</v>
      </c>
      <c r="D20" s="173">
        <v>1017.62</v>
      </c>
      <c r="E20" s="174"/>
      <c r="F20" s="175">
        <v>44592</v>
      </c>
      <c r="G20" s="175">
        <v>44592</v>
      </c>
      <c r="H20" s="176" t="s">
        <v>296</v>
      </c>
    </row>
    <row r="21" spans="1:8" ht="18.600000000000001" customHeight="1" x14ac:dyDescent="0.3">
      <c r="A21" s="507"/>
      <c r="B21" s="177" t="s">
        <v>254</v>
      </c>
      <c r="C21" s="172" t="s">
        <v>257</v>
      </c>
      <c r="D21" s="173">
        <v>3071.65</v>
      </c>
      <c r="E21" s="174"/>
      <c r="F21" s="175">
        <v>44592</v>
      </c>
      <c r="G21" s="175">
        <v>44592</v>
      </c>
      <c r="H21" s="176" t="s">
        <v>296</v>
      </c>
    </row>
    <row r="22" spans="1:8" ht="18.600000000000001" customHeight="1" x14ac:dyDescent="0.3">
      <c r="A22" s="507"/>
      <c r="B22" s="177" t="s">
        <v>258</v>
      </c>
      <c r="C22" s="172" t="s">
        <v>259</v>
      </c>
      <c r="D22" s="173">
        <v>367.4</v>
      </c>
      <c r="E22" s="174"/>
      <c r="F22" s="175">
        <v>44592</v>
      </c>
      <c r="G22" s="175">
        <v>44592</v>
      </c>
      <c r="H22" s="176" t="s">
        <v>296</v>
      </c>
    </row>
    <row r="23" spans="1:8" ht="19.5" customHeight="1" x14ac:dyDescent="0.3">
      <c r="A23" s="507"/>
      <c r="B23" s="177" t="s">
        <v>258</v>
      </c>
      <c r="C23" s="172" t="s">
        <v>260</v>
      </c>
      <c r="D23" s="173">
        <v>515.41999999999996</v>
      </c>
      <c r="E23" s="174" t="s">
        <v>262</v>
      </c>
      <c r="F23" s="175">
        <v>44592</v>
      </c>
      <c r="G23" s="175">
        <v>44592</v>
      </c>
      <c r="H23" s="176" t="s">
        <v>296</v>
      </c>
    </row>
    <row r="24" spans="1:8" ht="18.600000000000001" customHeight="1" x14ac:dyDescent="0.3">
      <c r="A24" s="507"/>
      <c r="B24" s="177" t="s">
        <v>258</v>
      </c>
      <c r="C24" s="172" t="s">
        <v>261</v>
      </c>
      <c r="D24" s="173">
        <v>10009.700000000001</v>
      </c>
      <c r="E24" s="174" t="s">
        <v>188</v>
      </c>
      <c r="F24" s="175">
        <v>44592</v>
      </c>
      <c r="G24" s="175">
        <v>44592</v>
      </c>
      <c r="H24" s="176" t="s">
        <v>296</v>
      </c>
    </row>
    <row r="25" spans="1:8" ht="18.600000000000001" customHeight="1" x14ac:dyDescent="0.3">
      <c r="A25" s="507"/>
      <c r="B25" s="177" t="s">
        <v>258</v>
      </c>
      <c r="C25" s="172" t="s">
        <v>263</v>
      </c>
      <c r="D25" s="173">
        <v>453.8</v>
      </c>
      <c r="E25" s="174"/>
      <c r="F25" s="175">
        <v>44592</v>
      </c>
      <c r="G25" s="175">
        <v>44592</v>
      </c>
      <c r="H25" s="176" t="s">
        <v>296</v>
      </c>
    </row>
    <row r="26" spans="1:8" ht="18.600000000000001" customHeight="1" x14ac:dyDescent="0.3">
      <c r="A26" s="507"/>
      <c r="B26" s="177" t="s">
        <v>345</v>
      </c>
      <c r="C26" s="172" t="s">
        <v>346</v>
      </c>
      <c r="D26" s="173">
        <v>796.49</v>
      </c>
      <c r="E26" s="174" t="s">
        <v>193</v>
      </c>
      <c r="F26" s="175">
        <v>44592</v>
      </c>
      <c r="G26" s="175">
        <v>44592</v>
      </c>
      <c r="H26" s="176" t="s">
        <v>296</v>
      </c>
    </row>
    <row r="27" spans="1:8" ht="18.600000000000001" customHeight="1" x14ac:dyDescent="0.3">
      <c r="A27" s="507"/>
      <c r="B27" s="177"/>
      <c r="C27" s="172"/>
      <c r="D27" s="173"/>
      <c r="E27" s="174"/>
      <c r="F27" s="175"/>
      <c r="G27" s="175"/>
      <c r="H27" s="176"/>
    </row>
    <row r="28" spans="1:8" ht="18.600000000000001" customHeight="1" x14ac:dyDescent="0.3">
      <c r="A28" s="507"/>
      <c r="B28" s="177"/>
      <c r="C28" s="172"/>
      <c r="D28" s="173"/>
      <c r="E28" s="174"/>
      <c r="F28" s="175"/>
      <c r="G28" s="175"/>
      <c r="H28" s="176"/>
    </row>
    <row r="29" spans="1:8" ht="18.600000000000001" customHeight="1" x14ac:dyDescent="0.3">
      <c r="A29" s="507"/>
      <c r="B29" s="177"/>
      <c r="C29" s="172"/>
      <c r="D29" s="173"/>
      <c r="E29" s="174"/>
      <c r="F29" s="175"/>
      <c r="G29" s="175"/>
      <c r="H29" s="176"/>
    </row>
    <row r="30" spans="1:8" ht="18.600000000000001" customHeight="1" x14ac:dyDescent="0.3">
      <c r="A30" s="508"/>
      <c r="B30" s="201" t="s">
        <v>140</v>
      </c>
      <c r="C30" s="202"/>
      <c r="D30" s="204">
        <f>SUM(D2:D29)</f>
        <v>101675.45999999998</v>
      </c>
      <c r="E30" s="180"/>
      <c r="F30" s="181"/>
      <c r="G30" s="181"/>
      <c r="H30" s="182"/>
    </row>
    <row r="31" spans="1:8" ht="18.600000000000001" customHeight="1" x14ac:dyDescent="0.3">
      <c r="A31" s="509" t="s">
        <v>123</v>
      </c>
      <c r="B31" s="177" t="s">
        <v>196</v>
      </c>
      <c r="C31" s="172" t="s">
        <v>199</v>
      </c>
      <c r="D31" s="173">
        <v>99.97</v>
      </c>
      <c r="E31" s="174" t="s">
        <v>200</v>
      </c>
      <c r="F31" s="175">
        <v>44566</v>
      </c>
      <c r="G31" s="175">
        <v>44566</v>
      </c>
      <c r="H31" s="177" t="s">
        <v>296</v>
      </c>
    </row>
    <row r="32" spans="1:8" ht="18.600000000000001" customHeight="1" x14ac:dyDescent="0.3">
      <c r="A32" s="510"/>
      <c r="B32" s="177" t="s">
        <v>196</v>
      </c>
      <c r="C32" s="172" t="s">
        <v>201</v>
      </c>
      <c r="D32" s="173">
        <v>127.11</v>
      </c>
      <c r="E32" s="174" t="s">
        <v>200</v>
      </c>
      <c r="F32" s="175">
        <v>44566</v>
      </c>
      <c r="G32" s="175">
        <v>44566</v>
      </c>
      <c r="H32" s="177" t="s">
        <v>296</v>
      </c>
    </row>
    <row r="33" spans="1:10" ht="18.600000000000001" customHeight="1" x14ac:dyDescent="0.3">
      <c r="A33" s="510"/>
      <c r="B33" s="177" t="s">
        <v>196</v>
      </c>
      <c r="C33" s="172" t="s">
        <v>297</v>
      </c>
      <c r="D33" s="173">
        <v>100.82</v>
      </c>
      <c r="E33" s="174"/>
      <c r="F33" s="175">
        <v>44566</v>
      </c>
      <c r="G33" s="175">
        <v>44566</v>
      </c>
      <c r="H33" s="177" t="s">
        <v>296</v>
      </c>
    </row>
    <row r="34" spans="1:10" ht="18.600000000000001" customHeight="1" x14ac:dyDescent="0.3">
      <c r="A34" s="510"/>
      <c r="B34" s="177" t="s">
        <v>196</v>
      </c>
      <c r="C34" s="172" t="s">
        <v>298</v>
      </c>
      <c r="D34" s="173">
        <v>104.12</v>
      </c>
      <c r="E34" s="174"/>
      <c r="F34" s="175">
        <v>44566</v>
      </c>
      <c r="G34" s="175">
        <v>44566</v>
      </c>
      <c r="H34" s="177" t="s">
        <v>296</v>
      </c>
    </row>
    <row r="35" spans="1:10" ht="18.600000000000001" customHeight="1" x14ac:dyDescent="0.3">
      <c r="A35" s="510"/>
      <c r="B35" s="177" t="s">
        <v>196</v>
      </c>
      <c r="C35" s="172" t="s">
        <v>299</v>
      </c>
      <c r="D35" s="173">
        <v>71.319999999999993</v>
      </c>
      <c r="E35" s="174"/>
      <c r="F35" s="175">
        <v>44566</v>
      </c>
      <c r="G35" s="175">
        <v>44566</v>
      </c>
      <c r="H35" s="177" t="s">
        <v>296</v>
      </c>
    </row>
    <row r="36" spans="1:10" ht="18.600000000000001" customHeight="1" x14ac:dyDescent="0.3">
      <c r="A36" s="510"/>
      <c r="B36" s="177" t="s">
        <v>196</v>
      </c>
      <c r="C36" s="172" t="s">
        <v>300</v>
      </c>
      <c r="D36" s="173">
        <v>89.4</v>
      </c>
      <c r="E36" s="174"/>
      <c r="F36" s="175">
        <v>44566</v>
      </c>
      <c r="G36" s="175">
        <v>44566</v>
      </c>
      <c r="H36" s="177" t="s">
        <v>296</v>
      </c>
    </row>
    <row r="37" spans="1:10" ht="18.600000000000001" customHeight="1" x14ac:dyDescent="0.3">
      <c r="A37" s="510"/>
      <c r="B37" s="177" t="s">
        <v>307</v>
      </c>
      <c r="C37" s="172" t="s">
        <v>308</v>
      </c>
      <c r="D37" s="173">
        <v>3203.09</v>
      </c>
      <c r="E37" s="174" t="s">
        <v>309</v>
      </c>
      <c r="F37" s="175">
        <v>44566</v>
      </c>
      <c r="G37" s="175">
        <v>44566</v>
      </c>
      <c r="H37" s="177" t="s">
        <v>296</v>
      </c>
    </row>
    <row r="38" spans="1:10" ht="18.600000000000001" customHeight="1" x14ac:dyDescent="0.3">
      <c r="A38" s="510"/>
      <c r="B38" s="177" t="s">
        <v>277</v>
      </c>
      <c r="C38" s="172" t="s">
        <v>310</v>
      </c>
      <c r="D38" s="173">
        <v>268.67</v>
      </c>
      <c r="E38" s="174" t="s">
        <v>311</v>
      </c>
      <c r="F38" s="175">
        <v>44566</v>
      </c>
      <c r="G38" s="175">
        <v>44571</v>
      </c>
      <c r="H38" s="177" t="s">
        <v>296</v>
      </c>
    </row>
    <row r="39" spans="1:10" ht="18.600000000000001" customHeight="1" x14ac:dyDescent="0.3">
      <c r="A39" s="510"/>
      <c r="B39" s="177" t="s">
        <v>282</v>
      </c>
      <c r="C39" s="172"/>
      <c r="D39" s="173">
        <v>50</v>
      </c>
      <c r="E39" s="174" t="s">
        <v>287</v>
      </c>
      <c r="F39" s="175">
        <v>44567</v>
      </c>
      <c r="G39" s="175">
        <v>44567</v>
      </c>
      <c r="H39" s="177" t="s">
        <v>296</v>
      </c>
    </row>
    <row r="40" spans="1:10" ht="18.600000000000001" customHeight="1" x14ac:dyDescent="0.3">
      <c r="A40" s="510"/>
      <c r="B40" s="177" t="s">
        <v>288</v>
      </c>
      <c r="C40" s="172" t="s">
        <v>289</v>
      </c>
      <c r="D40" s="173">
        <f>15.95*2</f>
        <v>31.9</v>
      </c>
      <c r="E40" s="174" t="s">
        <v>290</v>
      </c>
      <c r="F40" s="175">
        <v>44568</v>
      </c>
      <c r="G40" s="175">
        <v>44568</v>
      </c>
      <c r="H40" s="177" t="s">
        <v>296</v>
      </c>
    </row>
    <row r="41" spans="1:10" ht="18.600000000000001" customHeight="1" x14ac:dyDescent="0.3">
      <c r="A41" s="510"/>
      <c r="B41" s="177" t="s">
        <v>140</v>
      </c>
      <c r="C41" s="172" t="s">
        <v>228</v>
      </c>
      <c r="D41" s="173">
        <v>2014.85</v>
      </c>
      <c r="E41" s="174"/>
      <c r="F41" s="175">
        <v>44571</v>
      </c>
      <c r="G41" s="175">
        <v>44206</v>
      </c>
      <c r="H41" s="177" t="s">
        <v>296</v>
      </c>
    </row>
    <row r="42" spans="1:10" ht="18.600000000000001" customHeight="1" x14ac:dyDescent="0.3">
      <c r="A42" s="510"/>
      <c r="B42" s="177" t="s">
        <v>196</v>
      </c>
      <c r="C42" s="172" t="s">
        <v>197</v>
      </c>
      <c r="D42" s="173">
        <v>15.24</v>
      </c>
      <c r="E42" s="174" t="s">
        <v>198</v>
      </c>
      <c r="F42" s="175">
        <v>44576</v>
      </c>
      <c r="G42" s="175">
        <v>44578</v>
      </c>
      <c r="H42" s="177" t="s">
        <v>296</v>
      </c>
      <c r="J42" s="132"/>
    </row>
    <row r="43" spans="1:10" ht="18.600000000000001" customHeight="1" x14ac:dyDescent="0.3">
      <c r="A43" s="510"/>
      <c r="B43" s="215" t="s">
        <v>291</v>
      </c>
      <c r="C43" s="216"/>
      <c r="D43" s="217">
        <v>7851</v>
      </c>
      <c r="E43" s="218" t="s">
        <v>312</v>
      </c>
      <c r="F43" s="219">
        <v>44576</v>
      </c>
      <c r="G43" s="175">
        <v>44579</v>
      </c>
      <c r="H43" s="177" t="s">
        <v>296</v>
      </c>
      <c r="J43" s="152"/>
    </row>
    <row r="44" spans="1:10" ht="18.600000000000001" customHeight="1" x14ac:dyDescent="0.3">
      <c r="A44" s="510"/>
      <c r="B44" s="177" t="s">
        <v>196</v>
      </c>
      <c r="C44" s="172" t="s">
        <v>313</v>
      </c>
      <c r="D44" s="221">
        <v>50.31</v>
      </c>
      <c r="E44" s="174"/>
      <c r="F44" s="175">
        <v>44578</v>
      </c>
      <c r="G44" s="175">
        <v>44578</v>
      </c>
      <c r="H44" s="177" t="s">
        <v>296</v>
      </c>
    </row>
    <row r="45" spans="1:10" ht="18.600000000000001" customHeight="1" x14ac:dyDescent="0.3">
      <c r="A45" s="510"/>
      <c r="B45" s="177" t="s">
        <v>282</v>
      </c>
      <c r="C45" s="172"/>
      <c r="D45" s="173">
        <v>43</v>
      </c>
      <c r="E45" s="174"/>
      <c r="F45" s="175">
        <v>44581</v>
      </c>
      <c r="G45" s="175">
        <v>44578</v>
      </c>
      <c r="H45" s="177" t="s">
        <v>296</v>
      </c>
    </row>
    <row r="46" spans="1:10" ht="18.600000000000001" customHeight="1" x14ac:dyDescent="0.3">
      <c r="A46" s="510"/>
      <c r="B46" s="177" t="s">
        <v>282</v>
      </c>
      <c r="C46" s="172"/>
      <c r="D46" s="173">
        <v>31</v>
      </c>
      <c r="E46" s="174"/>
      <c r="F46" s="175">
        <v>44581</v>
      </c>
      <c r="G46" s="175">
        <v>44578</v>
      </c>
      <c r="H46" s="177" t="s">
        <v>296</v>
      </c>
    </row>
    <row r="47" spans="1:10" ht="18.600000000000001" customHeight="1" x14ac:dyDescent="0.3">
      <c r="A47" s="510"/>
      <c r="B47" s="177" t="s">
        <v>282</v>
      </c>
      <c r="C47" s="172"/>
      <c r="D47" s="173">
        <v>31</v>
      </c>
      <c r="E47" s="174"/>
      <c r="F47" s="175">
        <v>44581</v>
      </c>
      <c r="G47" s="175">
        <v>44578</v>
      </c>
      <c r="H47" s="177" t="s">
        <v>296</v>
      </c>
    </row>
    <row r="48" spans="1:10" ht="18.600000000000001" customHeight="1" x14ac:dyDescent="0.3">
      <c r="A48" s="510"/>
      <c r="B48" s="177" t="s">
        <v>282</v>
      </c>
      <c r="C48" s="172" t="s">
        <v>328</v>
      </c>
      <c r="D48" s="173">
        <v>32</v>
      </c>
      <c r="E48" s="174" t="s">
        <v>327</v>
      </c>
      <c r="F48" s="175">
        <v>44586</v>
      </c>
      <c r="G48" s="175">
        <v>44586</v>
      </c>
      <c r="H48" s="177" t="s">
        <v>296</v>
      </c>
    </row>
    <row r="49" spans="1:8" ht="18.600000000000001" customHeight="1" x14ac:dyDescent="0.3">
      <c r="A49" s="510"/>
      <c r="B49" s="215" t="s">
        <v>292</v>
      </c>
      <c r="C49" s="216" t="s">
        <v>293</v>
      </c>
      <c r="D49" s="217">
        <v>5199</v>
      </c>
      <c r="E49" s="218"/>
      <c r="F49" s="219">
        <v>44581</v>
      </c>
      <c r="G49" s="175">
        <v>44580</v>
      </c>
      <c r="H49" s="177" t="s">
        <v>296</v>
      </c>
    </row>
    <row r="50" spans="1:8" ht="18.600000000000001" customHeight="1" x14ac:dyDescent="0.3">
      <c r="A50" s="510"/>
      <c r="B50" s="215" t="s">
        <v>294</v>
      </c>
      <c r="C50" s="216"/>
      <c r="D50" s="217">
        <v>1907.49</v>
      </c>
      <c r="E50" s="218"/>
      <c r="F50" s="219">
        <v>44581</v>
      </c>
      <c r="G50" s="175">
        <v>44586</v>
      </c>
      <c r="H50" s="177" t="s">
        <v>296</v>
      </c>
    </row>
    <row r="51" spans="1:8" ht="18.600000000000001" customHeight="1" x14ac:dyDescent="0.3">
      <c r="A51" s="510"/>
      <c r="B51" s="177" t="s">
        <v>303</v>
      </c>
      <c r="C51" s="172" t="s">
        <v>304</v>
      </c>
      <c r="D51" s="173">
        <v>29.45</v>
      </c>
      <c r="E51" s="174" t="s">
        <v>305</v>
      </c>
      <c r="F51" s="175">
        <v>44581</v>
      </c>
      <c r="G51" s="175">
        <v>44581</v>
      </c>
      <c r="H51" s="177" t="s">
        <v>296</v>
      </c>
    </row>
    <row r="52" spans="1:8" ht="18.600000000000001" customHeight="1" x14ac:dyDescent="0.3">
      <c r="A52" s="510"/>
      <c r="B52" s="177" t="s">
        <v>277</v>
      </c>
      <c r="C52" s="172" t="s">
        <v>278</v>
      </c>
      <c r="D52" s="173">
        <v>96.8</v>
      </c>
      <c r="E52" s="174" t="s">
        <v>279</v>
      </c>
      <c r="F52" s="175">
        <v>44586</v>
      </c>
      <c r="G52" s="175">
        <v>44221</v>
      </c>
      <c r="H52" s="177" t="s">
        <v>296</v>
      </c>
    </row>
    <row r="53" spans="1:8" ht="18.600000000000001" customHeight="1" x14ac:dyDescent="0.3">
      <c r="A53" s="510"/>
      <c r="B53" s="177" t="s">
        <v>283</v>
      </c>
      <c r="C53" s="172" t="s">
        <v>284</v>
      </c>
      <c r="D53" s="173">
        <v>1128</v>
      </c>
      <c r="E53" s="174"/>
      <c r="F53" s="175">
        <v>44586</v>
      </c>
      <c r="G53" s="175">
        <v>44586</v>
      </c>
      <c r="H53" s="177" t="s">
        <v>296</v>
      </c>
    </row>
    <row r="54" spans="1:8" ht="18.600000000000001" customHeight="1" x14ac:dyDescent="0.3">
      <c r="A54" s="510"/>
      <c r="B54" s="215" t="s">
        <v>295</v>
      </c>
      <c r="C54" s="216"/>
      <c r="D54" s="217">
        <v>1903.67</v>
      </c>
      <c r="E54" s="218"/>
      <c r="F54" s="219">
        <v>44586</v>
      </c>
      <c r="G54" s="175">
        <v>44586</v>
      </c>
      <c r="H54" s="177" t="s">
        <v>296</v>
      </c>
    </row>
    <row r="55" spans="1:8" ht="18.600000000000001" customHeight="1" x14ac:dyDescent="0.3">
      <c r="A55" s="510"/>
      <c r="B55" s="177" t="s">
        <v>285</v>
      </c>
      <c r="C55" s="172" t="s">
        <v>286</v>
      </c>
      <c r="D55" s="173">
        <v>5283.09</v>
      </c>
      <c r="E55" s="174"/>
      <c r="F55" s="175">
        <v>44222</v>
      </c>
      <c r="G55" s="175">
        <v>44587</v>
      </c>
      <c r="H55" s="177" t="s">
        <v>296</v>
      </c>
    </row>
    <row r="56" spans="1:8" ht="18.600000000000001" customHeight="1" x14ac:dyDescent="0.3">
      <c r="A56" s="510"/>
      <c r="B56" s="177" t="s">
        <v>140</v>
      </c>
      <c r="C56" s="172" t="s">
        <v>332</v>
      </c>
      <c r="D56" s="173">
        <v>1720.53</v>
      </c>
      <c r="E56" s="174"/>
      <c r="F56" s="175">
        <v>44586</v>
      </c>
      <c r="G56" s="175">
        <v>44586</v>
      </c>
      <c r="H56" s="177" t="s">
        <v>296</v>
      </c>
    </row>
    <row r="57" spans="1:8" ht="18.600000000000001" customHeight="1" x14ac:dyDescent="0.3">
      <c r="A57" s="510"/>
      <c r="B57" s="177"/>
      <c r="C57" s="172"/>
      <c r="D57" s="173"/>
      <c r="E57" s="174"/>
      <c r="F57" s="175"/>
      <c r="G57" s="175"/>
      <c r="H57" s="177"/>
    </row>
    <row r="58" spans="1:8" ht="18.600000000000001" customHeight="1" x14ac:dyDescent="0.3">
      <c r="A58" s="511"/>
      <c r="B58" s="183" t="s">
        <v>140</v>
      </c>
      <c r="C58" s="184"/>
      <c r="D58" s="205">
        <f>SUM(D31:D57)</f>
        <v>31482.829999999998</v>
      </c>
      <c r="E58" s="185"/>
      <c r="F58" s="186"/>
      <c r="G58" s="186"/>
      <c r="H58" s="187"/>
    </row>
    <row r="59" spans="1:8" ht="18.600000000000001" customHeight="1" x14ac:dyDescent="0.3">
      <c r="A59" s="512" t="s">
        <v>124</v>
      </c>
      <c r="B59" s="195" t="s">
        <v>207</v>
      </c>
      <c r="C59" s="196" t="s">
        <v>208</v>
      </c>
      <c r="D59" s="197">
        <v>1596</v>
      </c>
      <c r="E59" s="198" t="s">
        <v>193</v>
      </c>
      <c r="F59" s="199">
        <v>44211</v>
      </c>
      <c r="G59" s="175">
        <v>44596</v>
      </c>
      <c r="H59" s="176" t="s">
        <v>296</v>
      </c>
    </row>
    <row r="60" spans="1:8" ht="18.600000000000001" customHeight="1" x14ac:dyDescent="0.3">
      <c r="A60" s="513"/>
      <c r="B60" s="177" t="s">
        <v>194</v>
      </c>
      <c r="C60" s="172" t="s">
        <v>195</v>
      </c>
      <c r="D60" s="173">
        <v>1524.08</v>
      </c>
      <c r="E60" s="174" t="s">
        <v>188</v>
      </c>
      <c r="F60" s="220">
        <v>44227</v>
      </c>
      <c r="G60" s="175">
        <v>44596</v>
      </c>
      <c r="H60" s="176" t="s">
        <v>296</v>
      </c>
    </row>
    <row r="61" spans="1:8" ht="18.600000000000001" customHeight="1" x14ac:dyDescent="0.3">
      <c r="A61" s="513"/>
      <c r="B61" s="177" t="s">
        <v>268</v>
      </c>
      <c r="C61" s="172" t="s">
        <v>269</v>
      </c>
      <c r="D61" s="173">
        <v>2400</v>
      </c>
      <c r="E61" s="174" t="s">
        <v>239</v>
      </c>
      <c r="F61" s="175">
        <v>44571</v>
      </c>
      <c r="G61" s="175">
        <v>44596</v>
      </c>
      <c r="H61" s="176" t="s">
        <v>296</v>
      </c>
    </row>
    <row r="62" spans="1:8" ht="18.600000000000001" customHeight="1" x14ac:dyDescent="0.3">
      <c r="A62" s="513"/>
      <c r="B62" s="177" t="s">
        <v>158</v>
      </c>
      <c r="C62" s="172"/>
      <c r="D62" s="173">
        <v>5803.5</v>
      </c>
      <c r="E62" s="174" t="s">
        <v>188</v>
      </c>
      <c r="F62" s="175">
        <v>44575</v>
      </c>
      <c r="G62" s="175"/>
      <c r="H62" s="176"/>
    </row>
    <row r="63" spans="1:8" ht="18.600000000000001" customHeight="1" x14ac:dyDescent="0.3">
      <c r="A63" s="513"/>
      <c r="B63" s="177" t="s">
        <v>158</v>
      </c>
      <c r="C63" s="172" t="s">
        <v>180</v>
      </c>
      <c r="D63" s="173">
        <v>5503.5</v>
      </c>
      <c r="E63" s="174" t="s">
        <v>188</v>
      </c>
      <c r="F63" s="220">
        <v>44575</v>
      </c>
      <c r="G63" s="175">
        <v>44586</v>
      </c>
      <c r="H63" s="176" t="s">
        <v>296</v>
      </c>
    </row>
    <row r="64" spans="1:8" ht="18.600000000000001" customHeight="1" x14ac:dyDescent="0.3">
      <c r="A64" s="513"/>
      <c r="B64" s="177" t="s">
        <v>158</v>
      </c>
      <c r="C64" s="172" t="s">
        <v>192</v>
      </c>
      <c r="D64" s="173">
        <v>5805.04</v>
      </c>
      <c r="E64" s="174" t="s">
        <v>193</v>
      </c>
      <c r="F64" s="220">
        <v>44575</v>
      </c>
      <c r="G64" s="175">
        <v>44586</v>
      </c>
      <c r="H64" s="176" t="s">
        <v>296</v>
      </c>
    </row>
    <row r="65" spans="1:10" ht="18.600000000000001" customHeight="1" x14ac:dyDescent="0.3">
      <c r="A65" s="513"/>
      <c r="B65" s="206" t="s">
        <v>267</v>
      </c>
      <c r="C65" s="207" t="s">
        <v>453</v>
      </c>
      <c r="D65" s="173">
        <v>870.92</v>
      </c>
      <c r="E65" s="208" t="s">
        <v>188</v>
      </c>
      <c r="F65" s="175">
        <v>44576</v>
      </c>
      <c r="G65" s="175">
        <v>44553</v>
      </c>
      <c r="H65" s="176" t="s">
        <v>296</v>
      </c>
    </row>
    <row r="66" spans="1:10" ht="18.600000000000001" customHeight="1" x14ac:dyDescent="0.3">
      <c r="A66" s="513"/>
      <c r="B66" s="177" t="s">
        <v>267</v>
      </c>
      <c r="C66" s="172" t="s">
        <v>270</v>
      </c>
      <c r="D66" s="173">
        <v>847.6</v>
      </c>
      <c r="E66" s="179" t="s">
        <v>271</v>
      </c>
      <c r="F66" s="175">
        <v>44576</v>
      </c>
      <c r="G66" s="175">
        <v>44586</v>
      </c>
      <c r="H66" s="176" t="s">
        <v>296</v>
      </c>
    </row>
    <row r="67" spans="1:10" ht="18.600000000000001" customHeight="1" x14ac:dyDescent="0.3">
      <c r="A67" s="513"/>
      <c r="B67" s="177" t="s">
        <v>267</v>
      </c>
      <c r="C67" s="172" t="s">
        <v>272</v>
      </c>
      <c r="D67" s="173">
        <v>1396.15</v>
      </c>
      <c r="E67" s="179" t="s">
        <v>273</v>
      </c>
      <c r="F67" s="175">
        <v>44576</v>
      </c>
      <c r="G67" s="175">
        <v>44586</v>
      </c>
      <c r="H67" s="176" t="s">
        <v>296</v>
      </c>
    </row>
    <row r="68" spans="1:10" ht="18.600000000000001" customHeight="1" x14ac:dyDescent="0.3">
      <c r="A68" s="513"/>
      <c r="B68" s="177" t="s">
        <v>267</v>
      </c>
      <c r="C68" s="172" t="s">
        <v>274</v>
      </c>
      <c r="D68" s="173">
        <v>1132.2</v>
      </c>
      <c r="E68" s="179" t="s">
        <v>193</v>
      </c>
      <c r="F68" s="175">
        <v>44576</v>
      </c>
      <c r="G68" s="175">
        <v>44586</v>
      </c>
      <c r="H68" s="176" t="s">
        <v>296</v>
      </c>
    </row>
    <row r="69" spans="1:10" ht="18.600000000000001" customHeight="1" x14ac:dyDescent="0.3">
      <c r="A69" s="513"/>
      <c r="B69" s="177" t="s">
        <v>267</v>
      </c>
      <c r="C69" s="172" t="s">
        <v>275</v>
      </c>
      <c r="D69" s="173">
        <v>682.9</v>
      </c>
      <c r="E69" s="179" t="s">
        <v>193</v>
      </c>
      <c r="F69" s="175">
        <v>44576</v>
      </c>
      <c r="G69" s="175">
        <v>44586</v>
      </c>
      <c r="H69" s="176" t="s">
        <v>296</v>
      </c>
    </row>
    <row r="70" spans="1:10" ht="18.600000000000001" customHeight="1" x14ac:dyDescent="0.3">
      <c r="A70" s="513"/>
      <c r="B70" s="177" t="s">
        <v>169</v>
      </c>
      <c r="C70" s="172" t="s">
        <v>306</v>
      </c>
      <c r="D70" s="173">
        <v>2000</v>
      </c>
      <c r="E70" s="174" t="s">
        <v>223</v>
      </c>
      <c r="F70" s="175">
        <v>44576</v>
      </c>
      <c r="G70" s="175" t="s">
        <v>314</v>
      </c>
      <c r="H70" s="176" t="s">
        <v>296</v>
      </c>
    </row>
    <row r="71" spans="1:10" ht="18.600000000000001" customHeight="1" x14ac:dyDescent="0.3">
      <c r="A71" s="513"/>
      <c r="B71" s="177" t="s">
        <v>190</v>
      </c>
      <c r="C71" s="172" t="s">
        <v>209</v>
      </c>
      <c r="D71" s="173">
        <v>1082.4000000000001</v>
      </c>
      <c r="E71" s="174" t="s">
        <v>188</v>
      </c>
      <c r="F71" s="220">
        <v>44592</v>
      </c>
      <c r="G71" s="175">
        <v>44596</v>
      </c>
      <c r="H71" s="176" t="s">
        <v>296</v>
      </c>
    </row>
    <row r="72" spans="1:10" ht="18.600000000000001" customHeight="1" x14ac:dyDescent="0.3">
      <c r="A72" s="513"/>
      <c r="B72" s="177" t="s">
        <v>190</v>
      </c>
      <c r="C72" s="172" t="s">
        <v>191</v>
      </c>
      <c r="D72" s="173">
        <v>742.56</v>
      </c>
      <c r="E72" s="174" t="s">
        <v>193</v>
      </c>
      <c r="F72" s="220">
        <v>44592</v>
      </c>
      <c r="G72" s="175">
        <v>44596</v>
      </c>
      <c r="H72" s="176" t="s">
        <v>296</v>
      </c>
    </row>
    <row r="73" spans="1:10" ht="18.600000000000001" customHeight="1" x14ac:dyDescent="0.3">
      <c r="A73" s="513"/>
      <c r="B73" s="242" t="s">
        <v>202</v>
      </c>
      <c r="C73" s="243" t="s">
        <v>203</v>
      </c>
      <c r="D73" s="244">
        <v>20983.13</v>
      </c>
      <c r="E73" s="245" t="s">
        <v>188</v>
      </c>
      <c r="F73" s="246">
        <v>44592</v>
      </c>
      <c r="G73" s="247">
        <v>44602</v>
      </c>
      <c r="H73" s="248" t="s">
        <v>296</v>
      </c>
    </row>
    <row r="74" spans="1:10" ht="18.600000000000001" customHeight="1" x14ac:dyDescent="0.3">
      <c r="A74" s="513"/>
      <c r="B74" s="177" t="s">
        <v>202</v>
      </c>
      <c r="C74" s="172" t="s">
        <v>204</v>
      </c>
      <c r="D74" s="173">
        <v>28778.21</v>
      </c>
      <c r="E74" s="174" t="s">
        <v>188</v>
      </c>
      <c r="F74" s="220">
        <v>44592</v>
      </c>
      <c r="G74" s="175">
        <v>44596</v>
      </c>
      <c r="H74" s="176" t="s">
        <v>296</v>
      </c>
      <c r="J74" s="58" t="s">
        <v>355</v>
      </c>
    </row>
    <row r="75" spans="1:10" ht="18.600000000000001" customHeight="1" x14ac:dyDescent="0.3">
      <c r="A75" s="513"/>
      <c r="B75" s="177" t="s">
        <v>202</v>
      </c>
      <c r="C75" s="172" t="s">
        <v>205</v>
      </c>
      <c r="D75" s="173">
        <v>4427.8500000000004</v>
      </c>
      <c r="E75" s="174" t="s">
        <v>188</v>
      </c>
      <c r="F75" s="220">
        <v>44592</v>
      </c>
      <c r="G75" s="175">
        <v>44596</v>
      </c>
      <c r="H75" s="176" t="s">
        <v>296</v>
      </c>
      <c r="J75" s="152"/>
    </row>
    <row r="76" spans="1:10" ht="18.600000000000001" customHeight="1" x14ac:dyDescent="0.3">
      <c r="A76" s="513"/>
      <c r="B76" s="177" t="s">
        <v>190</v>
      </c>
      <c r="C76" s="172" t="s">
        <v>206</v>
      </c>
      <c r="D76" s="173">
        <v>1573.15</v>
      </c>
      <c r="E76" s="174" t="s">
        <v>188</v>
      </c>
      <c r="F76" s="175">
        <v>44592</v>
      </c>
      <c r="G76" s="175">
        <v>44596</v>
      </c>
      <c r="H76" s="176" t="s">
        <v>296</v>
      </c>
    </row>
    <row r="77" spans="1:10" ht="18.600000000000001" customHeight="1" x14ac:dyDescent="0.35">
      <c r="A77" s="513"/>
      <c r="B77" s="308" t="s">
        <v>210</v>
      </c>
      <c r="C77" s="309" t="s">
        <v>211</v>
      </c>
      <c r="D77" s="310">
        <v>3000</v>
      </c>
      <c r="E77" s="311" t="s">
        <v>188</v>
      </c>
      <c r="F77" s="311">
        <v>44592</v>
      </c>
      <c r="G77" s="311">
        <v>44596</v>
      </c>
      <c r="H77" s="312" t="s">
        <v>296</v>
      </c>
    </row>
    <row r="78" spans="1:10" ht="18.600000000000001" customHeight="1" x14ac:dyDescent="0.3">
      <c r="A78" s="513"/>
      <c r="B78" s="177" t="s">
        <v>251</v>
      </c>
      <c r="C78" s="172" t="s">
        <v>252</v>
      </c>
      <c r="D78" s="173">
        <v>600</v>
      </c>
      <c r="E78" s="174" t="s">
        <v>253</v>
      </c>
      <c r="F78" s="175">
        <v>44592</v>
      </c>
      <c r="G78" s="175">
        <v>44572</v>
      </c>
      <c r="H78" s="176" t="s">
        <v>296</v>
      </c>
    </row>
    <row r="79" spans="1:10" ht="18.600000000000001" customHeight="1" x14ac:dyDescent="0.3">
      <c r="A79" s="513"/>
      <c r="B79" s="177" t="s">
        <v>266</v>
      </c>
      <c r="C79" s="172" t="s">
        <v>280</v>
      </c>
      <c r="D79" s="173">
        <v>120</v>
      </c>
      <c r="E79" s="174"/>
      <c r="F79" s="175">
        <v>44592</v>
      </c>
      <c r="G79" s="175">
        <v>44596</v>
      </c>
      <c r="H79" s="176" t="s">
        <v>296</v>
      </c>
    </row>
    <row r="80" spans="1:10" ht="18.600000000000001" customHeight="1" x14ac:dyDescent="0.3">
      <c r="A80" s="513"/>
      <c r="B80" s="177" t="s">
        <v>266</v>
      </c>
      <c r="C80" s="172" t="s">
        <v>276</v>
      </c>
      <c r="D80" s="173">
        <v>3460.07</v>
      </c>
      <c r="E80" s="174" t="s">
        <v>193</v>
      </c>
      <c r="F80" s="175">
        <v>44592</v>
      </c>
      <c r="G80" s="175">
        <v>44596</v>
      </c>
      <c r="H80" s="176" t="s">
        <v>296</v>
      </c>
    </row>
    <row r="81" spans="1:8" ht="18.600000000000001" customHeight="1" x14ac:dyDescent="0.3">
      <c r="A81" s="513"/>
      <c r="B81" s="177" t="s">
        <v>330</v>
      </c>
      <c r="C81" s="172"/>
      <c r="D81" s="173">
        <v>940</v>
      </c>
      <c r="E81" s="174" t="s">
        <v>320</v>
      </c>
      <c r="F81" s="175">
        <v>44566</v>
      </c>
      <c r="G81" s="175">
        <v>44586</v>
      </c>
      <c r="H81" s="176" t="s">
        <v>296</v>
      </c>
    </row>
    <row r="82" spans="1:8" ht="18.600000000000001" customHeight="1" x14ac:dyDescent="0.3">
      <c r="A82" s="513"/>
      <c r="B82" s="177" t="s">
        <v>333</v>
      </c>
      <c r="C82" s="177" t="s">
        <v>334</v>
      </c>
      <c r="D82" s="227">
        <v>720</v>
      </c>
      <c r="E82" s="174" t="s">
        <v>335</v>
      </c>
      <c r="F82" s="175" t="s">
        <v>336</v>
      </c>
      <c r="G82" s="175" t="s">
        <v>375</v>
      </c>
      <c r="H82" s="176" t="s">
        <v>296</v>
      </c>
    </row>
    <row r="83" spans="1:8" ht="18.600000000000001" customHeight="1" x14ac:dyDescent="0.3">
      <c r="A83" s="513"/>
      <c r="B83" s="177" t="s">
        <v>337</v>
      </c>
      <c r="C83" s="177" t="s">
        <v>338</v>
      </c>
      <c r="D83" s="227">
        <v>720</v>
      </c>
      <c r="E83" s="174" t="s">
        <v>188</v>
      </c>
      <c r="F83" s="175" t="s">
        <v>339</v>
      </c>
      <c r="G83" s="175">
        <v>44586</v>
      </c>
      <c r="H83" s="176" t="s">
        <v>296</v>
      </c>
    </row>
    <row r="84" spans="1:8" ht="18.600000000000001" customHeight="1" x14ac:dyDescent="0.3">
      <c r="A84" s="513"/>
      <c r="B84" s="177" t="s">
        <v>376</v>
      </c>
      <c r="C84" s="177"/>
      <c r="D84" s="227">
        <v>42284.94</v>
      </c>
      <c r="E84" s="174"/>
      <c r="F84" s="175">
        <v>44576</v>
      </c>
      <c r="G84" s="175">
        <v>44596</v>
      </c>
      <c r="H84" s="176" t="s">
        <v>296</v>
      </c>
    </row>
    <row r="85" spans="1:8" ht="18.600000000000001" customHeight="1" x14ac:dyDescent="0.3">
      <c r="A85" s="513"/>
      <c r="B85" s="177" t="s">
        <v>268</v>
      </c>
      <c r="C85" s="177" t="s">
        <v>585</v>
      </c>
      <c r="D85" s="227">
        <v>2400</v>
      </c>
      <c r="E85" s="174" t="s">
        <v>239</v>
      </c>
      <c r="F85" s="175">
        <v>44681</v>
      </c>
      <c r="G85" s="175"/>
      <c r="H85" s="176"/>
    </row>
    <row r="86" spans="1:8" ht="18.600000000000001" customHeight="1" x14ac:dyDescent="0.3">
      <c r="A86" s="513"/>
      <c r="B86" s="177" t="s">
        <v>268</v>
      </c>
      <c r="C86" s="177" t="s">
        <v>586</v>
      </c>
      <c r="D86" s="227">
        <v>2400</v>
      </c>
      <c r="E86" s="174" t="s">
        <v>239</v>
      </c>
      <c r="F86" s="175">
        <v>44681</v>
      </c>
      <c r="G86" s="175"/>
      <c r="H86" s="176"/>
    </row>
    <row r="87" spans="1:8" ht="18.600000000000001" customHeight="1" x14ac:dyDescent="0.3">
      <c r="A87" s="513"/>
      <c r="B87" s="177"/>
      <c r="C87" s="177"/>
      <c r="D87" s="227"/>
      <c r="E87" s="174"/>
      <c r="F87" s="175"/>
      <c r="G87" s="175"/>
      <c r="H87" s="176"/>
    </row>
    <row r="88" spans="1:8" ht="18.600000000000001" customHeight="1" x14ac:dyDescent="0.3">
      <c r="A88" s="513"/>
      <c r="B88" s="177"/>
      <c r="C88" s="177"/>
      <c r="D88" s="227"/>
      <c r="E88" s="174"/>
      <c r="F88" s="175"/>
      <c r="G88" s="175"/>
      <c r="H88" s="176"/>
    </row>
    <row r="89" spans="1:8" ht="18.600000000000001" customHeight="1" x14ac:dyDescent="0.3">
      <c r="A89" s="513"/>
      <c r="B89" s="177"/>
      <c r="C89" s="177"/>
      <c r="D89" s="173"/>
      <c r="E89" s="177"/>
      <c r="F89" s="175"/>
      <c r="G89" s="177"/>
      <c r="H89" s="177"/>
    </row>
    <row r="90" spans="1:8" ht="18.600000000000001" customHeight="1" x14ac:dyDescent="0.3">
      <c r="A90" s="513"/>
      <c r="B90" s="201" t="s">
        <v>140</v>
      </c>
      <c r="C90" s="202"/>
      <c r="D90" s="204">
        <f>SUM(D59:D89)</f>
        <v>143794.20000000001</v>
      </c>
      <c r="E90" s="180"/>
      <c r="F90" s="181"/>
      <c r="G90" s="181"/>
      <c r="H90" s="182"/>
    </row>
    <row r="91" spans="1:8" ht="21" customHeight="1" x14ac:dyDescent="0.3">
      <c r="A91" s="188" t="s">
        <v>126</v>
      </c>
      <c r="B91" s="189"/>
      <c r="C91" s="190"/>
      <c r="D91" s="191">
        <f>D90+D58+D30</f>
        <v>276952.49</v>
      </c>
      <c r="E91" s="192"/>
      <c r="F91" s="193"/>
      <c r="G91" s="193"/>
      <c r="H91" s="194"/>
    </row>
  </sheetData>
  <mergeCells count="3">
    <mergeCell ref="A2:A30"/>
    <mergeCell ref="A31:A58"/>
    <mergeCell ref="A59:A90"/>
  </mergeCells>
  <conditionalFormatting sqref="E58:H58 E90:H90 C2:H3 H4 C59:F59 D75:D76 B5:H6 C10:H10 B11:H14 C26:H29 B60:F60 D62:H70 B30:H57 B9:H9 B7:F7 G81:H81 B25:G25 C15:H21 B8:G8 E72:E76 B62:C76 F73:H80 F72 E71:F71 B79:E81">
    <cfRule type="expression" dxfId="1151" priority="82">
      <formula>MOD(ROW(),2)=1</formula>
    </cfRule>
  </conditionalFormatting>
  <conditionalFormatting sqref="B59 B2:B3">
    <cfRule type="expression" dxfId="1150" priority="76">
      <formula>MOD(ROW(),2)=1</formula>
    </cfRule>
  </conditionalFormatting>
  <conditionalFormatting sqref="C58:D58">
    <cfRule type="expression" dxfId="1149" priority="75">
      <formula>MOD(ROW(),2)=1</formula>
    </cfRule>
  </conditionalFormatting>
  <conditionalFormatting sqref="B58">
    <cfRule type="expression" dxfId="1148" priority="74">
      <formula>MOD(ROW(),2)=1</formula>
    </cfRule>
  </conditionalFormatting>
  <conditionalFormatting sqref="C90:D90">
    <cfRule type="expression" dxfId="1147" priority="73">
      <formula>MOD(ROW(),2)=1</formula>
    </cfRule>
  </conditionalFormatting>
  <conditionalFormatting sqref="B90">
    <cfRule type="expression" dxfId="1146" priority="72">
      <formula>MOD(ROW(),2)=1</formula>
    </cfRule>
  </conditionalFormatting>
  <conditionalFormatting sqref="F62 F25">
    <cfRule type="cellIs" dxfId="1145" priority="66" operator="lessThan">
      <formula>TODAY()</formula>
    </cfRule>
    <cfRule type="timePeriod" dxfId="1144" priority="67" timePeriod="last7Days">
      <formula>AND(TODAY()-FLOOR(F25,1)&lt;=6,FLOOR(F25,1)&lt;=TODAY())</formula>
    </cfRule>
    <cfRule type="timePeriod" dxfId="1143" priority="68" timePeriod="yesterday">
      <formula>FLOOR(F25,1)=TODAY()-1</formula>
    </cfRule>
    <cfRule type="timePeriod" dxfId="1142" priority="69" timePeriod="lastMonth">
      <formula>AND(MONTH(F25)=MONTH(EDATE(TODAY(),0-1)),YEAR(F25)=YEAR(EDATE(TODAY(),0-1)))</formula>
    </cfRule>
    <cfRule type="timePeriod" dxfId="1141" priority="70" timePeriod="yesterday">
      <formula>FLOOR(F25,1)=TODAY()-1</formula>
    </cfRule>
    <cfRule type="timePeriod" dxfId="1140" priority="71" timePeriod="today">
      <formula>FLOOR(F25,1)=TODAY()</formula>
    </cfRule>
  </conditionalFormatting>
  <conditionalFormatting sqref="G4">
    <cfRule type="expression" dxfId="1139" priority="65">
      <formula>MOD(ROW(),2)=1</formula>
    </cfRule>
  </conditionalFormatting>
  <conditionalFormatting sqref="B4:F4">
    <cfRule type="expression" dxfId="1138" priority="64">
      <formula>MOD(ROW(),2)=1</formula>
    </cfRule>
  </conditionalFormatting>
  <conditionalFormatting sqref="F4">
    <cfRule type="cellIs" dxfId="1137" priority="58" operator="lessThan">
      <formula>TODAY()</formula>
    </cfRule>
    <cfRule type="timePeriod" dxfId="1136" priority="59" timePeriod="last7Days">
      <formula>AND(TODAY()-FLOOR(F4,1)&lt;=6,FLOOR(F4,1)&lt;=TODAY())</formula>
    </cfRule>
    <cfRule type="timePeriod" dxfId="1135" priority="60" timePeriod="yesterday">
      <formula>FLOOR(F4,1)=TODAY()-1</formula>
    </cfRule>
    <cfRule type="timePeriod" dxfId="1134" priority="61" timePeriod="lastMonth">
      <formula>AND(MONTH(F4)=MONTH(EDATE(TODAY(),0-1)),YEAR(F4)=YEAR(EDATE(TODAY(),0-1)))</formula>
    </cfRule>
    <cfRule type="timePeriod" dxfId="1133" priority="62" timePeriod="yesterday">
      <formula>FLOOR(F4,1)=TODAY()-1</formula>
    </cfRule>
    <cfRule type="timePeriod" dxfId="1132" priority="63" timePeriod="today">
      <formula>FLOOR(F4,1)=TODAY()</formula>
    </cfRule>
  </conditionalFormatting>
  <conditionalFormatting sqref="D71">
    <cfRule type="expression" dxfId="1131" priority="57">
      <formula>MOD(ROW(),2)=1</formula>
    </cfRule>
  </conditionalFormatting>
  <conditionalFormatting sqref="B10">
    <cfRule type="expression" dxfId="1130" priority="56">
      <formula>MOD(ROW(),2)=1</formula>
    </cfRule>
  </conditionalFormatting>
  <conditionalFormatting sqref="B15:B21 B25:B29">
    <cfRule type="expression" dxfId="1129" priority="55">
      <formula>MOD(ROW(),2)=1</formula>
    </cfRule>
  </conditionalFormatting>
  <conditionalFormatting sqref="B77:E78">
    <cfRule type="expression" dxfId="1128" priority="51">
      <formula>MOD(ROW(),2)=1</formula>
    </cfRule>
  </conditionalFormatting>
  <conditionalFormatting sqref="D72:D74">
    <cfRule type="expression" dxfId="1127" priority="49">
      <formula>MOD(ROW(),2)=1</formula>
    </cfRule>
  </conditionalFormatting>
  <conditionalFormatting sqref="D22:D24 F22:G24">
    <cfRule type="expression" dxfId="1126" priority="47">
      <formula>MOD(ROW(),2)=1</formula>
    </cfRule>
  </conditionalFormatting>
  <conditionalFormatting sqref="E22:E24">
    <cfRule type="expression" dxfId="1125" priority="46">
      <formula>MOD(ROW(),2)=1</formula>
    </cfRule>
  </conditionalFormatting>
  <conditionalFormatting sqref="B22:B24">
    <cfRule type="expression" dxfId="1124" priority="45">
      <formula>MOD(ROW(),2)=1</formula>
    </cfRule>
  </conditionalFormatting>
  <conditionalFormatting sqref="C22:C24">
    <cfRule type="expression" dxfId="1123" priority="44">
      <formula>MOD(ROW(),2)=1</formula>
    </cfRule>
  </conditionalFormatting>
  <conditionalFormatting sqref="B61:F61">
    <cfRule type="expression" dxfId="1122" priority="43">
      <formula>MOD(ROW(),2)=1</formula>
    </cfRule>
  </conditionalFormatting>
  <conditionalFormatting sqref="B42:D42">
    <cfRule type="expression" dxfId="1121" priority="42">
      <formula>MOD(ROW(),2)=1</formula>
    </cfRule>
  </conditionalFormatting>
  <conditionalFormatting sqref="B43:H44 B54:H57 E45:H46 G47:H49 D31:D42 D45:D53 E50:H53">
    <cfRule type="expression" dxfId="1120" priority="40">
      <formula>MOD(ROW(),2)=1</formula>
    </cfRule>
  </conditionalFormatting>
  <conditionalFormatting sqref="B45:D45">
    <cfRule type="expression" dxfId="1119" priority="38">
      <formula>MOD(ROW(),2)=1</formula>
    </cfRule>
  </conditionalFormatting>
  <conditionalFormatting sqref="B46:D46">
    <cfRule type="expression" dxfId="1118" priority="37">
      <formula>MOD(ROW(),2)=1</formula>
    </cfRule>
  </conditionalFormatting>
  <conditionalFormatting sqref="D47:D49 B49:C49 E49:F49">
    <cfRule type="expression" dxfId="1117" priority="36">
      <formula>MOD(ROW(),2)=1</formula>
    </cfRule>
  </conditionalFormatting>
  <conditionalFormatting sqref="F49">
    <cfRule type="cellIs" dxfId="1116" priority="30" operator="lessThan">
      <formula>TODAY()</formula>
    </cfRule>
    <cfRule type="timePeriod" dxfId="1115" priority="31" timePeriod="last7Days">
      <formula>AND(TODAY()-FLOOR(F49,1)&lt;=6,FLOOR(F49,1)&lt;=TODAY())</formula>
    </cfRule>
    <cfRule type="timePeriod" dxfId="1114" priority="32" timePeriod="yesterday">
      <formula>FLOOR(F49,1)=TODAY()-1</formula>
    </cfRule>
    <cfRule type="timePeriod" dxfId="1113" priority="33" timePeriod="lastMonth">
      <formula>AND(MONTH(F49)=MONTH(EDATE(TODAY(),0-1)),YEAR(F49)=YEAR(EDATE(TODAY(),0-1)))</formula>
    </cfRule>
    <cfRule type="timePeriod" dxfId="1112" priority="34" timePeriod="yesterday">
      <formula>FLOOR(F49,1)=TODAY()-1</formula>
    </cfRule>
    <cfRule type="timePeriod" dxfId="1111" priority="35" timePeriod="today">
      <formula>FLOOR(F49,1)=TODAY()</formula>
    </cfRule>
  </conditionalFormatting>
  <conditionalFormatting sqref="B47:F48">
    <cfRule type="expression" dxfId="1110" priority="29">
      <formula>MOD(ROW(),2)=1</formula>
    </cfRule>
  </conditionalFormatting>
  <conditionalFormatting sqref="F47:F48">
    <cfRule type="cellIs" dxfId="1109" priority="23" operator="lessThan">
      <formula>TODAY()</formula>
    </cfRule>
    <cfRule type="timePeriod" dxfId="1108" priority="24" timePeriod="last7Days">
      <formula>AND(TODAY()-FLOOR(F47,1)&lt;=6,FLOOR(F47,1)&lt;=TODAY())</formula>
    </cfRule>
    <cfRule type="timePeriod" dxfId="1107" priority="25" timePeriod="yesterday">
      <formula>FLOOR(F47,1)=TODAY()-1</formula>
    </cfRule>
    <cfRule type="timePeriod" dxfId="1106" priority="26" timePeriod="lastMonth">
      <formula>AND(MONTH(F47)=MONTH(EDATE(TODAY(),0-1)),YEAR(F47)=YEAR(EDATE(TODAY(),0-1)))</formula>
    </cfRule>
    <cfRule type="timePeriod" dxfId="1105" priority="27" timePeriod="yesterday">
      <formula>FLOOR(F47,1)=TODAY()-1</formula>
    </cfRule>
    <cfRule type="timePeriod" dxfId="1104" priority="28" timePeriod="today">
      <formula>FLOOR(F47,1)=TODAY()</formula>
    </cfRule>
  </conditionalFormatting>
  <conditionalFormatting sqref="B50:D52">
    <cfRule type="expression" dxfId="1103" priority="22">
      <formula>MOD(ROW(),2)=1</formula>
    </cfRule>
  </conditionalFormatting>
  <conditionalFormatting sqref="B53:D53">
    <cfRule type="expression" dxfId="1102" priority="21">
      <formula>MOD(ROW(),2)=1</formula>
    </cfRule>
  </conditionalFormatting>
  <conditionalFormatting sqref="H7">
    <cfRule type="expression" dxfId="1101" priority="18">
      <formula>MOD(ROW(),2)=1</formula>
    </cfRule>
  </conditionalFormatting>
  <conditionalFormatting sqref="G7">
    <cfRule type="expression" dxfId="1100" priority="17">
      <formula>MOD(ROW(),2)=1</formula>
    </cfRule>
  </conditionalFormatting>
  <conditionalFormatting sqref="G89:H89 B82:C89 E89">
    <cfRule type="expression" dxfId="1099" priority="16">
      <formula>MOD(ROW(),2)=1</formula>
    </cfRule>
  </conditionalFormatting>
  <conditionalFormatting sqref="F81:F89">
    <cfRule type="expression" dxfId="1098" priority="15">
      <formula>MOD(ROW(),2)=1</formula>
    </cfRule>
  </conditionalFormatting>
  <conditionalFormatting sqref="E82:E88">
    <cfRule type="expression" dxfId="1097" priority="14">
      <formula>MOD(ROW(),2)=1</formula>
    </cfRule>
  </conditionalFormatting>
  <conditionalFormatting sqref="D89">
    <cfRule type="expression" dxfId="1096" priority="13">
      <formula>MOD(ROW(),2)=1</formula>
    </cfRule>
  </conditionalFormatting>
  <conditionalFormatting sqref="D82:D88">
    <cfRule type="expression" dxfId="1095" priority="12">
      <formula>MOD(ROW(),2)=1</formula>
    </cfRule>
  </conditionalFormatting>
  <conditionalFormatting sqref="H22:H25">
    <cfRule type="expression" dxfId="1094" priority="10">
      <formula>MOD(ROW(),2)=1</formula>
    </cfRule>
  </conditionalFormatting>
  <conditionalFormatting sqref="H8">
    <cfRule type="expression" dxfId="1093" priority="7">
      <formula>MOD(ROW(),2)=1</formula>
    </cfRule>
  </conditionalFormatting>
  <conditionalFormatting sqref="G82:H88">
    <cfRule type="expression" dxfId="1092" priority="5">
      <formula>MOD(ROW(),2)=1</formula>
    </cfRule>
  </conditionalFormatting>
  <conditionalFormatting sqref="G71:H72">
    <cfRule type="expression" dxfId="1091" priority="3">
      <formula>MOD(ROW(),2)=1</formula>
    </cfRule>
  </conditionalFormatting>
  <conditionalFormatting sqref="G59:H61">
    <cfRule type="expression" dxfId="1090" priority="1">
      <formula>MOD(ROW(),2)=1</formula>
    </cfRule>
  </conditionalFormatting>
  <printOptions horizontalCentered="1"/>
  <pageMargins left="0.51181102362204722" right="0.51181102362204722" top="0.51181102362204722" bottom="0.74803149606299213" header="0.19685039370078741" footer="0.31496062992125984"/>
  <pageSetup paperSize="9" fitToHeight="0" orientation="portrait" r:id="rId1"/>
  <headerFooter>
    <oddHeader>&amp;C&amp;"+,Bold"&amp;12&amp;K04-047Bill Paying&amp;"+,Regular" - CHECKLIST</oddHeader>
    <oddFooter>&amp;C&amp;K04+000Page &amp;P of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4" id="{06B1707A-D7FD-4B65-9095-3247AEFD2B4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</xm:sqref>
        </x14:conditionalFormatting>
        <x14:conditionalFormatting xmlns:xm="http://schemas.microsoft.com/office/excel/2006/main">
          <x14:cfRule type="iconSet" priority="83" id="{D24CE7C4-52B6-4AA7-852C-3802137698A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H58 H31:H56</xm:sqref>
        </x14:conditionalFormatting>
        <x14:conditionalFormatting xmlns:xm="http://schemas.microsoft.com/office/excel/2006/main">
          <x14:cfRule type="iconSet" priority="81" id="{9309EFF1-9E05-431F-A878-D90E138B3E5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A2</xm:sqref>
        </x14:conditionalFormatting>
        <x14:conditionalFormatting xmlns:xm="http://schemas.microsoft.com/office/excel/2006/main">
          <x14:cfRule type="iconSet" priority="80" id="{C156206B-399D-4A57-98CA-F23803DF5D8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</xm:sqref>
        </x14:conditionalFormatting>
        <x14:conditionalFormatting xmlns:xm="http://schemas.microsoft.com/office/excel/2006/main">
          <x14:cfRule type="iconSet" priority="79" id="{CE894FF4-4998-4BF0-A9BE-7E8C9F0651E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H10</xm:sqref>
        </x14:conditionalFormatting>
        <x14:conditionalFormatting xmlns:xm="http://schemas.microsoft.com/office/excel/2006/main">
          <x14:cfRule type="iconSet" priority="78" id="{1213A1E3-5C53-4DC8-B4B3-05BED64F942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H26</xm:sqref>
        </x14:conditionalFormatting>
        <x14:conditionalFormatting xmlns:xm="http://schemas.microsoft.com/office/excel/2006/main">
          <x14:cfRule type="iconSet" priority="77" id="{0CEBCFEE-66BD-4F02-85FA-888A4D60BC3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H31:H41</xm:sqref>
        </x14:conditionalFormatting>
        <x14:conditionalFormatting xmlns:xm="http://schemas.microsoft.com/office/excel/2006/main">
          <x14:cfRule type="iconSet" priority="85" id="{CAC3FD54-D5B1-463B-8186-0AB775DE613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H3:H6 H26:H30 H9:H21</xm:sqref>
        </x14:conditionalFormatting>
        <x14:conditionalFormatting xmlns:xm="http://schemas.microsoft.com/office/excel/2006/main">
          <x14:cfRule type="iconSet" priority="86" id="{1DE00090-142F-4571-9B19-D7BDD5F5DB6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A31</xm:sqref>
        </x14:conditionalFormatting>
        <x14:conditionalFormatting xmlns:xm="http://schemas.microsoft.com/office/excel/2006/main">
          <x14:cfRule type="iconSet" priority="50" id="{8975A94F-DE45-47B1-9B3F-E433A168836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A59</xm:sqref>
        </x14:conditionalFormatting>
        <x14:conditionalFormatting xmlns:xm="http://schemas.microsoft.com/office/excel/2006/main">
          <x14:cfRule type="iconSet" priority="87" id="{03ADC950-3257-4EED-A56F-FCCF44716DE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H90 H62:H70 H73:H81</xm:sqref>
        </x14:conditionalFormatting>
        <x14:conditionalFormatting xmlns:xm="http://schemas.microsoft.com/office/excel/2006/main">
          <x14:cfRule type="iconSet" priority="41" id="{29D1D368-84F7-483F-AAE4-F2FD5B0329F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H43:H57</xm:sqref>
        </x14:conditionalFormatting>
        <x14:conditionalFormatting xmlns:xm="http://schemas.microsoft.com/office/excel/2006/main">
          <x14:cfRule type="iconSet" priority="39" id="{E3C35779-B228-4B75-9BCA-F87B0E804A2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H43:H57</xm:sqref>
        </x14:conditionalFormatting>
        <x14:conditionalFormatting xmlns:xm="http://schemas.microsoft.com/office/excel/2006/main">
          <x14:cfRule type="iconSet" priority="20" id="{3B68D72A-6E4E-4360-A7EB-7C4DCAFF1BE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H42:H56</xm:sqref>
        </x14:conditionalFormatting>
        <x14:conditionalFormatting xmlns:xm="http://schemas.microsoft.com/office/excel/2006/main">
          <x14:cfRule type="iconSet" priority="19" id="{F28F5F7F-DC3F-4A82-A5A5-44424E19FD9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H7</xm:sqref>
        </x14:conditionalFormatting>
        <x14:conditionalFormatting xmlns:xm="http://schemas.microsoft.com/office/excel/2006/main">
          <x14:cfRule type="iconSet" priority="11" id="{EBA3BDAA-B520-429C-829C-0C1F8116E2F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H22:H25</xm:sqref>
        </x14:conditionalFormatting>
        <x14:conditionalFormatting xmlns:xm="http://schemas.microsoft.com/office/excel/2006/main">
          <x14:cfRule type="iconSet" priority="9" id="{BA3923DD-7F55-4DDD-968D-4B6A1B721EB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G21</xm:sqref>
        </x14:conditionalFormatting>
        <x14:conditionalFormatting xmlns:xm="http://schemas.microsoft.com/office/excel/2006/main">
          <x14:cfRule type="iconSet" priority="8" id="{50D58CAA-928F-4250-8BF5-0E849D9232A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H8</xm:sqref>
        </x14:conditionalFormatting>
        <x14:conditionalFormatting xmlns:xm="http://schemas.microsoft.com/office/excel/2006/main">
          <x14:cfRule type="iconSet" priority="6" id="{B819AD32-30CC-41AA-A174-6597C4297C3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H82:H88</xm:sqref>
        </x14:conditionalFormatting>
        <x14:conditionalFormatting xmlns:xm="http://schemas.microsoft.com/office/excel/2006/main">
          <x14:cfRule type="iconSet" priority="4" id="{09CD114D-24FA-4382-BD2B-B024463CE5F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H71:H72</xm:sqref>
        </x14:conditionalFormatting>
        <x14:conditionalFormatting xmlns:xm="http://schemas.microsoft.com/office/excel/2006/main">
          <x14:cfRule type="iconSet" priority="2" id="{05DB571E-6266-4CD6-8197-CFCAF4AD80B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H59:H61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6CC6-03CF-45CB-8B0C-7118B43ED759}">
  <sheetPr codeName="Sheet4">
    <tabColor rgb="FF002060"/>
    <pageSetUpPr autoPageBreaks="0" fitToPage="1"/>
  </sheetPr>
  <dimension ref="A1:M97"/>
  <sheetViews>
    <sheetView showGridLines="0" zoomScale="85" zoomScaleNormal="85" zoomScaleSheetLayoutView="85" zoomScalePageLayoutView="55" workbookViewId="0">
      <pane ySplit="1" topLeftCell="A50" activePane="bottomLeft" state="frozen"/>
      <selection activeCell="C73" sqref="C73"/>
      <selection pane="bottomLeft" activeCell="B86" sqref="B86"/>
    </sheetView>
  </sheetViews>
  <sheetFormatPr baseColWidth="10" defaultColWidth="9.140625" defaultRowHeight="21" customHeight="1" x14ac:dyDescent="0.25"/>
  <cols>
    <col min="1" max="1" width="17.85546875" style="57" customWidth="1"/>
    <col min="2" max="2" width="35.42578125" style="58" customWidth="1"/>
    <col min="3" max="3" width="24.28515625" style="82" customWidth="1"/>
    <col min="4" max="4" width="21.5703125" style="58" customWidth="1"/>
    <col min="5" max="5" width="39" style="83" customWidth="1"/>
    <col min="6" max="6" width="20.42578125" style="59" customWidth="1"/>
    <col min="7" max="7" width="21" style="59" customWidth="1"/>
    <col min="8" max="8" width="11.85546875" style="58" customWidth="1"/>
    <col min="9" max="9" width="9.140625" style="58"/>
    <col min="10" max="10" width="25.42578125" style="58" customWidth="1"/>
    <col min="11" max="16384" width="9.140625" style="58"/>
  </cols>
  <sheetData>
    <row r="1" spans="1:8" s="60" customFormat="1" ht="24" customHeight="1" x14ac:dyDescent="0.25">
      <c r="A1" s="81" t="s">
        <v>101</v>
      </c>
      <c r="B1" s="81" t="s">
        <v>143</v>
      </c>
      <c r="C1" s="99" t="s">
        <v>142</v>
      </c>
      <c r="D1" s="81" t="s">
        <v>102</v>
      </c>
      <c r="E1" s="99" t="s">
        <v>141</v>
      </c>
      <c r="F1" s="61" t="s">
        <v>103</v>
      </c>
      <c r="G1" s="106" t="s">
        <v>104</v>
      </c>
      <c r="H1" s="98" t="s">
        <v>105</v>
      </c>
    </row>
    <row r="2" spans="1:8" ht="18.600000000000001" customHeight="1" x14ac:dyDescent="0.3">
      <c r="A2" s="516" t="s">
        <v>122</v>
      </c>
      <c r="B2" s="62" t="s">
        <v>174</v>
      </c>
      <c r="C2" s="209" t="s">
        <v>212</v>
      </c>
      <c r="D2" s="63">
        <v>-6872.37</v>
      </c>
      <c r="E2" s="96" t="s">
        <v>188</v>
      </c>
      <c r="F2" s="64">
        <v>44607</v>
      </c>
      <c r="G2" s="64">
        <v>44607</v>
      </c>
      <c r="H2" s="88" t="s">
        <v>296</v>
      </c>
    </row>
    <row r="3" spans="1:8" ht="18.600000000000001" customHeight="1" x14ac:dyDescent="0.3">
      <c r="A3" s="516"/>
      <c r="B3" s="94" t="s">
        <v>174</v>
      </c>
      <c r="C3" s="164" t="s">
        <v>250</v>
      </c>
      <c r="D3" s="66">
        <v>-7391.12</v>
      </c>
      <c r="E3" s="68" t="s">
        <v>188</v>
      </c>
      <c r="F3" s="92">
        <v>44607</v>
      </c>
      <c r="G3" s="92">
        <v>44607</v>
      </c>
      <c r="H3" s="91" t="s">
        <v>296</v>
      </c>
    </row>
    <row r="4" spans="1:8" ht="18.600000000000001" customHeight="1" x14ac:dyDescent="0.3">
      <c r="A4" s="516"/>
      <c r="B4" s="65" t="s">
        <v>174</v>
      </c>
      <c r="C4" s="164" t="s">
        <v>281</v>
      </c>
      <c r="D4" s="66">
        <v>-5491.75</v>
      </c>
      <c r="E4" s="89" t="s">
        <v>188</v>
      </c>
      <c r="F4" s="67">
        <v>44607</v>
      </c>
      <c r="G4" s="67">
        <v>44607</v>
      </c>
      <c r="H4" s="88" t="s">
        <v>296</v>
      </c>
    </row>
    <row r="5" spans="1:8" ht="18.600000000000001" customHeight="1" x14ac:dyDescent="0.3">
      <c r="A5" s="516"/>
      <c r="B5" s="65" t="s">
        <v>323</v>
      </c>
      <c r="C5" s="164" t="s">
        <v>324</v>
      </c>
      <c r="D5" s="66">
        <v>-325.94</v>
      </c>
      <c r="E5" s="89" t="s">
        <v>477</v>
      </c>
      <c r="F5" s="67">
        <v>44612</v>
      </c>
      <c r="G5" s="67">
        <v>44613</v>
      </c>
      <c r="H5" s="88" t="s">
        <v>296</v>
      </c>
    </row>
    <row r="6" spans="1:8" ht="18.600000000000001" customHeight="1" x14ac:dyDescent="0.3">
      <c r="A6" s="516"/>
      <c r="B6" s="65" t="s">
        <v>357</v>
      </c>
      <c r="C6" s="164" t="s">
        <v>358</v>
      </c>
      <c r="D6" s="125">
        <v>480.02</v>
      </c>
      <c r="E6" s="89" t="s">
        <v>223</v>
      </c>
      <c r="F6" s="67">
        <v>44620</v>
      </c>
      <c r="G6" s="67"/>
      <c r="H6" s="88"/>
    </row>
    <row r="7" spans="1:8" ht="18.600000000000001" customHeight="1" x14ac:dyDescent="0.3">
      <c r="A7" s="516"/>
      <c r="B7" s="65" t="s">
        <v>357</v>
      </c>
      <c r="C7" s="164" t="s">
        <v>359</v>
      </c>
      <c r="D7" s="66">
        <v>-768.39</v>
      </c>
      <c r="E7" s="89" t="s">
        <v>225</v>
      </c>
      <c r="F7" s="67">
        <v>44620</v>
      </c>
      <c r="G7" s="67">
        <v>44620</v>
      </c>
      <c r="H7" s="88" t="s">
        <v>296</v>
      </c>
    </row>
    <row r="8" spans="1:8" ht="18.600000000000001" customHeight="1" x14ac:dyDescent="0.3">
      <c r="A8" s="516"/>
      <c r="B8" s="65" t="s">
        <v>243</v>
      </c>
      <c r="C8" s="164" t="s">
        <v>372</v>
      </c>
      <c r="D8" s="66">
        <v>-5068.74</v>
      </c>
      <c r="E8" s="89" t="s">
        <v>245</v>
      </c>
      <c r="F8" s="67">
        <v>44620</v>
      </c>
      <c r="G8" s="67">
        <v>44620</v>
      </c>
      <c r="H8" s="88" t="s">
        <v>296</v>
      </c>
    </row>
    <row r="9" spans="1:8" ht="18.600000000000001" customHeight="1" x14ac:dyDescent="0.3">
      <c r="A9" s="516"/>
      <c r="B9" s="65" t="s">
        <v>323</v>
      </c>
      <c r="C9" s="164" t="s">
        <v>362</v>
      </c>
      <c r="D9" s="66">
        <v>-324.45999999999998</v>
      </c>
      <c r="E9" s="89"/>
      <c r="F9" s="67">
        <v>44612</v>
      </c>
      <c r="G9" s="67">
        <v>44613</v>
      </c>
      <c r="H9" s="88" t="s">
        <v>296</v>
      </c>
    </row>
    <row r="10" spans="1:8" ht="18.600000000000001" customHeight="1" x14ac:dyDescent="0.3">
      <c r="A10" s="516"/>
      <c r="B10" s="65" t="s">
        <v>168</v>
      </c>
      <c r="C10" s="164" t="s">
        <v>377</v>
      </c>
      <c r="D10" s="66">
        <v>-1831.19</v>
      </c>
      <c r="E10" s="89" t="s">
        <v>188</v>
      </c>
      <c r="F10" s="67"/>
      <c r="G10" s="67">
        <v>44613</v>
      </c>
      <c r="H10" s="88" t="s">
        <v>296</v>
      </c>
    </row>
    <row r="11" spans="1:8" ht="18.600000000000001" customHeight="1" x14ac:dyDescent="0.3">
      <c r="A11" s="516"/>
      <c r="B11" s="65" t="s">
        <v>168</v>
      </c>
      <c r="C11" s="164" t="s">
        <v>378</v>
      </c>
      <c r="D11" s="66">
        <v>-2034.65</v>
      </c>
      <c r="E11" s="89" t="s">
        <v>188</v>
      </c>
      <c r="F11" s="67">
        <v>44612</v>
      </c>
      <c r="G11" s="67">
        <v>44613</v>
      </c>
      <c r="H11" s="88" t="s">
        <v>296</v>
      </c>
    </row>
    <row r="12" spans="1:8" ht="18.600000000000001" customHeight="1" x14ac:dyDescent="0.3">
      <c r="A12" s="516"/>
      <c r="B12" s="65" t="s">
        <v>168</v>
      </c>
      <c r="C12" s="164" t="s">
        <v>379</v>
      </c>
      <c r="D12" s="66">
        <v>-752.02</v>
      </c>
      <c r="E12" s="89" t="s">
        <v>188</v>
      </c>
      <c r="F12" s="67"/>
      <c r="G12" s="67">
        <v>44613</v>
      </c>
      <c r="H12" s="88" t="s">
        <v>296</v>
      </c>
    </row>
    <row r="13" spans="1:8" ht="18.600000000000001" customHeight="1" x14ac:dyDescent="0.3">
      <c r="A13" s="516"/>
      <c r="B13" s="65" t="s">
        <v>231</v>
      </c>
      <c r="C13" s="164" t="s">
        <v>383</v>
      </c>
      <c r="D13" s="66">
        <v>-240.11</v>
      </c>
      <c r="E13" s="89"/>
      <c r="F13" s="67">
        <v>44620</v>
      </c>
      <c r="G13" s="67">
        <v>44623</v>
      </c>
      <c r="H13" s="88" t="s">
        <v>296</v>
      </c>
    </row>
    <row r="14" spans="1:8" ht="18.600000000000001" customHeight="1" x14ac:dyDescent="0.3">
      <c r="A14" s="516"/>
      <c r="B14" s="65" t="s">
        <v>233</v>
      </c>
      <c r="C14" s="164" t="s">
        <v>396</v>
      </c>
      <c r="D14" s="66">
        <v>-3667.2</v>
      </c>
      <c r="E14" s="89" t="s">
        <v>397</v>
      </c>
      <c r="F14" s="67">
        <v>44620</v>
      </c>
      <c r="G14" s="67">
        <v>44620</v>
      </c>
      <c r="H14" s="88" t="s">
        <v>296</v>
      </c>
    </row>
    <row r="15" spans="1:8" ht="18.600000000000001" customHeight="1" x14ac:dyDescent="0.3">
      <c r="A15" s="516"/>
      <c r="B15" s="65" t="s">
        <v>233</v>
      </c>
      <c r="C15" s="164" t="s">
        <v>398</v>
      </c>
      <c r="D15" s="66">
        <v>-4928.88</v>
      </c>
      <c r="E15" s="89" t="s">
        <v>399</v>
      </c>
      <c r="F15" s="67">
        <v>44620</v>
      </c>
      <c r="G15" s="67">
        <v>44623</v>
      </c>
      <c r="H15" s="88" t="s">
        <v>296</v>
      </c>
    </row>
    <row r="16" spans="1:8" ht="18.600000000000001" customHeight="1" x14ac:dyDescent="0.3">
      <c r="A16" s="516"/>
      <c r="B16" s="65" t="s">
        <v>233</v>
      </c>
      <c r="C16" s="164" t="s">
        <v>400</v>
      </c>
      <c r="D16" s="66">
        <v>-3732.36</v>
      </c>
      <c r="E16" s="89" t="s">
        <v>236</v>
      </c>
      <c r="F16" s="67">
        <v>44620</v>
      </c>
      <c r="G16" s="67">
        <v>44620</v>
      </c>
      <c r="H16" s="88" t="s">
        <v>296</v>
      </c>
    </row>
    <row r="17" spans="1:8" ht="18.600000000000001" customHeight="1" x14ac:dyDescent="0.3">
      <c r="A17" s="516"/>
      <c r="B17" s="65" t="s">
        <v>233</v>
      </c>
      <c r="C17" s="164" t="s">
        <v>401</v>
      </c>
      <c r="D17" s="66">
        <v>-40573.919999999998</v>
      </c>
      <c r="E17" s="89" t="s">
        <v>188</v>
      </c>
      <c r="F17" s="67">
        <v>44620</v>
      </c>
      <c r="G17" s="67">
        <v>44623</v>
      </c>
      <c r="H17" s="88" t="s">
        <v>296</v>
      </c>
    </row>
    <row r="18" spans="1:8" ht="18.600000000000001" customHeight="1" x14ac:dyDescent="0.3">
      <c r="A18" s="516"/>
      <c r="B18" s="65" t="s">
        <v>258</v>
      </c>
      <c r="C18" s="164" t="s">
        <v>403</v>
      </c>
      <c r="D18" s="66">
        <v>-2332.25</v>
      </c>
      <c r="E18" s="89" t="s">
        <v>402</v>
      </c>
      <c r="F18" s="67">
        <v>44620</v>
      </c>
      <c r="G18" s="67">
        <v>44623</v>
      </c>
      <c r="H18" s="88" t="s">
        <v>296</v>
      </c>
    </row>
    <row r="19" spans="1:8" ht="18.600000000000001" customHeight="1" x14ac:dyDescent="0.3">
      <c r="A19" s="516"/>
      <c r="B19" s="65" t="s">
        <v>258</v>
      </c>
      <c r="C19" s="164" t="s">
        <v>404</v>
      </c>
      <c r="D19" s="66">
        <v>-689.4</v>
      </c>
      <c r="E19" s="89" t="s">
        <v>262</v>
      </c>
      <c r="F19" s="67">
        <v>44620</v>
      </c>
      <c r="G19" s="67">
        <v>44623</v>
      </c>
      <c r="H19" s="88" t="s">
        <v>296</v>
      </c>
    </row>
    <row r="20" spans="1:8" ht="18.600000000000001" customHeight="1" x14ac:dyDescent="0.3">
      <c r="A20" s="516"/>
      <c r="B20" s="65" t="s">
        <v>258</v>
      </c>
      <c r="C20" s="164" t="s">
        <v>405</v>
      </c>
      <c r="D20" s="66">
        <v>-29558.22</v>
      </c>
      <c r="E20" s="89" t="s">
        <v>220</v>
      </c>
      <c r="F20" s="67">
        <v>44620</v>
      </c>
      <c r="G20" s="67">
        <v>44623</v>
      </c>
      <c r="H20" s="88" t="s">
        <v>296</v>
      </c>
    </row>
    <row r="21" spans="1:8" ht="18.600000000000001" customHeight="1" x14ac:dyDescent="0.3">
      <c r="A21" s="516"/>
      <c r="B21" s="65" t="s">
        <v>258</v>
      </c>
      <c r="C21" s="164" t="s">
        <v>406</v>
      </c>
      <c r="D21" s="66">
        <v>-1980.92</v>
      </c>
      <c r="E21" s="89" t="s">
        <v>407</v>
      </c>
      <c r="F21" s="67">
        <v>44620</v>
      </c>
      <c r="G21" s="67">
        <v>44623</v>
      </c>
      <c r="H21" s="88" t="s">
        <v>296</v>
      </c>
    </row>
    <row r="22" spans="1:8" ht="18.600000000000001" customHeight="1" x14ac:dyDescent="0.3">
      <c r="A22" s="516"/>
      <c r="B22" s="65" t="s">
        <v>258</v>
      </c>
      <c r="C22" s="164" t="s">
        <v>408</v>
      </c>
      <c r="D22" s="66">
        <v>-330.25</v>
      </c>
      <c r="E22" s="89" t="s">
        <v>410</v>
      </c>
      <c r="F22" s="67">
        <v>44620</v>
      </c>
      <c r="G22" s="67">
        <v>44623</v>
      </c>
      <c r="H22" s="88" t="s">
        <v>296</v>
      </c>
    </row>
    <row r="23" spans="1:8" ht="18.600000000000001" customHeight="1" x14ac:dyDescent="0.3">
      <c r="A23" s="516"/>
      <c r="B23" s="65" t="s">
        <v>258</v>
      </c>
      <c r="C23" s="164" t="s">
        <v>409</v>
      </c>
      <c r="D23" s="66">
        <v>-510.52</v>
      </c>
      <c r="E23" s="89" t="s">
        <v>411</v>
      </c>
      <c r="F23" s="67">
        <v>44620</v>
      </c>
      <c r="G23" s="67">
        <v>44623</v>
      </c>
      <c r="H23" s="88" t="s">
        <v>296</v>
      </c>
    </row>
    <row r="24" spans="1:8" ht="18.600000000000001" customHeight="1" x14ac:dyDescent="0.3">
      <c r="A24" s="516"/>
      <c r="B24" s="65" t="s">
        <v>412</v>
      </c>
      <c r="C24" s="164" t="s">
        <v>413</v>
      </c>
      <c r="D24" s="66">
        <v>-711.5</v>
      </c>
      <c r="E24" s="89"/>
      <c r="F24" s="67">
        <v>44620</v>
      </c>
      <c r="G24" s="67">
        <v>44620</v>
      </c>
      <c r="H24" s="88" t="s">
        <v>296</v>
      </c>
    </row>
    <row r="25" spans="1:8" ht="18.600000000000001" customHeight="1" x14ac:dyDescent="0.3">
      <c r="A25" s="516"/>
      <c r="B25" s="65" t="s">
        <v>412</v>
      </c>
      <c r="C25" s="164" t="s">
        <v>414</v>
      </c>
      <c r="D25" s="66">
        <v>-1492.81</v>
      </c>
      <c r="E25" s="89" t="s">
        <v>416</v>
      </c>
      <c r="F25" s="67">
        <v>44620</v>
      </c>
      <c r="G25" s="67">
        <v>44620</v>
      </c>
      <c r="H25" s="88" t="s">
        <v>296</v>
      </c>
    </row>
    <row r="26" spans="1:8" ht="18.600000000000001" customHeight="1" x14ac:dyDescent="0.3">
      <c r="A26" s="516"/>
      <c r="B26" s="65" t="s">
        <v>412</v>
      </c>
      <c r="C26" s="164" t="s">
        <v>415</v>
      </c>
      <c r="D26" s="66">
        <v>-1658.73</v>
      </c>
      <c r="E26" s="89" t="s">
        <v>407</v>
      </c>
      <c r="F26" s="67">
        <v>44620</v>
      </c>
      <c r="G26" s="67">
        <v>44620</v>
      </c>
      <c r="H26" s="88" t="s">
        <v>296</v>
      </c>
    </row>
    <row r="27" spans="1:8" ht="18.600000000000001" customHeight="1" x14ac:dyDescent="0.3">
      <c r="A27" s="516"/>
      <c r="B27" s="65" t="s">
        <v>412</v>
      </c>
      <c r="C27" s="164" t="s">
        <v>417</v>
      </c>
      <c r="D27" s="66">
        <v>-99.28</v>
      </c>
      <c r="E27" s="89" t="s">
        <v>418</v>
      </c>
      <c r="F27" s="67">
        <v>44620</v>
      </c>
      <c r="G27" s="67">
        <v>44620</v>
      </c>
      <c r="H27" s="88" t="s">
        <v>296</v>
      </c>
    </row>
    <row r="28" spans="1:8" ht="18.600000000000001" customHeight="1" x14ac:dyDescent="0.3">
      <c r="A28" s="516"/>
      <c r="B28" s="65" t="s">
        <v>412</v>
      </c>
      <c r="C28" s="164" t="s">
        <v>420</v>
      </c>
      <c r="D28" s="66">
        <v>-28.71</v>
      </c>
      <c r="E28" s="89" t="s">
        <v>419</v>
      </c>
      <c r="F28" s="67">
        <v>44620</v>
      </c>
      <c r="G28" s="67">
        <v>44620</v>
      </c>
      <c r="H28" s="88" t="s">
        <v>296</v>
      </c>
    </row>
    <row r="29" spans="1:8" ht="18.600000000000001" customHeight="1" x14ac:dyDescent="0.3">
      <c r="A29" s="516"/>
      <c r="B29" s="65" t="s">
        <v>412</v>
      </c>
      <c r="C29" s="164" t="s">
        <v>421</v>
      </c>
      <c r="D29" s="66">
        <v>-457.84</v>
      </c>
      <c r="E29" s="89"/>
      <c r="F29" s="67">
        <v>44620</v>
      </c>
      <c r="G29" s="67">
        <v>44620</v>
      </c>
      <c r="H29" s="88" t="s">
        <v>296</v>
      </c>
    </row>
    <row r="30" spans="1:8" ht="18.600000000000001" customHeight="1" x14ac:dyDescent="0.3">
      <c r="A30" s="516"/>
      <c r="B30" s="236" t="s">
        <v>412</v>
      </c>
      <c r="C30" s="237" t="s">
        <v>422</v>
      </c>
      <c r="D30" s="238">
        <v>5829.9</v>
      </c>
      <c r="E30" s="239"/>
      <c r="F30" s="240">
        <v>44620</v>
      </c>
      <c r="G30" s="67">
        <v>44620</v>
      </c>
      <c r="H30" s="88" t="s">
        <v>296</v>
      </c>
    </row>
    <row r="31" spans="1:8" ht="18.600000000000001" customHeight="1" x14ac:dyDescent="0.3">
      <c r="A31" s="516"/>
      <c r="B31" s="65" t="s">
        <v>216</v>
      </c>
      <c r="C31" s="164" t="s">
        <v>329</v>
      </c>
      <c r="D31" s="66">
        <v>12.31</v>
      </c>
      <c r="E31" s="128"/>
      <c r="F31" s="67">
        <v>44594</v>
      </c>
      <c r="G31" s="92">
        <v>44624</v>
      </c>
      <c r="H31" s="91" t="s">
        <v>296</v>
      </c>
    </row>
    <row r="32" spans="1:8" ht="18.600000000000001" customHeight="1" x14ac:dyDescent="0.3">
      <c r="A32" s="516"/>
      <c r="B32" s="142" t="s">
        <v>254</v>
      </c>
      <c r="C32" s="366" t="s">
        <v>649</v>
      </c>
      <c r="D32" s="367">
        <v>-1305.31</v>
      </c>
      <c r="E32" s="143" t="s">
        <v>650</v>
      </c>
      <c r="F32" s="67"/>
      <c r="G32" s="92"/>
      <c r="H32" s="91"/>
    </row>
    <row r="33" spans="1:8" ht="18.600000000000001" customHeight="1" x14ac:dyDescent="0.3">
      <c r="A33" s="516"/>
      <c r="B33" s="65" t="s">
        <v>229</v>
      </c>
      <c r="C33" s="164" t="s">
        <v>442</v>
      </c>
      <c r="D33" s="66">
        <v>-126.19</v>
      </c>
      <c r="E33" s="89"/>
      <c r="F33" s="67">
        <v>44620</v>
      </c>
      <c r="G33" s="92">
        <v>44620</v>
      </c>
      <c r="H33" s="91" t="s">
        <v>296</v>
      </c>
    </row>
    <row r="34" spans="1:8" ht="18.600000000000001" customHeight="1" x14ac:dyDescent="0.3">
      <c r="A34" s="517"/>
      <c r="B34" s="166" t="s">
        <v>140</v>
      </c>
      <c r="C34" s="210"/>
      <c r="D34" s="167">
        <f>SUM(D2:D33)</f>
        <v>-118962.79999999999</v>
      </c>
      <c r="E34" s="87"/>
      <c r="F34" s="71"/>
      <c r="G34" s="71"/>
      <c r="H34" s="86"/>
    </row>
    <row r="35" spans="1:8" ht="18.600000000000001" customHeight="1" x14ac:dyDescent="0.3">
      <c r="A35" s="518" t="s">
        <v>123</v>
      </c>
      <c r="B35" s="215" t="s">
        <v>291</v>
      </c>
      <c r="C35" s="216"/>
      <c r="D35" s="217">
        <v>10078</v>
      </c>
      <c r="E35" s="218" t="s">
        <v>312</v>
      </c>
      <c r="F35" s="219">
        <v>44607</v>
      </c>
      <c r="G35" s="175">
        <v>44608</v>
      </c>
      <c r="H35" s="91" t="s">
        <v>296</v>
      </c>
    </row>
    <row r="36" spans="1:8" ht="18.600000000000001" customHeight="1" x14ac:dyDescent="0.3">
      <c r="A36" s="519"/>
      <c r="B36" s="177" t="s">
        <v>196</v>
      </c>
      <c r="C36" s="172" t="s">
        <v>199</v>
      </c>
      <c r="D36" s="173">
        <v>99.97</v>
      </c>
      <c r="E36" s="174" t="s">
        <v>200</v>
      </c>
      <c r="F36" s="175">
        <v>44597</v>
      </c>
      <c r="G36" s="175"/>
      <c r="H36" s="91" t="s">
        <v>296</v>
      </c>
    </row>
    <row r="37" spans="1:8" ht="18.600000000000001" customHeight="1" x14ac:dyDescent="0.3">
      <c r="A37" s="519"/>
      <c r="B37" s="177" t="s">
        <v>196</v>
      </c>
      <c r="C37" s="172" t="s">
        <v>201</v>
      </c>
      <c r="D37" s="173">
        <v>127.11</v>
      </c>
      <c r="E37" s="174" t="s">
        <v>200</v>
      </c>
      <c r="F37" s="175">
        <v>44597</v>
      </c>
      <c r="G37" s="175">
        <v>44599</v>
      </c>
      <c r="H37" s="91" t="s">
        <v>296</v>
      </c>
    </row>
    <row r="38" spans="1:8" ht="18.600000000000001" customHeight="1" x14ac:dyDescent="0.3">
      <c r="A38" s="519"/>
      <c r="B38" s="177" t="s">
        <v>196</v>
      </c>
      <c r="C38" s="172" t="s">
        <v>297</v>
      </c>
      <c r="D38" s="173">
        <v>100.82</v>
      </c>
      <c r="E38" s="174"/>
      <c r="F38" s="175">
        <v>44597</v>
      </c>
      <c r="G38" s="175">
        <v>44599</v>
      </c>
      <c r="H38" s="91" t="s">
        <v>296</v>
      </c>
    </row>
    <row r="39" spans="1:8" ht="18.600000000000001" customHeight="1" x14ac:dyDescent="0.3">
      <c r="A39" s="519"/>
      <c r="B39" s="177" t="s">
        <v>196</v>
      </c>
      <c r="C39" s="172" t="s">
        <v>298</v>
      </c>
      <c r="D39" s="173">
        <v>104.12</v>
      </c>
      <c r="E39" s="174"/>
      <c r="F39" s="175">
        <v>44597</v>
      </c>
      <c r="G39" s="175">
        <v>44599</v>
      </c>
      <c r="H39" s="91" t="s">
        <v>296</v>
      </c>
    </row>
    <row r="40" spans="1:8" ht="18.600000000000001" customHeight="1" x14ac:dyDescent="0.3">
      <c r="A40" s="519"/>
      <c r="B40" s="177" t="s">
        <v>196</v>
      </c>
      <c r="C40" s="172" t="s">
        <v>299</v>
      </c>
      <c r="D40" s="173">
        <v>71.319999999999993</v>
      </c>
      <c r="E40" s="174"/>
      <c r="F40" s="175">
        <v>44597</v>
      </c>
      <c r="G40" s="175">
        <v>44599</v>
      </c>
      <c r="H40" s="91" t="s">
        <v>296</v>
      </c>
    </row>
    <row r="41" spans="1:8" ht="18.600000000000001" customHeight="1" x14ac:dyDescent="0.3">
      <c r="A41" s="519"/>
      <c r="B41" s="177" t="s">
        <v>196</v>
      </c>
      <c r="C41" s="172" t="s">
        <v>300</v>
      </c>
      <c r="D41" s="173">
        <v>89.4</v>
      </c>
      <c r="E41" s="174"/>
      <c r="F41" s="175">
        <v>44597</v>
      </c>
      <c r="G41" s="175">
        <v>44599</v>
      </c>
      <c r="H41" s="91" t="s">
        <v>296</v>
      </c>
    </row>
    <row r="42" spans="1:8" ht="18.600000000000001" customHeight="1" x14ac:dyDescent="0.3">
      <c r="A42" s="519"/>
      <c r="B42" s="177" t="s">
        <v>282</v>
      </c>
      <c r="C42" s="172"/>
      <c r="D42" s="173">
        <v>50</v>
      </c>
      <c r="E42" s="174" t="s">
        <v>287</v>
      </c>
      <c r="F42" s="175">
        <v>44598</v>
      </c>
      <c r="G42" s="175">
        <v>44599</v>
      </c>
      <c r="H42" s="91" t="s">
        <v>296</v>
      </c>
    </row>
    <row r="43" spans="1:8" ht="18.600000000000001" customHeight="1" x14ac:dyDescent="0.3">
      <c r="A43" s="519"/>
      <c r="B43" s="230" t="s">
        <v>318</v>
      </c>
      <c r="C43" s="172" t="s">
        <v>319</v>
      </c>
      <c r="D43" s="173">
        <v>20.239999999999998</v>
      </c>
      <c r="E43" s="174" t="s">
        <v>320</v>
      </c>
      <c r="F43" s="175">
        <v>44599</v>
      </c>
      <c r="G43" s="175">
        <v>44599</v>
      </c>
      <c r="H43" s="91" t="s">
        <v>296</v>
      </c>
    </row>
    <row r="44" spans="1:8" ht="18.600000000000001" customHeight="1" x14ac:dyDescent="0.3">
      <c r="A44" s="519"/>
      <c r="B44" s="215" t="s">
        <v>307</v>
      </c>
      <c r="C44" s="216"/>
      <c r="D44" s="217">
        <v>3203.09</v>
      </c>
      <c r="E44" s="218" t="s">
        <v>395</v>
      </c>
      <c r="F44" s="219">
        <v>44599</v>
      </c>
      <c r="G44" s="175">
        <v>44599</v>
      </c>
      <c r="H44" s="91" t="s">
        <v>296</v>
      </c>
    </row>
    <row r="45" spans="1:8" ht="18.600000000000001" customHeight="1" x14ac:dyDescent="0.3">
      <c r="A45" s="519"/>
      <c r="B45" s="230" t="s">
        <v>318</v>
      </c>
      <c r="C45" s="172" t="s">
        <v>321</v>
      </c>
      <c r="D45" s="173">
        <v>163.77000000000001</v>
      </c>
      <c r="E45" s="174" t="s">
        <v>322</v>
      </c>
      <c r="F45" s="175">
        <v>44601</v>
      </c>
      <c r="G45" s="175">
        <v>44601</v>
      </c>
      <c r="H45" s="91" t="s">
        <v>296</v>
      </c>
    </row>
    <row r="46" spans="1:8" ht="18.600000000000001" customHeight="1" x14ac:dyDescent="0.3">
      <c r="A46" s="519"/>
      <c r="B46" s="215" t="s">
        <v>140</v>
      </c>
      <c r="C46" s="216" t="s">
        <v>380</v>
      </c>
      <c r="D46" s="217">
        <v>1966.62</v>
      </c>
      <c r="E46" s="218"/>
      <c r="F46" s="219">
        <v>44602</v>
      </c>
      <c r="G46" s="175">
        <v>44602</v>
      </c>
      <c r="H46" s="91" t="s">
        <v>296</v>
      </c>
    </row>
    <row r="47" spans="1:8" ht="18.600000000000001" customHeight="1" x14ac:dyDescent="0.3">
      <c r="A47" s="519"/>
      <c r="B47" s="177" t="s">
        <v>196</v>
      </c>
      <c r="C47" s="172" t="s">
        <v>197</v>
      </c>
      <c r="D47" s="173">
        <v>15.24</v>
      </c>
      <c r="E47" s="174" t="s">
        <v>198</v>
      </c>
      <c r="F47" s="175">
        <v>44607</v>
      </c>
      <c r="G47" s="175">
        <v>44607</v>
      </c>
      <c r="H47" s="91" t="s">
        <v>296</v>
      </c>
    </row>
    <row r="48" spans="1:8" ht="18.600000000000001" customHeight="1" x14ac:dyDescent="0.3">
      <c r="A48" s="519"/>
      <c r="B48" s="129" t="s">
        <v>196</v>
      </c>
      <c r="C48" s="164" t="s">
        <v>313</v>
      </c>
      <c r="D48" s="232">
        <v>50.31</v>
      </c>
      <c r="E48" s="225"/>
      <c r="F48" s="67">
        <v>44607</v>
      </c>
      <c r="G48" s="67">
        <v>44609</v>
      </c>
      <c r="H48" s="91" t="s">
        <v>296</v>
      </c>
    </row>
    <row r="49" spans="1:8" ht="18.600000000000001" customHeight="1" x14ac:dyDescent="0.3">
      <c r="A49" s="519"/>
      <c r="B49" s="129" t="s">
        <v>282</v>
      </c>
      <c r="C49" s="164"/>
      <c r="D49" s="66">
        <v>43</v>
      </c>
      <c r="E49" s="225"/>
      <c r="F49" s="67">
        <v>44612</v>
      </c>
      <c r="G49" s="67">
        <v>44613</v>
      </c>
      <c r="H49" s="91" t="s">
        <v>296</v>
      </c>
    </row>
    <row r="50" spans="1:8" ht="18.600000000000001" customHeight="1" x14ac:dyDescent="0.3">
      <c r="A50" s="519"/>
      <c r="B50" s="177" t="s">
        <v>282</v>
      </c>
      <c r="C50" s="172"/>
      <c r="D50" s="173">
        <v>31</v>
      </c>
      <c r="E50" s="174"/>
      <c r="F50" s="175">
        <v>44612</v>
      </c>
      <c r="G50" s="175">
        <v>44613</v>
      </c>
      <c r="H50" s="91" t="s">
        <v>296</v>
      </c>
    </row>
    <row r="51" spans="1:8" ht="18.600000000000001" customHeight="1" x14ac:dyDescent="0.3">
      <c r="A51" s="519"/>
      <c r="B51" s="177" t="s">
        <v>282</v>
      </c>
      <c r="C51" s="172"/>
      <c r="D51" s="173">
        <v>31</v>
      </c>
      <c r="E51" s="174"/>
      <c r="F51" s="175">
        <v>44612</v>
      </c>
      <c r="G51" s="175">
        <v>44613</v>
      </c>
      <c r="H51" s="91" t="s">
        <v>296</v>
      </c>
    </row>
    <row r="52" spans="1:8" ht="18.600000000000001" customHeight="1" x14ac:dyDescent="0.3">
      <c r="A52" s="519"/>
      <c r="B52" s="215" t="s">
        <v>292</v>
      </c>
      <c r="C52" s="216" t="s">
        <v>293</v>
      </c>
      <c r="D52" s="217">
        <v>5074</v>
      </c>
      <c r="E52" s="218"/>
      <c r="F52" s="219">
        <v>44612</v>
      </c>
      <c r="G52" s="175">
        <v>44609</v>
      </c>
      <c r="H52" s="91" t="s">
        <v>296</v>
      </c>
    </row>
    <row r="53" spans="1:8" ht="18.600000000000001" customHeight="1" x14ac:dyDescent="0.3">
      <c r="A53" s="519"/>
      <c r="B53" s="215" t="s">
        <v>294</v>
      </c>
      <c r="C53" s="216"/>
      <c r="D53" s="217">
        <v>1891.31</v>
      </c>
      <c r="E53" s="218"/>
      <c r="F53" s="219">
        <v>44612</v>
      </c>
      <c r="G53" s="175">
        <v>44617</v>
      </c>
      <c r="H53" s="91" t="s">
        <v>296</v>
      </c>
    </row>
    <row r="54" spans="1:8" ht="18.600000000000001" customHeight="1" x14ac:dyDescent="0.3">
      <c r="A54" s="519"/>
      <c r="B54" s="177" t="s">
        <v>282</v>
      </c>
      <c r="C54" s="172" t="s">
        <v>328</v>
      </c>
      <c r="D54" s="173">
        <v>36.54</v>
      </c>
      <c r="E54" s="174" t="s">
        <v>327</v>
      </c>
      <c r="F54" s="175">
        <v>44617</v>
      </c>
      <c r="G54" s="175">
        <v>44252</v>
      </c>
      <c r="H54" s="91" t="s">
        <v>296</v>
      </c>
    </row>
    <row r="55" spans="1:8" ht="18.600000000000001" customHeight="1" x14ac:dyDescent="0.3">
      <c r="A55" s="519"/>
      <c r="B55" s="215" t="s">
        <v>295</v>
      </c>
      <c r="C55" s="216"/>
      <c r="D55" s="217">
        <v>1500.57</v>
      </c>
      <c r="E55" s="218"/>
      <c r="F55" s="219">
        <v>44617</v>
      </c>
      <c r="G55" s="175">
        <v>44613</v>
      </c>
      <c r="H55" s="91" t="s">
        <v>296</v>
      </c>
    </row>
    <row r="56" spans="1:8" ht="18.600000000000001" customHeight="1" x14ac:dyDescent="0.3">
      <c r="A56" s="519"/>
      <c r="B56" s="177" t="s">
        <v>285</v>
      </c>
      <c r="C56" s="172" t="s">
        <v>286</v>
      </c>
      <c r="D56" s="173">
        <v>5283.09</v>
      </c>
      <c r="E56" s="174"/>
      <c r="F56" s="175">
        <v>44618</v>
      </c>
      <c r="G56" s="175">
        <v>44617</v>
      </c>
      <c r="H56" s="91" t="s">
        <v>296</v>
      </c>
    </row>
    <row r="57" spans="1:8" ht="18.600000000000001" customHeight="1" x14ac:dyDescent="0.3">
      <c r="A57" s="519"/>
      <c r="B57" s="215" t="s">
        <v>389</v>
      </c>
      <c r="C57" s="216" t="s">
        <v>390</v>
      </c>
      <c r="D57" s="217">
        <v>796.49</v>
      </c>
      <c r="E57" s="218" t="s">
        <v>188</v>
      </c>
      <c r="F57" s="219">
        <v>44620</v>
      </c>
      <c r="G57" s="175">
        <v>44620</v>
      </c>
      <c r="H57" s="91" t="s">
        <v>296</v>
      </c>
    </row>
    <row r="58" spans="1:8" ht="18.600000000000001" customHeight="1" x14ac:dyDescent="0.3">
      <c r="A58" s="519"/>
      <c r="B58" s="215" t="s">
        <v>423</v>
      </c>
      <c r="C58" s="216" t="s">
        <v>424</v>
      </c>
      <c r="D58" s="217">
        <v>936.1</v>
      </c>
      <c r="E58" s="218"/>
      <c r="F58" s="219">
        <v>44620</v>
      </c>
      <c r="G58" s="175" t="s">
        <v>478</v>
      </c>
      <c r="H58" s="91" t="s">
        <v>296</v>
      </c>
    </row>
    <row r="59" spans="1:8" ht="18.600000000000001" customHeight="1" x14ac:dyDescent="0.3">
      <c r="A59" s="519"/>
      <c r="B59" s="215" t="s">
        <v>430</v>
      </c>
      <c r="C59" s="216" t="s">
        <v>431</v>
      </c>
      <c r="D59" s="217">
        <v>1236</v>
      </c>
      <c r="E59" s="218" t="s">
        <v>432</v>
      </c>
      <c r="F59" s="175">
        <v>44617</v>
      </c>
      <c r="G59" s="175">
        <v>44617</v>
      </c>
      <c r="H59" s="91" t="s">
        <v>296</v>
      </c>
    </row>
    <row r="60" spans="1:8" ht="18.600000000000001" customHeight="1" x14ac:dyDescent="0.3">
      <c r="A60" s="519"/>
      <c r="B60" s="215" t="s">
        <v>282</v>
      </c>
      <c r="C60" s="216" t="s">
        <v>433</v>
      </c>
      <c r="D60" s="217">
        <v>43</v>
      </c>
      <c r="E60" s="218" t="s">
        <v>434</v>
      </c>
      <c r="F60" s="219">
        <v>44613</v>
      </c>
      <c r="G60" s="175">
        <v>44613</v>
      </c>
      <c r="H60" s="91" t="s">
        <v>296</v>
      </c>
    </row>
    <row r="61" spans="1:8" ht="18.600000000000001" customHeight="1" x14ac:dyDescent="0.3">
      <c r="A61" s="519"/>
      <c r="B61" s="215" t="s">
        <v>140</v>
      </c>
      <c r="C61" s="216" t="s">
        <v>443</v>
      </c>
      <c r="D61" s="217">
        <v>1748.92</v>
      </c>
      <c r="E61" s="218"/>
      <c r="F61" s="219">
        <v>44617</v>
      </c>
      <c r="G61" s="175">
        <v>44617</v>
      </c>
      <c r="H61" s="91" t="s">
        <v>296</v>
      </c>
    </row>
    <row r="62" spans="1:8" ht="18.600000000000001" customHeight="1" x14ac:dyDescent="0.3">
      <c r="A62" s="519"/>
      <c r="B62" s="215" t="s">
        <v>645</v>
      </c>
      <c r="C62" s="216" t="s">
        <v>646</v>
      </c>
      <c r="D62" s="217">
        <v>366.58</v>
      </c>
      <c r="E62" s="218" t="s">
        <v>188</v>
      </c>
      <c r="F62" s="219">
        <v>44681</v>
      </c>
      <c r="G62" s="175"/>
      <c r="H62" s="91"/>
    </row>
    <row r="63" spans="1:8" ht="18.600000000000001" customHeight="1" x14ac:dyDescent="0.3">
      <c r="A63" s="519"/>
      <c r="B63" s="215" t="s">
        <v>647</v>
      </c>
      <c r="C63" s="216" t="s">
        <v>648</v>
      </c>
      <c r="D63" s="217">
        <v>2363.02</v>
      </c>
      <c r="E63" s="218" t="s">
        <v>188</v>
      </c>
      <c r="F63" s="219">
        <v>44681</v>
      </c>
      <c r="G63" s="175"/>
      <c r="H63" s="91"/>
    </row>
    <row r="64" spans="1:8" ht="18.600000000000001" customHeight="1" x14ac:dyDescent="0.3">
      <c r="A64" s="519"/>
      <c r="B64" s="215"/>
      <c r="C64" s="216"/>
      <c r="D64" s="217"/>
      <c r="E64" s="218"/>
      <c r="F64" s="219"/>
      <c r="G64" s="175"/>
      <c r="H64" s="91"/>
    </row>
    <row r="65" spans="1:13" ht="18.600000000000001" customHeight="1" x14ac:dyDescent="0.3">
      <c r="A65" s="519"/>
      <c r="B65" s="215"/>
      <c r="C65" s="216"/>
      <c r="D65" s="217"/>
      <c r="E65" s="218"/>
      <c r="F65" s="219"/>
      <c r="G65" s="175"/>
      <c r="H65" s="91"/>
    </row>
    <row r="66" spans="1:13" ht="18.600000000000001" customHeight="1" x14ac:dyDescent="0.3">
      <c r="A66" s="520"/>
      <c r="B66" s="166" t="s">
        <v>140</v>
      </c>
      <c r="C66" s="211"/>
      <c r="D66" s="168">
        <f>SUM(D35:D65)</f>
        <v>37520.629999999997</v>
      </c>
      <c r="E66" s="87"/>
      <c r="F66" s="71"/>
      <c r="G66" s="71"/>
      <c r="H66" s="86"/>
    </row>
    <row r="67" spans="1:13" ht="18.600000000000001" customHeight="1" x14ac:dyDescent="0.3">
      <c r="A67" s="521" t="s">
        <v>124</v>
      </c>
      <c r="B67" s="65" t="s">
        <v>301</v>
      </c>
      <c r="C67" s="164" t="s">
        <v>302</v>
      </c>
      <c r="D67" s="66">
        <v>48</v>
      </c>
      <c r="E67" s="128"/>
      <c r="F67" s="67">
        <v>44594</v>
      </c>
      <c r="G67" s="67"/>
      <c r="H67" s="88"/>
    </row>
    <row r="68" spans="1:13" ht="18.600000000000001" customHeight="1" x14ac:dyDescent="0.3">
      <c r="A68" s="522"/>
      <c r="B68" s="65" t="s">
        <v>392</v>
      </c>
      <c r="C68" s="164" t="s">
        <v>393</v>
      </c>
      <c r="D68" s="66">
        <v>500</v>
      </c>
      <c r="E68" s="68" t="s">
        <v>394</v>
      </c>
      <c r="F68" s="67">
        <v>44599</v>
      </c>
      <c r="G68" s="67">
        <v>44599</v>
      </c>
      <c r="H68" s="88" t="s">
        <v>296</v>
      </c>
    </row>
    <row r="69" spans="1:13" ht="18.600000000000001" customHeight="1" x14ac:dyDescent="0.3">
      <c r="A69" s="522"/>
      <c r="B69" s="94" t="s">
        <v>360</v>
      </c>
      <c r="C69" s="164" t="s">
        <v>361</v>
      </c>
      <c r="D69" s="66">
        <v>600</v>
      </c>
      <c r="E69" s="93" t="s">
        <v>428</v>
      </c>
      <c r="F69" s="92">
        <v>44607</v>
      </c>
      <c r="G69" s="92">
        <v>44599</v>
      </c>
      <c r="H69" s="91" t="s">
        <v>296</v>
      </c>
    </row>
    <row r="70" spans="1:13" ht="18.600000000000001" customHeight="1" x14ac:dyDescent="0.3">
      <c r="A70" s="522"/>
      <c r="B70" s="131" t="s">
        <v>158</v>
      </c>
      <c r="C70" s="164" t="s">
        <v>213</v>
      </c>
      <c r="D70" s="66">
        <v>7717.52</v>
      </c>
      <c r="E70" s="68" t="s">
        <v>188</v>
      </c>
      <c r="F70" s="92">
        <v>44606</v>
      </c>
      <c r="G70" s="92">
        <v>44610</v>
      </c>
      <c r="H70" s="91"/>
      <c r="J70" s="76"/>
    </row>
    <row r="71" spans="1:13" ht="18.600000000000001" customHeight="1" x14ac:dyDescent="0.3">
      <c r="A71" s="522"/>
      <c r="B71" s="94" t="s">
        <v>340</v>
      </c>
      <c r="C71" s="164" t="s">
        <v>341</v>
      </c>
      <c r="D71" s="66">
        <v>1440</v>
      </c>
      <c r="E71" s="128"/>
      <c r="F71" s="92">
        <v>44607</v>
      </c>
      <c r="G71" s="92">
        <v>44609</v>
      </c>
      <c r="H71" s="91" t="s">
        <v>296</v>
      </c>
      <c r="J71" s="249"/>
    </row>
    <row r="72" spans="1:13" ht="18.600000000000001" customHeight="1" x14ac:dyDescent="0.3">
      <c r="A72" s="522"/>
      <c r="B72" s="94" t="s">
        <v>342</v>
      </c>
      <c r="C72" s="164" t="s">
        <v>343</v>
      </c>
      <c r="D72" s="66">
        <v>650</v>
      </c>
      <c r="E72" s="128" t="s">
        <v>188</v>
      </c>
      <c r="F72" s="92">
        <v>44607</v>
      </c>
      <c r="G72" s="92">
        <v>44592</v>
      </c>
      <c r="H72" s="91" t="s">
        <v>296</v>
      </c>
      <c r="I72" s="76"/>
      <c r="J72" s="76"/>
      <c r="K72" s="76"/>
      <c r="L72" s="76"/>
      <c r="M72" s="76"/>
    </row>
    <row r="73" spans="1:13" ht="18.600000000000001" customHeight="1" x14ac:dyDescent="0.3">
      <c r="A73" s="522"/>
      <c r="B73" s="94" t="s">
        <v>169</v>
      </c>
      <c r="C73" s="164"/>
      <c r="D73" s="66">
        <v>9000</v>
      </c>
      <c r="E73" s="128" t="s">
        <v>356</v>
      </c>
      <c r="F73" s="92">
        <v>44607</v>
      </c>
      <c r="G73" s="92">
        <v>44609</v>
      </c>
      <c r="H73" s="91" t="s">
        <v>296</v>
      </c>
      <c r="I73" s="76"/>
      <c r="J73" s="76"/>
      <c r="K73" s="76"/>
      <c r="L73" s="76"/>
      <c r="M73" s="76"/>
    </row>
    <row r="74" spans="1:13" ht="18.600000000000001" customHeight="1" x14ac:dyDescent="0.3">
      <c r="A74" s="522"/>
      <c r="B74" s="130" t="s">
        <v>386</v>
      </c>
      <c r="C74" s="164" t="s">
        <v>387</v>
      </c>
      <c r="D74" s="226">
        <v>883.54</v>
      </c>
      <c r="E74" s="225" t="s">
        <v>388</v>
      </c>
      <c r="F74" s="67">
        <v>44620</v>
      </c>
      <c r="G74" s="67"/>
      <c r="H74" s="88"/>
      <c r="J74" s="249"/>
    </row>
    <row r="75" spans="1:13" ht="18.600000000000001" customHeight="1" x14ac:dyDescent="0.3">
      <c r="A75" s="522"/>
      <c r="B75" s="130" t="s">
        <v>194</v>
      </c>
      <c r="C75" s="164" t="s">
        <v>242</v>
      </c>
      <c r="D75" s="66">
        <v>-4380.3999999999996</v>
      </c>
      <c r="E75" s="225" t="s">
        <v>188</v>
      </c>
      <c r="F75" s="67">
        <v>44620</v>
      </c>
      <c r="G75" s="67">
        <v>44624</v>
      </c>
      <c r="H75" s="88" t="s">
        <v>296</v>
      </c>
    </row>
    <row r="76" spans="1:13" ht="18.600000000000001" customHeight="1" x14ac:dyDescent="0.3">
      <c r="A76" s="522"/>
      <c r="B76" s="65" t="s">
        <v>248</v>
      </c>
      <c r="C76" s="164" t="s">
        <v>249</v>
      </c>
      <c r="D76" s="66">
        <v>-2937.12</v>
      </c>
      <c r="E76" s="234" t="s">
        <v>188</v>
      </c>
      <c r="F76" s="92">
        <v>44620</v>
      </c>
      <c r="G76" s="92">
        <v>44624</v>
      </c>
      <c r="H76" s="91" t="s">
        <v>296</v>
      </c>
    </row>
    <row r="77" spans="1:13" ht="18.600000000000001" customHeight="1" x14ac:dyDescent="0.3">
      <c r="A77" s="522"/>
      <c r="B77" s="65" t="s">
        <v>202</v>
      </c>
      <c r="C77" s="164" t="s">
        <v>350</v>
      </c>
      <c r="D77" s="66">
        <v>3297.78</v>
      </c>
      <c r="E77" s="89" t="s">
        <v>351</v>
      </c>
      <c r="F77" s="92">
        <v>44620</v>
      </c>
      <c r="G77" s="92">
        <v>44624</v>
      </c>
      <c r="H77" s="91" t="s">
        <v>296</v>
      </c>
      <c r="J77" s="76"/>
    </row>
    <row r="78" spans="1:13" ht="18.600000000000001" customHeight="1" x14ac:dyDescent="0.3">
      <c r="A78" s="522"/>
      <c r="B78" s="65" t="s">
        <v>202</v>
      </c>
      <c r="C78" s="164" t="s">
        <v>352</v>
      </c>
      <c r="D78" s="66">
        <v>16898.919999999998</v>
      </c>
      <c r="E78" s="93" t="s">
        <v>188</v>
      </c>
      <c r="F78" s="92">
        <v>44620</v>
      </c>
      <c r="G78" s="92">
        <v>44624</v>
      </c>
      <c r="H78" s="91" t="s">
        <v>296</v>
      </c>
      <c r="J78" s="249"/>
    </row>
    <row r="79" spans="1:13" ht="18.600000000000001" customHeight="1" x14ac:dyDescent="0.3">
      <c r="A79" s="522"/>
      <c r="B79" s="94" t="s">
        <v>202</v>
      </c>
      <c r="C79" s="164" t="s">
        <v>353</v>
      </c>
      <c r="D79" s="66">
        <v>5347.79</v>
      </c>
      <c r="E79" s="93" t="s">
        <v>351</v>
      </c>
      <c r="F79" s="92">
        <v>44620</v>
      </c>
      <c r="G79" s="92">
        <v>44624</v>
      </c>
      <c r="H79" s="91" t="s">
        <v>296</v>
      </c>
      <c r="J79" s="76"/>
    </row>
    <row r="80" spans="1:13" ht="18.600000000000001" customHeight="1" x14ac:dyDescent="0.3">
      <c r="A80" s="522"/>
      <c r="B80" s="94" t="s">
        <v>202</v>
      </c>
      <c r="C80" s="164" t="s">
        <v>354</v>
      </c>
      <c r="D80" s="66">
        <v>35016.949999999997</v>
      </c>
      <c r="E80" s="93" t="s">
        <v>188</v>
      </c>
      <c r="F80" s="92">
        <v>44620</v>
      </c>
      <c r="G80" s="92">
        <v>44264</v>
      </c>
      <c r="H80" s="91" t="s">
        <v>296</v>
      </c>
    </row>
    <row r="81" spans="1:8" ht="18.600000000000001" customHeight="1" x14ac:dyDescent="0.3">
      <c r="A81" s="522"/>
      <c r="B81" s="131" t="s">
        <v>246</v>
      </c>
      <c r="C81" s="164" t="s">
        <v>247</v>
      </c>
      <c r="D81" s="66">
        <v>-3960</v>
      </c>
      <c r="E81" s="234" t="s">
        <v>188</v>
      </c>
      <c r="F81" s="92">
        <v>44620</v>
      </c>
      <c r="G81" s="92">
        <v>44654</v>
      </c>
      <c r="H81" s="235" t="s">
        <v>296</v>
      </c>
    </row>
    <row r="82" spans="1:8" ht="18.600000000000001" customHeight="1" x14ac:dyDescent="0.3">
      <c r="A82" s="522"/>
      <c r="B82" s="94" t="s">
        <v>159</v>
      </c>
      <c r="C82" s="164" t="s">
        <v>331</v>
      </c>
      <c r="D82" s="66">
        <v>-1500</v>
      </c>
      <c r="E82" s="93" t="s">
        <v>188</v>
      </c>
      <c r="F82" s="92">
        <v>44620</v>
      </c>
      <c r="G82" s="92">
        <v>44623</v>
      </c>
      <c r="H82" s="91" t="s">
        <v>296</v>
      </c>
    </row>
    <row r="83" spans="1:8" ht="18.600000000000001" customHeight="1" x14ac:dyDescent="0.3">
      <c r="A83" s="522"/>
      <c r="B83" s="94" t="s">
        <v>159</v>
      </c>
      <c r="C83" s="164" t="s">
        <v>457</v>
      </c>
      <c r="D83" s="66"/>
      <c r="E83" s="250" t="s">
        <v>458</v>
      </c>
      <c r="F83" s="92">
        <v>44620</v>
      </c>
      <c r="G83" s="92">
        <v>44624</v>
      </c>
      <c r="H83" s="91" t="s">
        <v>296</v>
      </c>
    </row>
    <row r="84" spans="1:8" ht="18.600000000000001" customHeight="1" x14ac:dyDescent="0.3">
      <c r="A84" s="522"/>
      <c r="B84" s="94" t="s">
        <v>330</v>
      </c>
      <c r="C84" s="164" t="s">
        <v>444</v>
      </c>
      <c r="D84" s="66">
        <v>940</v>
      </c>
      <c r="E84" s="234" t="s">
        <v>445</v>
      </c>
      <c r="F84" s="92">
        <v>44602</v>
      </c>
      <c r="G84" s="92">
        <v>44629</v>
      </c>
      <c r="H84" s="91" t="s">
        <v>296</v>
      </c>
    </row>
    <row r="85" spans="1:8" ht="18.600000000000001" customHeight="1" x14ac:dyDescent="0.3">
      <c r="A85" s="522"/>
      <c r="B85" s="233" t="s">
        <v>371</v>
      </c>
      <c r="C85" s="172" t="s">
        <v>429</v>
      </c>
      <c r="D85" s="173">
        <v>-46851.78</v>
      </c>
      <c r="E85" s="179" t="s">
        <v>391</v>
      </c>
      <c r="F85" s="175">
        <v>44607</v>
      </c>
      <c r="G85" s="175">
        <v>44624</v>
      </c>
      <c r="H85" s="231" t="s">
        <v>296</v>
      </c>
    </row>
    <row r="86" spans="1:8" ht="18.600000000000001" customHeight="1" x14ac:dyDescent="0.3">
      <c r="A86" s="522"/>
      <c r="B86" s="94"/>
      <c r="C86" s="164"/>
      <c r="D86" s="66"/>
      <c r="E86" s="93"/>
      <c r="F86" s="92"/>
      <c r="G86" s="92"/>
      <c r="H86" s="91"/>
    </row>
    <row r="87" spans="1:8" ht="18.600000000000001" customHeight="1" x14ac:dyDescent="0.3">
      <c r="A87" s="522"/>
      <c r="B87" s="94"/>
      <c r="C87" s="164"/>
      <c r="D87" s="66"/>
      <c r="E87" s="93"/>
      <c r="F87" s="92"/>
      <c r="G87" s="92"/>
      <c r="H87" s="91"/>
    </row>
    <row r="88" spans="1:8" ht="18.600000000000001" customHeight="1" x14ac:dyDescent="0.3">
      <c r="A88" s="522"/>
      <c r="B88" s="94"/>
      <c r="C88" s="164"/>
      <c r="D88" s="66"/>
      <c r="E88" s="93"/>
      <c r="F88" s="92"/>
      <c r="G88" s="92"/>
      <c r="H88" s="91"/>
    </row>
    <row r="89" spans="1:8" ht="18.600000000000001" customHeight="1" x14ac:dyDescent="0.3">
      <c r="A89" s="522"/>
      <c r="B89" s="94" t="s">
        <v>382</v>
      </c>
      <c r="C89" s="164"/>
      <c r="D89" s="66">
        <v>-590</v>
      </c>
      <c r="E89" s="93" t="s">
        <v>427</v>
      </c>
      <c r="F89" s="92">
        <v>44231</v>
      </c>
      <c r="G89" s="92">
        <v>525.65</v>
      </c>
      <c r="H89" s="91" t="s">
        <v>296</v>
      </c>
    </row>
    <row r="90" spans="1:8" ht="18.600000000000001" customHeight="1" x14ac:dyDescent="0.3">
      <c r="A90" s="229"/>
      <c r="B90" s="94" t="s">
        <v>425</v>
      </c>
      <c r="C90" s="164"/>
      <c r="D90" s="95">
        <v>-2000</v>
      </c>
      <c r="E90" s="93" t="s">
        <v>426</v>
      </c>
      <c r="F90" s="92">
        <v>44602</v>
      </c>
      <c r="G90" s="92">
        <v>2408.15</v>
      </c>
      <c r="H90" s="91" t="s">
        <v>296</v>
      </c>
    </row>
    <row r="91" spans="1:8" ht="18.600000000000001" customHeight="1" x14ac:dyDescent="0.3">
      <c r="A91" s="229"/>
      <c r="B91" s="94"/>
      <c r="C91" s="164"/>
      <c r="D91" s="95"/>
      <c r="E91" s="93"/>
      <c r="F91" s="92"/>
      <c r="G91" s="92">
        <v>52.52</v>
      </c>
      <c r="H91" s="91"/>
    </row>
    <row r="92" spans="1:8" ht="18.600000000000001" customHeight="1" x14ac:dyDescent="0.3">
      <c r="A92" s="514" t="s">
        <v>125</v>
      </c>
      <c r="B92" s="169" t="s">
        <v>140</v>
      </c>
      <c r="C92" s="164"/>
      <c r="D92" s="170">
        <f>SUM(D67:D90)</f>
        <v>20121.200000000012</v>
      </c>
      <c r="E92" s="93"/>
      <c r="F92" s="92"/>
      <c r="G92" s="92">
        <v>4531.34</v>
      </c>
      <c r="H92" s="91"/>
    </row>
    <row r="93" spans="1:8" ht="18.600000000000001" customHeight="1" x14ac:dyDescent="0.3">
      <c r="A93" s="515"/>
      <c r="B93" s="72"/>
      <c r="C93" s="212"/>
      <c r="D93" s="73"/>
      <c r="E93" s="90"/>
      <c r="F93" s="74"/>
      <c r="G93" s="74">
        <v>1931.86</v>
      </c>
      <c r="H93" s="88"/>
    </row>
    <row r="94" spans="1:8" ht="18.600000000000001" customHeight="1" x14ac:dyDescent="0.3">
      <c r="A94" s="515"/>
      <c r="B94" s="65"/>
      <c r="C94" s="164"/>
      <c r="D94" s="66"/>
      <c r="E94" s="89"/>
      <c r="F94" s="67"/>
      <c r="G94" s="67"/>
      <c r="H94" s="88"/>
    </row>
    <row r="95" spans="1:8" ht="18.600000000000001" customHeight="1" x14ac:dyDescent="0.3">
      <c r="A95" s="515"/>
      <c r="B95" s="65"/>
      <c r="C95" s="164"/>
      <c r="D95" s="66"/>
      <c r="E95" s="89"/>
      <c r="F95" s="67"/>
      <c r="G95" s="67"/>
      <c r="H95" s="88"/>
    </row>
    <row r="96" spans="1:8" ht="21" customHeight="1" x14ac:dyDescent="0.3">
      <c r="A96" s="75" t="s">
        <v>126</v>
      </c>
      <c r="B96" s="69"/>
      <c r="C96" s="213"/>
      <c r="D96" s="70"/>
      <c r="E96" s="87"/>
      <c r="F96" s="71"/>
      <c r="G96" s="71"/>
      <c r="H96" s="86"/>
    </row>
    <row r="97" spans="2:5" ht="21" customHeight="1" x14ac:dyDescent="0.3">
      <c r="B97" s="76"/>
      <c r="C97" s="214"/>
      <c r="D97" s="85">
        <f>D92+D66+D34</f>
        <v>-61320.969999999979</v>
      </c>
      <c r="E97" s="84"/>
    </row>
  </sheetData>
  <sortState xmlns:xlrd2="http://schemas.microsoft.com/office/spreadsheetml/2017/richdata2" ref="B67:H86">
    <sortCondition ref="F67:F86"/>
  </sortState>
  <mergeCells count="4">
    <mergeCell ref="A92:A95"/>
    <mergeCell ref="A2:A34"/>
    <mergeCell ref="A35:A66"/>
    <mergeCell ref="A67:A89"/>
  </mergeCells>
  <phoneticPr fontId="70" type="noConversion"/>
  <conditionalFormatting sqref="B2:H2 H67 F70:H73 B66:H66 B86:H96 B68:H68 B4:H34 B70:D73 B74:H84">
    <cfRule type="expression" dxfId="1089" priority="167">
      <formula>MOD(ROW(),2)=1</formula>
    </cfRule>
  </conditionalFormatting>
  <conditionalFormatting sqref="F2">
    <cfRule type="timePeriod" dxfId="1088" priority="155" timePeriod="yesterday">
      <formula>FLOOR(F2,1)=TODAY()-1</formula>
    </cfRule>
    <cfRule type="timePeriod" dxfId="1087" priority="157" timePeriod="today">
      <formula>FLOOR(F2,1)=TODAY()</formula>
    </cfRule>
    <cfRule type="cellIs" dxfId="1086" priority="158" operator="lessThan">
      <formula>_xludf.today()</formula>
    </cfRule>
  </conditionalFormatting>
  <conditionalFormatting sqref="F2 F66 F86:F96 F4:F34 F70:F84">
    <cfRule type="cellIs" dxfId="1085" priority="150" operator="lessThan">
      <formula>TODAY()</formula>
    </cfRule>
    <cfRule type="timePeriod" dxfId="1084" priority="151" timePeriod="last7Days">
      <formula>AND(TODAY()-FLOOR(F2,1)&lt;=6,FLOOR(F2,1)&lt;=TODAY())</formula>
    </cfRule>
    <cfRule type="timePeriod" dxfId="1083" priority="152" timePeriod="yesterday">
      <formula>FLOOR(F2,1)=TODAY()-1</formula>
    </cfRule>
    <cfRule type="timePeriod" dxfId="1082" priority="153" timePeriod="lastMonth">
      <formula>AND(MONTH(F2)=MONTH(EDATE(TODAY(),0-1)),YEAR(F2)=YEAR(EDATE(TODAY(),0-1)))</formula>
    </cfRule>
    <cfRule type="timePeriod" dxfId="1081" priority="154" timePeriod="yesterday">
      <formula>FLOOR(F2,1)=TODAY()-1</formula>
    </cfRule>
    <cfRule type="timePeriod" dxfId="1080" priority="156" timePeriod="today">
      <formula>FLOOR(F2,1)=TODAY()</formula>
    </cfRule>
  </conditionalFormatting>
  <conditionalFormatting sqref="G67">
    <cfRule type="expression" dxfId="1079" priority="149">
      <formula>MOD(ROW(),2)=1</formula>
    </cfRule>
  </conditionalFormatting>
  <conditionalFormatting sqref="B67:F67 E70:E73">
    <cfRule type="expression" dxfId="1078" priority="136">
      <formula>MOD(ROW(),2)=1</formula>
    </cfRule>
  </conditionalFormatting>
  <conditionalFormatting sqref="F3:H3 B3:C3">
    <cfRule type="expression" dxfId="1077" priority="132">
      <formula>MOD(ROW(),2)=1</formula>
    </cfRule>
  </conditionalFormatting>
  <conditionalFormatting sqref="F3">
    <cfRule type="cellIs" dxfId="1076" priority="126" operator="lessThan">
      <formula>TODAY()</formula>
    </cfRule>
    <cfRule type="timePeriod" dxfId="1075" priority="127" timePeriod="last7Days">
      <formula>AND(TODAY()-FLOOR(F3,1)&lt;=6,FLOOR(F3,1)&lt;=TODAY())</formula>
    </cfRule>
    <cfRule type="timePeriod" dxfId="1074" priority="128" timePeriod="yesterday">
      <formula>FLOOR(F3,1)=TODAY()-1</formula>
    </cfRule>
    <cfRule type="timePeriod" dxfId="1073" priority="129" timePeriod="lastMonth">
      <formula>AND(MONTH(F3)=MONTH(EDATE(TODAY(),0-1)),YEAR(F3)=YEAR(EDATE(TODAY(),0-1)))</formula>
    </cfRule>
    <cfRule type="timePeriod" dxfId="1072" priority="130" timePeriod="yesterday">
      <formula>FLOOR(F3,1)=TODAY()-1</formula>
    </cfRule>
    <cfRule type="timePeriod" dxfId="1071" priority="131" timePeriod="today">
      <formula>FLOOR(F3,1)=TODAY()</formula>
    </cfRule>
  </conditionalFormatting>
  <conditionalFormatting sqref="E3 C3">
    <cfRule type="expression" dxfId="1070" priority="125">
      <formula>MOD(ROW(),2)=1</formula>
    </cfRule>
  </conditionalFormatting>
  <conditionalFormatting sqref="D3">
    <cfRule type="expression" dxfId="1069" priority="124">
      <formula>MOD(ROW(),2)=1</formula>
    </cfRule>
  </conditionalFormatting>
  <conditionalFormatting sqref="B35:G40">
    <cfRule type="expression" dxfId="1068" priority="112">
      <formula>MOD(ROW(),2)=1</formula>
    </cfRule>
  </conditionalFormatting>
  <conditionalFormatting sqref="D35:D40">
    <cfRule type="expression" dxfId="1067" priority="110">
      <formula>MOD(ROW(),2)=1</formula>
    </cfRule>
  </conditionalFormatting>
  <conditionalFormatting sqref="B41:G41">
    <cfRule type="expression" dxfId="1066" priority="108">
      <formula>MOD(ROW(),2)=1</formula>
    </cfRule>
  </conditionalFormatting>
  <conditionalFormatting sqref="D41">
    <cfRule type="expression" dxfId="1065" priority="106">
      <formula>MOD(ROW(),2)=1</formula>
    </cfRule>
  </conditionalFormatting>
  <conditionalFormatting sqref="B42:G42">
    <cfRule type="expression" dxfId="1064" priority="104">
      <formula>MOD(ROW(),2)=1</formula>
    </cfRule>
  </conditionalFormatting>
  <conditionalFormatting sqref="B42:D42">
    <cfRule type="expression" dxfId="1063" priority="103">
      <formula>MOD(ROW(),2)=1</formula>
    </cfRule>
  </conditionalFormatting>
  <conditionalFormatting sqref="D42">
    <cfRule type="expression" dxfId="1062" priority="102">
      <formula>MOD(ROW(),2)=1</formula>
    </cfRule>
  </conditionalFormatting>
  <conditionalFormatting sqref="B43:G43">
    <cfRule type="expression" dxfId="1061" priority="99">
      <formula>MOD(ROW(),2)=1</formula>
    </cfRule>
  </conditionalFormatting>
  <conditionalFormatting sqref="B43:G43">
    <cfRule type="expression" dxfId="1060" priority="97">
      <formula>MOD(ROW(),2)=1</formula>
    </cfRule>
  </conditionalFormatting>
  <conditionalFormatting sqref="B44:G47">
    <cfRule type="expression" dxfId="1059" priority="93">
      <formula>MOD(ROW(),2)=1</formula>
    </cfRule>
  </conditionalFormatting>
  <conditionalFormatting sqref="E44:G45 G46:G47 D44:D47">
    <cfRule type="expression" dxfId="1058" priority="91">
      <formula>MOD(ROW(),2)=1</formula>
    </cfRule>
  </conditionalFormatting>
  <conditionalFormatting sqref="B44:D44">
    <cfRule type="expression" dxfId="1057" priority="89">
      <formula>MOD(ROW(),2)=1</formula>
    </cfRule>
  </conditionalFormatting>
  <conditionalFormatting sqref="B45:D45">
    <cfRule type="expression" dxfId="1056" priority="88">
      <formula>MOD(ROW(),2)=1</formula>
    </cfRule>
  </conditionalFormatting>
  <conditionalFormatting sqref="D46:D47">
    <cfRule type="expression" dxfId="1055" priority="87">
      <formula>MOD(ROW(),2)=1</formula>
    </cfRule>
  </conditionalFormatting>
  <conditionalFormatting sqref="B46:F47">
    <cfRule type="expression" dxfId="1054" priority="80">
      <formula>MOD(ROW(),2)=1</formula>
    </cfRule>
  </conditionalFormatting>
  <conditionalFormatting sqref="F46:F47">
    <cfRule type="cellIs" dxfId="1053" priority="74" operator="lessThan">
      <formula>TODAY()</formula>
    </cfRule>
    <cfRule type="timePeriod" dxfId="1052" priority="75" timePeriod="last7Days">
      <formula>AND(TODAY()-FLOOR(F46,1)&lt;=6,FLOOR(F46,1)&lt;=TODAY())</formula>
    </cfRule>
    <cfRule type="timePeriod" dxfId="1051" priority="76" timePeriod="yesterday">
      <formula>FLOOR(F46,1)=TODAY()-1</formula>
    </cfRule>
    <cfRule type="timePeriod" dxfId="1050" priority="77" timePeriod="lastMonth">
      <formula>AND(MONTH(F46)=MONTH(EDATE(TODAY(),0-1)),YEAR(F46)=YEAR(EDATE(TODAY(),0-1)))</formula>
    </cfRule>
    <cfRule type="timePeriod" dxfId="1049" priority="78" timePeriod="yesterday">
      <formula>FLOOR(F46,1)=TODAY()-1</formula>
    </cfRule>
    <cfRule type="timePeriod" dxfId="1048" priority="79" timePeriod="today">
      <formula>FLOOR(F46,1)=TODAY()</formula>
    </cfRule>
  </conditionalFormatting>
  <conditionalFormatting sqref="B50:G50">
    <cfRule type="expression" dxfId="1047" priority="71">
      <formula>MOD(ROW(),2)=1</formula>
    </cfRule>
  </conditionalFormatting>
  <conditionalFormatting sqref="B50:G50">
    <cfRule type="expression" dxfId="1046" priority="69">
      <formula>MOD(ROW(),2)=1</formula>
    </cfRule>
  </conditionalFormatting>
  <conditionalFormatting sqref="F48:G49">
    <cfRule type="expression" dxfId="1045" priority="65">
      <formula>MOD(ROW(),2)=1</formula>
    </cfRule>
  </conditionalFormatting>
  <conditionalFormatting sqref="F48:F49">
    <cfRule type="cellIs" dxfId="1044" priority="59" operator="lessThan">
      <formula>TODAY()</formula>
    </cfRule>
    <cfRule type="timePeriod" dxfId="1043" priority="60" timePeriod="last7Days">
      <formula>AND(TODAY()-FLOOR(F48,1)&lt;=6,FLOOR(F48,1)&lt;=TODAY())</formula>
    </cfRule>
    <cfRule type="timePeriod" dxfId="1042" priority="61" timePeriod="yesterday">
      <formula>FLOOR(F48,1)=TODAY()-1</formula>
    </cfRule>
    <cfRule type="timePeriod" dxfId="1041" priority="62" timePeriod="lastMonth">
      <formula>AND(MONTH(F48)=MONTH(EDATE(TODAY(),0-1)),YEAR(F48)=YEAR(EDATE(TODAY(),0-1)))</formula>
    </cfRule>
    <cfRule type="timePeriod" dxfId="1040" priority="63" timePeriod="yesterday">
      <formula>FLOOR(F48,1)=TODAY()-1</formula>
    </cfRule>
    <cfRule type="timePeriod" dxfId="1039" priority="64" timePeriod="today">
      <formula>FLOOR(F48,1)=TODAY()</formula>
    </cfRule>
  </conditionalFormatting>
  <conditionalFormatting sqref="C48:E49">
    <cfRule type="expression" dxfId="1038" priority="58">
      <formula>MOD(ROW(),2)=1</formula>
    </cfRule>
  </conditionalFormatting>
  <conditionalFormatting sqref="B48:B49">
    <cfRule type="expression" dxfId="1037" priority="57">
      <formula>MOD(ROW(),2)=1</formula>
    </cfRule>
  </conditionalFormatting>
  <conditionalFormatting sqref="B51:G52">
    <cfRule type="expression" dxfId="1036" priority="55">
      <formula>MOD(ROW(),2)=1</formula>
    </cfRule>
  </conditionalFormatting>
  <conditionalFormatting sqref="G51 D51:D52 E52:G52">
    <cfRule type="expression" dxfId="1035" priority="53">
      <formula>MOD(ROW(),2)=1</formula>
    </cfRule>
  </conditionalFormatting>
  <conditionalFormatting sqref="B51:F51">
    <cfRule type="expression" dxfId="1034" priority="51">
      <formula>MOD(ROW(),2)=1</formula>
    </cfRule>
  </conditionalFormatting>
  <conditionalFormatting sqref="F51">
    <cfRule type="cellIs" dxfId="1033" priority="45" operator="lessThan">
      <formula>TODAY()</formula>
    </cfRule>
    <cfRule type="timePeriod" dxfId="1032" priority="46" timePeriod="last7Days">
      <formula>AND(TODAY()-FLOOR(F51,1)&lt;=6,FLOOR(F51,1)&lt;=TODAY())</formula>
    </cfRule>
    <cfRule type="timePeriod" dxfId="1031" priority="47" timePeriod="yesterday">
      <formula>FLOOR(F51,1)=TODAY()-1</formula>
    </cfRule>
    <cfRule type="timePeriod" dxfId="1030" priority="48" timePeriod="lastMonth">
      <formula>AND(MONTH(F51)=MONTH(EDATE(TODAY(),0-1)),YEAR(F51)=YEAR(EDATE(TODAY(),0-1)))</formula>
    </cfRule>
    <cfRule type="timePeriod" dxfId="1029" priority="49" timePeriod="yesterday">
      <formula>FLOOR(F51,1)=TODAY()-1</formula>
    </cfRule>
    <cfRule type="timePeriod" dxfId="1028" priority="50" timePeriod="today">
      <formula>FLOOR(F51,1)=TODAY()</formula>
    </cfRule>
  </conditionalFormatting>
  <conditionalFormatting sqref="B52:D52">
    <cfRule type="expression" dxfId="1027" priority="44">
      <formula>MOD(ROW(),2)=1</formula>
    </cfRule>
  </conditionalFormatting>
  <conditionalFormatting sqref="B55:G65">
    <cfRule type="expression" dxfId="1026" priority="41">
      <formula>MOD(ROW(),2)=1</formula>
    </cfRule>
  </conditionalFormatting>
  <conditionalFormatting sqref="G55:G65 D55:D65">
    <cfRule type="expression" dxfId="1025" priority="39">
      <formula>MOD(ROW(),2)=1</formula>
    </cfRule>
  </conditionalFormatting>
  <conditionalFormatting sqref="B55:F65">
    <cfRule type="expression" dxfId="1024" priority="37">
      <formula>MOD(ROW(),2)=1</formula>
    </cfRule>
  </conditionalFormatting>
  <conditionalFormatting sqref="F55:F65">
    <cfRule type="cellIs" dxfId="1023" priority="31" operator="lessThan">
      <formula>TODAY()</formula>
    </cfRule>
    <cfRule type="timePeriod" dxfId="1022" priority="32" timePeriod="last7Days">
      <formula>AND(TODAY()-FLOOR(F55,1)&lt;=6,FLOOR(F55,1)&lt;=TODAY())</formula>
    </cfRule>
    <cfRule type="timePeriod" dxfId="1021" priority="33" timePeriod="yesterday">
      <formula>FLOOR(F55,1)=TODAY()-1</formula>
    </cfRule>
    <cfRule type="timePeriod" dxfId="1020" priority="34" timePeriod="lastMonth">
      <formula>AND(MONTH(F55)=MONTH(EDATE(TODAY(),0-1)),YEAR(F55)=YEAR(EDATE(TODAY(),0-1)))</formula>
    </cfRule>
    <cfRule type="timePeriod" dxfId="1019" priority="35" timePeriod="yesterday">
      <formula>FLOOR(F55,1)=TODAY()-1</formula>
    </cfRule>
    <cfRule type="timePeriod" dxfId="1018" priority="36" timePeriod="today">
      <formula>FLOOR(F55,1)=TODAY()</formula>
    </cfRule>
  </conditionalFormatting>
  <conditionalFormatting sqref="B53:G53">
    <cfRule type="expression" dxfId="1017" priority="28">
      <formula>MOD(ROW(),2)=1</formula>
    </cfRule>
  </conditionalFormatting>
  <conditionalFormatting sqref="B53:G53">
    <cfRule type="expression" dxfId="1016" priority="26">
      <formula>MOD(ROW(),2)=1</formula>
    </cfRule>
  </conditionalFormatting>
  <conditionalFormatting sqref="B54:G54">
    <cfRule type="expression" dxfId="1015" priority="22">
      <formula>MOD(ROW(),2)=1</formula>
    </cfRule>
  </conditionalFormatting>
  <conditionalFormatting sqref="B54:G54">
    <cfRule type="expression" dxfId="1014" priority="20">
      <formula>MOD(ROW(),2)=1</formula>
    </cfRule>
  </conditionalFormatting>
  <conditionalFormatting sqref="B85:C85 E85:H85">
    <cfRule type="expression" dxfId="1013" priority="16">
      <formula>MOD(ROW(),2)=1</formula>
    </cfRule>
  </conditionalFormatting>
  <conditionalFormatting sqref="D85">
    <cfRule type="expression" dxfId="1012" priority="15">
      <formula>MOD(ROW(),2)=1</formula>
    </cfRule>
  </conditionalFormatting>
  <conditionalFormatting sqref="B69:H69">
    <cfRule type="expression" dxfId="1011" priority="10">
      <formula>MOD(ROW(),2)=1</formula>
    </cfRule>
  </conditionalFormatting>
  <conditionalFormatting sqref="F69">
    <cfRule type="cellIs" dxfId="1010" priority="4" operator="lessThan">
      <formula>TODAY()</formula>
    </cfRule>
    <cfRule type="timePeriod" dxfId="1009" priority="5" timePeriod="last7Days">
      <formula>AND(TODAY()-FLOOR(F69,1)&lt;=6,FLOOR(F69,1)&lt;=TODAY())</formula>
    </cfRule>
    <cfRule type="timePeriod" dxfId="1008" priority="6" timePeriod="yesterday">
      <formula>FLOOR(F69,1)=TODAY()-1</formula>
    </cfRule>
    <cfRule type="timePeriod" dxfId="1007" priority="7" timePeriod="lastMonth">
      <formula>AND(MONTH(F69)=MONTH(EDATE(TODAY(),0-1)),YEAR(F69)=YEAR(EDATE(TODAY(),0-1)))</formula>
    </cfRule>
    <cfRule type="timePeriod" dxfId="1006" priority="8" timePeriod="yesterday">
      <formula>FLOOR(F69,1)=TODAY()-1</formula>
    </cfRule>
    <cfRule type="timePeriod" dxfId="1005" priority="9" timePeriod="today">
      <formula>FLOOR(F69,1)=TODAY()</formula>
    </cfRule>
  </conditionalFormatting>
  <conditionalFormatting sqref="F59">
    <cfRule type="expression" dxfId="1004" priority="3">
      <formula>MOD(ROW(),2)=1</formula>
    </cfRule>
  </conditionalFormatting>
  <conditionalFormatting sqref="H35:H65">
    <cfRule type="expression" dxfId="1003" priority="1">
      <formula>MOD(ROW(),2)=1</formula>
    </cfRule>
  </conditionalFormatting>
  <printOptions horizontalCentered="1"/>
  <pageMargins left="0.51181102362204722" right="0.51181102362204722" top="0.51181102362204722" bottom="0.74803149606299213" header="0.19685039370078741" footer="0.31496062992125984"/>
  <pageSetup paperSize="9" scale="53" fitToHeight="0" orientation="portrait" r:id="rId1"/>
  <headerFooter>
    <oddHeader>&amp;C&amp;"+,Bold"&amp;12&amp;K04-047Bill Paying&amp;"+,Regular" - CHECKLIST</oddHeader>
    <oddFooter>&amp;C&amp;K04+000Page &amp;P of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8" id="{CE7BF25F-BB1E-4B43-8013-C33883A89A6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</xm:sqref>
        </x14:conditionalFormatting>
        <x14:conditionalFormatting xmlns:xm="http://schemas.microsoft.com/office/excel/2006/main">
          <x14:cfRule type="iconSet" priority="169" id="{9B4A9973-3519-4275-A930-BEF24D4E564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H93:H96</xm:sqref>
        </x14:conditionalFormatting>
        <x14:conditionalFormatting xmlns:xm="http://schemas.microsoft.com/office/excel/2006/main">
          <x14:cfRule type="iconSet" priority="166" id="{E8F3B3BB-1A06-468A-A2A7-87AF56444A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A92</xm:sqref>
        </x14:conditionalFormatting>
        <x14:conditionalFormatting xmlns:xm="http://schemas.microsoft.com/office/excel/2006/main">
          <x14:cfRule type="iconSet" priority="164" id="{D828D81A-17F0-40B3-AEEB-296AAFEA619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H66</xm:sqref>
        </x14:conditionalFormatting>
        <x14:conditionalFormatting xmlns:xm="http://schemas.microsoft.com/office/excel/2006/main">
          <x14:cfRule type="iconSet" priority="163" id="{5649B123-D299-463F-AD3C-94E59AEC43A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H66</xm:sqref>
        </x14:conditionalFormatting>
        <x14:conditionalFormatting xmlns:xm="http://schemas.microsoft.com/office/excel/2006/main">
          <x14:cfRule type="iconSet" priority="162" id="{DA799C10-3242-453D-ADC2-3846FE4690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H96</xm:sqref>
        </x14:conditionalFormatting>
        <x14:conditionalFormatting xmlns:xm="http://schemas.microsoft.com/office/excel/2006/main">
          <x14:cfRule type="iconSet" priority="161" id="{CC190E89-27F1-4A3F-BBF5-6532EBF78F8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H96</xm:sqref>
        </x14:conditionalFormatting>
        <x14:conditionalFormatting xmlns:xm="http://schemas.microsoft.com/office/excel/2006/main">
          <x14:cfRule type="iconSet" priority="160" id="{A346A1C6-C0F9-4F57-94F2-B123C7DBA54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H96</xm:sqref>
        </x14:conditionalFormatting>
        <x14:conditionalFormatting xmlns:xm="http://schemas.microsoft.com/office/excel/2006/main">
          <x14:cfRule type="iconSet" priority="159" id="{62A037AA-E3DB-45A4-B77C-A8A94EAEA1F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H96</xm:sqref>
        </x14:conditionalFormatting>
        <x14:conditionalFormatting xmlns:xm="http://schemas.microsoft.com/office/excel/2006/main">
          <x14:cfRule type="iconSet" priority="171" id="{0BE7F6FA-17C0-4A3C-B070-FF4BAA27CC4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A67 A35 A2</xm:sqref>
        </x14:conditionalFormatting>
        <x14:conditionalFormatting xmlns:xm="http://schemas.microsoft.com/office/excel/2006/main">
          <x14:cfRule type="iconSet" priority="173" id="{9CD6867A-306E-42BC-997F-1D7EB55BEBC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H66</xm:sqref>
        </x14:conditionalFormatting>
        <x14:conditionalFormatting xmlns:xm="http://schemas.microsoft.com/office/excel/2006/main">
          <x14:cfRule type="iconSet" priority="133" id="{FD92F326-FE60-4707-9405-AF7A371A801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</xm:sqref>
        </x14:conditionalFormatting>
        <x14:conditionalFormatting xmlns:xm="http://schemas.microsoft.com/office/excel/2006/main">
          <x14:cfRule type="iconSet" priority="670" id="{32E57F69-B2D1-4F76-A387-1DEF92E58AF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H86:H92 H74:H84</xm:sqref>
        </x14:conditionalFormatting>
        <x14:conditionalFormatting xmlns:xm="http://schemas.microsoft.com/office/excel/2006/main">
          <x14:cfRule type="iconSet" priority="17" id="{886C2E19-E873-4B7F-8DA6-24283295E50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H85</xm:sqref>
        </x14:conditionalFormatting>
        <x14:conditionalFormatting xmlns:xm="http://schemas.microsoft.com/office/excel/2006/main">
          <x14:cfRule type="iconSet" priority="11" id="{E23289A3-32D1-45DE-B2D0-47626B96F76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H69</xm:sqref>
        </x14:conditionalFormatting>
        <x14:conditionalFormatting xmlns:xm="http://schemas.microsoft.com/office/excel/2006/main">
          <x14:cfRule type="iconSet" priority="691" id="{1E60D149-A0A1-4CC1-BAB9-A0A0263668E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H4:H34</xm:sqref>
        </x14:conditionalFormatting>
        <x14:conditionalFormatting xmlns:xm="http://schemas.microsoft.com/office/excel/2006/main">
          <x14:cfRule type="iconSet" priority="2" id="{AA51A286-EB53-4092-8EB1-BFB63F70538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H35:H65</xm:sqref>
        </x14:conditionalFormatting>
        <x14:conditionalFormatting xmlns:xm="http://schemas.microsoft.com/office/excel/2006/main">
          <x14:cfRule type="iconSet" priority="1144" id="{F88CCCFD-94B3-4605-9E62-1439719120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H70:H73 H67:H68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519AC-CA7F-44D1-ADB4-A5CF1F0F1E90}">
  <sheetPr codeName="Sheet4">
    <tabColor rgb="FF002060"/>
    <pageSetUpPr autoPageBreaks="0" fitToPage="1"/>
  </sheetPr>
  <dimension ref="A1:M116"/>
  <sheetViews>
    <sheetView showGridLines="0" zoomScaleNormal="100" zoomScaleSheetLayoutView="85" zoomScalePageLayoutView="55" workbookViewId="0">
      <pane ySplit="1" topLeftCell="A83" activePane="bottomLeft" state="frozen"/>
      <selection activeCell="C73" sqref="C73"/>
      <selection pane="bottomLeft" activeCell="D100" sqref="D100"/>
    </sheetView>
  </sheetViews>
  <sheetFormatPr baseColWidth="10" defaultColWidth="9.140625" defaultRowHeight="21" customHeight="1" x14ac:dyDescent="0.25"/>
  <cols>
    <col min="1" max="1" width="22.85546875" style="122" customWidth="1"/>
    <col min="2" max="2" width="27.140625" style="105" customWidth="1"/>
    <col min="3" max="3" width="24.5703125" style="272" customWidth="1"/>
    <col min="4" max="4" width="24" style="123" customWidth="1"/>
    <col min="5" max="5" width="35.42578125" style="83" customWidth="1"/>
    <col min="6" max="6" width="20.42578125" style="120" customWidth="1"/>
    <col min="7" max="7" width="20.42578125" style="287" customWidth="1"/>
    <col min="8" max="8" width="21" style="83" customWidth="1"/>
    <col min="9" max="9" width="19.85546875" style="121" customWidth="1"/>
    <col min="10" max="11" width="9.140625" style="58"/>
    <col min="12" max="12" width="11.42578125" style="58" bestFit="1" customWidth="1"/>
    <col min="13" max="16384" width="9.140625" style="58"/>
  </cols>
  <sheetData>
    <row r="1" spans="1:12" s="163" customFormat="1" ht="24" customHeight="1" x14ac:dyDescent="0.25">
      <c r="A1" s="99" t="s">
        <v>101</v>
      </c>
      <c r="B1" s="99" t="s">
        <v>143</v>
      </c>
      <c r="C1" s="264" t="s">
        <v>142</v>
      </c>
      <c r="D1" s="99" t="s">
        <v>148</v>
      </c>
      <c r="E1" s="99" t="s">
        <v>141</v>
      </c>
      <c r="F1" s="99" t="s">
        <v>103</v>
      </c>
      <c r="G1" s="279" t="s">
        <v>487</v>
      </c>
      <c r="H1" s="99" t="s">
        <v>494</v>
      </c>
      <c r="I1" s="107" t="s">
        <v>105</v>
      </c>
    </row>
    <row r="2" spans="1:12" ht="18.600000000000001" customHeight="1" x14ac:dyDescent="0.25">
      <c r="A2" s="523" t="s">
        <v>122</v>
      </c>
      <c r="B2" s="289" t="s">
        <v>174</v>
      </c>
      <c r="C2" s="265" t="s">
        <v>325</v>
      </c>
      <c r="D2" s="275">
        <v>-229.32</v>
      </c>
      <c r="E2" s="89" t="s">
        <v>326</v>
      </c>
      <c r="F2" s="108">
        <v>44635</v>
      </c>
      <c r="G2" s="280">
        <v>-229.32</v>
      </c>
      <c r="H2" s="277">
        <f>D2-G2</f>
        <v>0</v>
      </c>
      <c r="I2" s="109" t="s">
        <v>296</v>
      </c>
    </row>
    <row r="3" spans="1:12" ht="18.600000000000001" customHeight="1" x14ac:dyDescent="0.25">
      <c r="A3" s="523"/>
      <c r="B3" s="289" t="s">
        <v>174</v>
      </c>
      <c r="C3" s="265" t="s">
        <v>384</v>
      </c>
      <c r="D3" s="110">
        <v>11986.99</v>
      </c>
      <c r="E3" s="89" t="s">
        <v>188</v>
      </c>
      <c r="F3" s="108">
        <v>44635</v>
      </c>
      <c r="G3" s="280">
        <v>11986.99</v>
      </c>
      <c r="H3" s="277">
        <f t="shared" ref="H3:H88" si="0">D3-G3</f>
        <v>0</v>
      </c>
      <c r="I3" s="109" t="s">
        <v>296</v>
      </c>
    </row>
    <row r="4" spans="1:12" ht="18.600000000000001" customHeight="1" x14ac:dyDescent="0.3">
      <c r="A4" s="523"/>
      <c r="B4" s="289" t="s">
        <v>174</v>
      </c>
      <c r="C4" s="265" t="s">
        <v>385</v>
      </c>
      <c r="D4" s="110">
        <v>11970.9</v>
      </c>
      <c r="E4" s="89" t="s">
        <v>188</v>
      </c>
      <c r="F4" s="108">
        <v>44635</v>
      </c>
      <c r="G4" s="280">
        <v>11970.9</v>
      </c>
      <c r="H4" s="277">
        <f t="shared" si="0"/>
        <v>0</v>
      </c>
      <c r="I4" s="109" t="s">
        <v>296</v>
      </c>
      <c r="K4" s="76" t="s">
        <v>481</v>
      </c>
    </row>
    <row r="5" spans="1:12" ht="18.600000000000001" customHeight="1" x14ac:dyDescent="0.3">
      <c r="A5" s="523"/>
      <c r="B5" s="289" t="s">
        <v>323</v>
      </c>
      <c r="C5" s="265" t="s">
        <v>466</v>
      </c>
      <c r="D5" s="110">
        <v>90</v>
      </c>
      <c r="E5" s="89" t="s">
        <v>467</v>
      </c>
      <c r="F5" s="108">
        <v>44640</v>
      </c>
      <c r="G5" s="280">
        <v>90</v>
      </c>
      <c r="H5" s="277">
        <f t="shared" si="0"/>
        <v>0</v>
      </c>
      <c r="I5" s="109" t="s">
        <v>296</v>
      </c>
      <c r="K5" s="249"/>
    </row>
    <row r="6" spans="1:12" ht="18.600000000000001" customHeight="1" x14ac:dyDescent="0.3">
      <c r="A6" s="523"/>
      <c r="B6" s="289" t="s">
        <v>323</v>
      </c>
      <c r="C6" s="265" t="s">
        <v>468</v>
      </c>
      <c r="D6" s="110">
        <v>292.7</v>
      </c>
      <c r="E6" s="89" t="s">
        <v>188</v>
      </c>
      <c r="F6" s="108">
        <v>44640</v>
      </c>
      <c r="G6" s="280">
        <v>292.7</v>
      </c>
      <c r="H6" s="277">
        <f t="shared" si="0"/>
        <v>0</v>
      </c>
      <c r="I6" s="109" t="s">
        <v>296</v>
      </c>
      <c r="K6" s="76"/>
    </row>
    <row r="7" spans="1:12" ht="18.600000000000001" customHeight="1" x14ac:dyDescent="0.3">
      <c r="A7" s="523"/>
      <c r="B7" s="289" t="s">
        <v>323</v>
      </c>
      <c r="C7" s="265" t="s">
        <v>469</v>
      </c>
      <c r="D7" s="110">
        <v>841.86</v>
      </c>
      <c r="E7" s="89" t="s">
        <v>188</v>
      </c>
      <c r="F7" s="108">
        <v>44640</v>
      </c>
      <c r="G7" s="280">
        <v>841.86</v>
      </c>
      <c r="H7" s="277">
        <f t="shared" si="0"/>
        <v>0</v>
      </c>
      <c r="I7" s="109" t="s">
        <v>296</v>
      </c>
      <c r="K7" s="76" t="s">
        <v>479</v>
      </c>
    </row>
    <row r="8" spans="1:12" ht="18.600000000000001" customHeight="1" x14ac:dyDescent="0.3">
      <c r="A8" s="523"/>
      <c r="B8" s="289" t="s">
        <v>323</v>
      </c>
      <c r="C8" s="265" t="s">
        <v>548</v>
      </c>
      <c r="D8" s="110">
        <v>973.25</v>
      </c>
      <c r="E8" s="89"/>
      <c r="F8" s="108">
        <v>44640</v>
      </c>
      <c r="G8" s="280">
        <v>973.25</v>
      </c>
      <c r="H8" s="277">
        <f t="shared" si="0"/>
        <v>0</v>
      </c>
      <c r="I8" s="109" t="s">
        <v>296</v>
      </c>
      <c r="K8" s="76"/>
    </row>
    <row r="9" spans="1:12" ht="18.600000000000001" customHeight="1" x14ac:dyDescent="0.3">
      <c r="A9" s="523"/>
      <c r="B9" s="289" t="s">
        <v>374</v>
      </c>
      <c r="C9" s="265" t="s">
        <v>459</v>
      </c>
      <c r="D9" s="110">
        <v>364.8</v>
      </c>
      <c r="E9" s="89" t="s">
        <v>188</v>
      </c>
      <c r="F9" s="108">
        <v>44651</v>
      </c>
      <c r="G9" s="280"/>
      <c r="H9" s="277">
        <f t="shared" si="0"/>
        <v>364.8</v>
      </c>
      <c r="I9" s="109"/>
      <c r="K9" s="502">
        <f>D114</f>
        <v>142521.15999999997</v>
      </c>
      <c r="L9" s="502"/>
    </row>
    <row r="10" spans="1:12" ht="18.600000000000001" customHeight="1" x14ac:dyDescent="0.3">
      <c r="A10" s="523"/>
      <c r="B10" s="289" t="s">
        <v>357</v>
      </c>
      <c r="C10" s="265" t="s">
        <v>471</v>
      </c>
      <c r="D10" s="110">
        <v>5937.68</v>
      </c>
      <c r="E10" s="89" t="s">
        <v>472</v>
      </c>
      <c r="F10" s="108">
        <v>44651</v>
      </c>
      <c r="G10" s="280">
        <v>5937.68</v>
      </c>
      <c r="H10" s="277">
        <f t="shared" si="0"/>
        <v>0</v>
      </c>
      <c r="I10" s="109"/>
      <c r="K10" s="76"/>
    </row>
    <row r="11" spans="1:12" ht="18.600000000000001" customHeight="1" x14ac:dyDescent="0.3">
      <c r="A11" s="523"/>
      <c r="B11" s="289" t="s">
        <v>357</v>
      </c>
      <c r="C11" s="265" t="s">
        <v>473</v>
      </c>
      <c r="D11" s="110">
        <v>78.349999999999994</v>
      </c>
      <c r="E11" s="89" t="s">
        <v>225</v>
      </c>
      <c r="F11" s="108">
        <v>44651</v>
      </c>
      <c r="G11" s="280">
        <v>78.349999999999994</v>
      </c>
      <c r="H11" s="277">
        <f t="shared" si="0"/>
        <v>0</v>
      </c>
      <c r="I11" s="109"/>
      <c r="K11" s="76" t="s">
        <v>480</v>
      </c>
    </row>
    <row r="12" spans="1:12" ht="18.600000000000001" customHeight="1" x14ac:dyDescent="0.3">
      <c r="A12" s="523"/>
      <c r="B12" s="289" t="s">
        <v>231</v>
      </c>
      <c r="C12" s="265" t="s">
        <v>493</v>
      </c>
      <c r="D12" s="110">
        <v>237.48</v>
      </c>
      <c r="E12" s="89"/>
      <c r="F12" s="108">
        <v>44651</v>
      </c>
      <c r="G12" s="280">
        <v>237.48</v>
      </c>
      <c r="H12" s="277">
        <f t="shared" si="0"/>
        <v>0</v>
      </c>
      <c r="I12" s="288">
        <v>44651</v>
      </c>
      <c r="K12" s="502">
        <f>D42</f>
        <v>115247.60999999997</v>
      </c>
      <c r="L12" s="502"/>
    </row>
    <row r="13" spans="1:12" ht="18.600000000000001" customHeight="1" x14ac:dyDescent="0.25">
      <c r="A13" s="523"/>
      <c r="B13" s="289" t="s">
        <v>254</v>
      </c>
      <c r="C13" s="265" t="s">
        <v>497</v>
      </c>
      <c r="D13" s="110">
        <v>109.42</v>
      </c>
      <c r="E13" s="89" t="s">
        <v>498</v>
      </c>
      <c r="F13" s="108">
        <v>44651</v>
      </c>
      <c r="G13" s="280">
        <v>109.42</v>
      </c>
      <c r="H13" s="277">
        <f t="shared" si="0"/>
        <v>0</v>
      </c>
      <c r="I13" s="288">
        <v>44651</v>
      </c>
    </row>
    <row r="14" spans="1:12" ht="18.600000000000001" customHeight="1" x14ac:dyDescent="0.3">
      <c r="A14" s="523"/>
      <c r="B14" s="289" t="s">
        <v>254</v>
      </c>
      <c r="C14" s="265" t="s">
        <v>499</v>
      </c>
      <c r="D14" s="110">
        <v>56.71</v>
      </c>
      <c r="E14" s="89" t="s">
        <v>419</v>
      </c>
      <c r="F14" s="108">
        <v>44651</v>
      </c>
      <c r="G14" s="280">
        <v>56.71</v>
      </c>
      <c r="H14" s="277">
        <f t="shared" si="0"/>
        <v>0</v>
      </c>
      <c r="I14" s="288">
        <v>44651</v>
      </c>
      <c r="K14" s="76" t="s">
        <v>495</v>
      </c>
    </row>
    <row r="15" spans="1:12" ht="18.600000000000001" customHeight="1" x14ac:dyDescent="0.3">
      <c r="A15" s="523"/>
      <c r="B15" s="289" t="s">
        <v>254</v>
      </c>
      <c r="C15" s="265" t="s">
        <v>500</v>
      </c>
      <c r="D15" s="110">
        <v>2926.72</v>
      </c>
      <c r="E15" s="89" t="s">
        <v>239</v>
      </c>
      <c r="F15" s="108">
        <v>44651</v>
      </c>
      <c r="G15" s="280">
        <v>2926.72</v>
      </c>
      <c r="H15" s="277">
        <f t="shared" si="0"/>
        <v>0</v>
      </c>
      <c r="I15" s="288">
        <v>44651</v>
      </c>
      <c r="K15" s="502">
        <f>+D114</f>
        <v>142521.15999999997</v>
      </c>
      <c r="L15" s="502"/>
    </row>
    <row r="16" spans="1:12" ht="18.600000000000001" customHeight="1" x14ac:dyDescent="0.25">
      <c r="A16" s="523"/>
      <c r="B16" s="289" t="s">
        <v>254</v>
      </c>
      <c r="C16" s="265" t="s">
        <v>501</v>
      </c>
      <c r="D16" s="110">
        <v>68.37</v>
      </c>
      <c r="E16" s="89" t="s">
        <v>188</v>
      </c>
      <c r="F16" s="108">
        <v>44651</v>
      </c>
      <c r="G16" s="281">
        <v>68.37</v>
      </c>
      <c r="H16" s="277">
        <f t="shared" si="0"/>
        <v>0</v>
      </c>
      <c r="I16" s="288">
        <v>44651</v>
      </c>
    </row>
    <row r="17" spans="1:13" ht="18.600000000000001" customHeight="1" x14ac:dyDescent="0.3">
      <c r="A17" s="523"/>
      <c r="B17" s="289" t="s">
        <v>254</v>
      </c>
      <c r="C17" s="265" t="s">
        <v>502</v>
      </c>
      <c r="D17" s="110">
        <v>278.70999999999998</v>
      </c>
      <c r="E17" s="89" t="s">
        <v>188</v>
      </c>
      <c r="F17" s="108">
        <v>44651</v>
      </c>
      <c r="G17" s="281">
        <v>278.70999999999998</v>
      </c>
      <c r="H17" s="277">
        <f t="shared" si="0"/>
        <v>0</v>
      </c>
      <c r="I17" s="288">
        <v>44651</v>
      </c>
      <c r="K17" s="76" t="s">
        <v>482</v>
      </c>
    </row>
    <row r="18" spans="1:13" ht="18.600000000000001" customHeight="1" x14ac:dyDescent="0.3">
      <c r="A18" s="523"/>
      <c r="B18" s="289" t="s">
        <v>254</v>
      </c>
      <c r="C18" s="265" t="s">
        <v>503</v>
      </c>
      <c r="D18" s="110">
        <v>304.87</v>
      </c>
      <c r="E18" s="89" t="s">
        <v>193</v>
      </c>
      <c r="F18" s="111">
        <v>44651</v>
      </c>
      <c r="G18" s="281">
        <v>304.87</v>
      </c>
      <c r="H18" s="277">
        <f t="shared" si="0"/>
        <v>0</v>
      </c>
      <c r="I18" s="288">
        <v>44651</v>
      </c>
      <c r="K18" s="503">
        <f>K12+K9</f>
        <v>257768.76999999996</v>
      </c>
      <c r="L18" s="503"/>
      <c r="M18" s="503"/>
    </row>
    <row r="19" spans="1:13" ht="18.600000000000001" customHeight="1" x14ac:dyDescent="0.25">
      <c r="A19" s="523"/>
      <c r="B19" s="289" t="s">
        <v>254</v>
      </c>
      <c r="C19" s="265" t="s">
        <v>504</v>
      </c>
      <c r="D19" s="110">
        <v>26.17</v>
      </c>
      <c r="E19" s="89"/>
      <c r="F19" s="111">
        <v>44651</v>
      </c>
      <c r="G19" s="281">
        <v>26.17</v>
      </c>
      <c r="H19" s="277">
        <f t="shared" si="0"/>
        <v>0</v>
      </c>
      <c r="I19" s="288">
        <v>44651</v>
      </c>
    </row>
    <row r="20" spans="1:13" ht="18.600000000000001" customHeight="1" x14ac:dyDescent="0.25">
      <c r="A20" s="523"/>
      <c r="B20" s="289" t="s">
        <v>254</v>
      </c>
      <c r="C20" s="265" t="s">
        <v>505</v>
      </c>
      <c r="D20" s="110">
        <v>109.63</v>
      </c>
      <c r="E20" s="89" t="s">
        <v>407</v>
      </c>
      <c r="F20" s="108">
        <v>44651</v>
      </c>
      <c r="G20" s="281">
        <v>109.63</v>
      </c>
      <c r="H20" s="277">
        <f t="shared" si="0"/>
        <v>0</v>
      </c>
      <c r="I20" s="288">
        <v>44651</v>
      </c>
    </row>
    <row r="21" spans="1:13" ht="18.600000000000001" customHeight="1" x14ac:dyDescent="0.25">
      <c r="A21" s="523"/>
      <c r="B21" s="289" t="s">
        <v>254</v>
      </c>
      <c r="C21" s="265" t="s">
        <v>506</v>
      </c>
      <c r="D21" s="110">
        <v>154.81</v>
      </c>
      <c r="E21" s="89"/>
      <c r="F21" s="111">
        <v>44651</v>
      </c>
      <c r="G21" s="281">
        <v>154.81</v>
      </c>
      <c r="H21" s="277">
        <f t="shared" si="0"/>
        <v>0</v>
      </c>
      <c r="I21" s="288">
        <v>44651</v>
      </c>
    </row>
    <row r="22" spans="1:13" ht="18.600000000000001" customHeight="1" x14ac:dyDescent="0.25">
      <c r="A22" s="523"/>
      <c r="B22" s="289" t="s">
        <v>254</v>
      </c>
      <c r="C22" s="265" t="s">
        <v>507</v>
      </c>
      <c r="D22" s="110">
        <v>937.71</v>
      </c>
      <c r="E22" s="89"/>
      <c r="F22" s="111">
        <v>44651</v>
      </c>
      <c r="G22" s="281">
        <v>937.71</v>
      </c>
      <c r="H22" s="277">
        <f t="shared" si="0"/>
        <v>0</v>
      </c>
      <c r="I22" s="288">
        <v>44651</v>
      </c>
    </row>
    <row r="23" spans="1:13" ht="18.600000000000001" customHeight="1" x14ac:dyDescent="0.25">
      <c r="A23" s="523"/>
      <c r="B23" s="289" t="s">
        <v>256</v>
      </c>
      <c r="C23" s="265"/>
      <c r="D23" s="110">
        <v>5829.72</v>
      </c>
      <c r="E23" s="89"/>
      <c r="F23" s="111">
        <v>44651</v>
      </c>
      <c r="G23" s="281">
        <v>5829.72</v>
      </c>
      <c r="H23" s="277">
        <f t="shared" si="0"/>
        <v>0</v>
      </c>
      <c r="I23" s="288">
        <v>44651</v>
      </c>
    </row>
    <row r="24" spans="1:13" ht="18.600000000000001" customHeight="1" x14ac:dyDescent="0.25">
      <c r="A24" s="523"/>
      <c r="B24" s="289" t="s">
        <v>514</v>
      </c>
      <c r="C24" s="265" t="s">
        <v>515</v>
      </c>
      <c r="D24" s="110">
        <v>213.61</v>
      </c>
      <c r="E24" s="89"/>
      <c r="F24" s="111">
        <v>44651</v>
      </c>
      <c r="G24" s="281">
        <v>213.61</v>
      </c>
      <c r="H24" s="277">
        <f t="shared" si="0"/>
        <v>0</v>
      </c>
      <c r="I24" s="288">
        <v>44651</v>
      </c>
    </row>
    <row r="25" spans="1:13" ht="18.600000000000001" customHeight="1" x14ac:dyDescent="0.25">
      <c r="A25" s="523"/>
      <c r="B25" s="289" t="s">
        <v>258</v>
      </c>
      <c r="C25" s="265" t="s">
        <v>516</v>
      </c>
      <c r="D25" s="110">
        <v>2985.02</v>
      </c>
      <c r="E25" s="89" t="s">
        <v>549</v>
      </c>
      <c r="F25" s="111">
        <v>44651</v>
      </c>
      <c r="G25" s="281">
        <v>2985.02</v>
      </c>
      <c r="H25" s="277">
        <f t="shared" si="0"/>
        <v>0</v>
      </c>
      <c r="I25" s="288">
        <v>44651</v>
      </c>
    </row>
    <row r="26" spans="1:13" ht="18.600000000000001" customHeight="1" x14ac:dyDescent="0.25">
      <c r="A26" s="523"/>
      <c r="B26" s="289" t="s">
        <v>258</v>
      </c>
      <c r="C26" s="265" t="s">
        <v>517</v>
      </c>
      <c r="D26" s="110">
        <v>2697.19</v>
      </c>
      <c r="E26" s="89" t="s">
        <v>271</v>
      </c>
      <c r="F26" s="111">
        <v>44651</v>
      </c>
      <c r="G26" s="281">
        <v>2697.19</v>
      </c>
      <c r="H26" s="277">
        <f t="shared" si="0"/>
        <v>0</v>
      </c>
      <c r="I26" s="288">
        <v>44651</v>
      </c>
    </row>
    <row r="27" spans="1:13" ht="18.600000000000001" customHeight="1" x14ac:dyDescent="0.25">
      <c r="A27" s="523"/>
      <c r="B27" s="289" t="s">
        <v>258</v>
      </c>
      <c r="C27" s="265" t="s">
        <v>518</v>
      </c>
      <c r="D27" s="110">
        <v>12.78</v>
      </c>
      <c r="E27" s="89"/>
      <c r="F27" s="111">
        <v>44651</v>
      </c>
      <c r="G27" s="282">
        <v>12.78</v>
      </c>
      <c r="H27" s="277">
        <f t="shared" si="0"/>
        <v>0</v>
      </c>
      <c r="I27" s="288">
        <v>44651</v>
      </c>
    </row>
    <row r="28" spans="1:13" ht="18.600000000000001" customHeight="1" x14ac:dyDescent="0.25">
      <c r="A28" s="523"/>
      <c r="B28" s="289" t="s">
        <v>258</v>
      </c>
      <c r="C28" s="265" t="s">
        <v>519</v>
      </c>
      <c r="D28" s="110">
        <v>8253.0499999999993</v>
      </c>
      <c r="E28" s="89" t="s">
        <v>188</v>
      </c>
      <c r="F28" s="111">
        <v>44651</v>
      </c>
      <c r="G28" s="282">
        <v>8253.0499999999993</v>
      </c>
      <c r="H28" s="277">
        <f t="shared" si="0"/>
        <v>0</v>
      </c>
      <c r="I28" s="288">
        <v>44651</v>
      </c>
    </row>
    <row r="29" spans="1:13" ht="18.600000000000001" customHeight="1" x14ac:dyDescent="0.25">
      <c r="A29" s="523"/>
      <c r="B29" s="289" t="s">
        <v>258</v>
      </c>
      <c r="C29" s="265" t="s">
        <v>520</v>
      </c>
      <c r="D29" s="110">
        <v>372.04</v>
      </c>
      <c r="E29" s="89"/>
      <c r="F29" s="111">
        <v>44651</v>
      </c>
      <c r="G29" s="282">
        <v>372.04</v>
      </c>
      <c r="H29" s="277">
        <f t="shared" si="0"/>
        <v>0</v>
      </c>
      <c r="I29" s="288">
        <v>44651</v>
      </c>
    </row>
    <row r="30" spans="1:13" ht="18.600000000000001" customHeight="1" x14ac:dyDescent="0.25">
      <c r="A30" s="523"/>
      <c r="B30" s="289" t="s">
        <v>258</v>
      </c>
      <c r="C30" s="265" t="s">
        <v>521</v>
      </c>
      <c r="D30" s="110">
        <v>1260</v>
      </c>
      <c r="E30" s="89" t="s">
        <v>419</v>
      </c>
      <c r="F30" s="111">
        <v>44651</v>
      </c>
      <c r="G30" s="282">
        <v>1260</v>
      </c>
      <c r="H30" s="277">
        <f t="shared" si="0"/>
        <v>0</v>
      </c>
      <c r="I30" s="288">
        <v>44651</v>
      </c>
    </row>
    <row r="31" spans="1:13" ht="18.600000000000001" customHeight="1" x14ac:dyDescent="0.25">
      <c r="A31" s="523"/>
      <c r="B31" s="289" t="s">
        <v>258</v>
      </c>
      <c r="C31" s="265" t="s">
        <v>522</v>
      </c>
      <c r="D31" s="110">
        <v>811.2</v>
      </c>
      <c r="E31" s="89" t="s">
        <v>239</v>
      </c>
      <c r="F31" s="111">
        <v>44651</v>
      </c>
      <c r="G31" s="282">
        <v>811.2</v>
      </c>
      <c r="H31" s="277">
        <f t="shared" si="0"/>
        <v>0</v>
      </c>
      <c r="I31" s="288">
        <v>44651</v>
      </c>
    </row>
    <row r="32" spans="1:13" ht="18.600000000000001" customHeight="1" x14ac:dyDescent="0.25">
      <c r="A32" s="523"/>
      <c r="B32" s="289" t="s">
        <v>233</v>
      </c>
      <c r="C32" s="265" t="s">
        <v>523</v>
      </c>
      <c r="D32" s="110">
        <v>9397.2000000000007</v>
      </c>
      <c r="E32" s="89" t="s">
        <v>271</v>
      </c>
      <c r="F32" s="111">
        <v>44651</v>
      </c>
      <c r="G32" s="282">
        <v>9397.2000000000007</v>
      </c>
      <c r="H32" s="277">
        <f t="shared" si="0"/>
        <v>0</v>
      </c>
      <c r="I32" s="288">
        <v>44651</v>
      </c>
    </row>
    <row r="33" spans="1:9" ht="18.600000000000001" customHeight="1" x14ac:dyDescent="0.25">
      <c r="A33" s="113"/>
      <c r="B33" s="289" t="s">
        <v>233</v>
      </c>
      <c r="C33" s="265" t="s">
        <v>524</v>
      </c>
      <c r="D33" s="114">
        <v>1014.6</v>
      </c>
      <c r="E33" s="97"/>
      <c r="F33" s="115">
        <v>44651</v>
      </c>
      <c r="G33" s="283">
        <v>1014.6</v>
      </c>
      <c r="H33" s="277">
        <f t="shared" si="0"/>
        <v>0</v>
      </c>
      <c r="I33" s="288">
        <v>44651</v>
      </c>
    </row>
    <row r="34" spans="1:9" ht="18.600000000000001" customHeight="1" x14ac:dyDescent="0.25">
      <c r="A34" s="113"/>
      <c r="B34" s="290" t="s">
        <v>233</v>
      </c>
      <c r="C34" s="266" t="s">
        <v>525</v>
      </c>
      <c r="D34" s="114">
        <v>2690.4</v>
      </c>
      <c r="E34" s="97"/>
      <c r="F34" s="115">
        <v>44651</v>
      </c>
      <c r="G34" s="283">
        <v>2690.4</v>
      </c>
      <c r="H34" s="277">
        <f t="shared" si="0"/>
        <v>0</v>
      </c>
      <c r="I34" s="288">
        <v>44651</v>
      </c>
    </row>
    <row r="35" spans="1:9" ht="18.600000000000001" customHeight="1" x14ac:dyDescent="0.25">
      <c r="A35" s="113"/>
      <c r="B35" s="290" t="s">
        <v>233</v>
      </c>
      <c r="C35" s="266" t="s">
        <v>526</v>
      </c>
      <c r="D35" s="114">
        <v>3655.92</v>
      </c>
      <c r="E35" s="97" t="s">
        <v>549</v>
      </c>
      <c r="F35" s="115">
        <v>44651</v>
      </c>
      <c r="G35" s="283">
        <v>3655.92</v>
      </c>
      <c r="H35" s="277">
        <f t="shared" si="0"/>
        <v>0</v>
      </c>
      <c r="I35" s="288">
        <v>44651</v>
      </c>
    </row>
    <row r="36" spans="1:9" ht="18.600000000000001" customHeight="1" x14ac:dyDescent="0.25">
      <c r="A36" s="113"/>
      <c r="B36" s="290" t="s">
        <v>233</v>
      </c>
      <c r="C36" s="266" t="s">
        <v>527</v>
      </c>
      <c r="D36" s="114">
        <v>4572.24</v>
      </c>
      <c r="E36" s="97" t="s">
        <v>550</v>
      </c>
      <c r="F36" s="115">
        <v>44651</v>
      </c>
      <c r="G36" s="283">
        <v>4572.24</v>
      </c>
      <c r="H36" s="277">
        <f t="shared" si="0"/>
        <v>0</v>
      </c>
      <c r="I36" s="288">
        <v>44651</v>
      </c>
    </row>
    <row r="37" spans="1:9" ht="18.600000000000001" customHeight="1" x14ac:dyDescent="0.25">
      <c r="A37" s="113"/>
      <c r="B37" s="290" t="s">
        <v>233</v>
      </c>
      <c r="C37" s="266" t="s">
        <v>528</v>
      </c>
      <c r="D37" s="114">
        <v>23709.96</v>
      </c>
      <c r="E37" s="97" t="s">
        <v>188</v>
      </c>
      <c r="F37" s="115">
        <v>44651</v>
      </c>
      <c r="G37" s="283">
        <v>23709.96</v>
      </c>
      <c r="H37" s="277">
        <f t="shared" si="0"/>
        <v>0</v>
      </c>
      <c r="I37" s="288">
        <v>44651</v>
      </c>
    </row>
    <row r="38" spans="1:9" ht="18.600000000000001" customHeight="1" x14ac:dyDescent="0.25">
      <c r="A38" s="113"/>
      <c r="B38" s="290" t="s">
        <v>233</v>
      </c>
      <c r="C38" s="266" t="s">
        <v>529</v>
      </c>
      <c r="D38" s="114">
        <v>2588.04</v>
      </c>
      <c r="E38" s="97" t="s">
        <v>273</v>
      </c>
      <c r="F38" s="115">
        <v>44651</v>
      </c>
      <c r="G38" s="283">
        <v>2588.04</v>
      </c>
      <c r="H38" s="277">
        <f t="shared" si="0"/>
        <v>0</v>
      </c>
      <c r="I38" s="288">
        <v>44651</v>
      </c>
    </row>
    <row r="39" spans="1:9" ht="18.600000000000001" customHeight="1" x14ac:dyDescent="0.25">
      <c r="A39" s="113"/>
      <c r="B39" s="291" t="s">
        <v>168</v>
      </c>
      <c r="C39" s="266" t="s">
        <v>510</v>
      </c>
      <c r="D39" s="114">
        <v>968.62</v>
      </c>
      <c r="E39" s="97" t="s">
        <v>188</v>
      </c>
      <c r="F39" s="115">
        <v>44271</v>
      </c>
      <c r="G39" s="283">
        <v>968.62</v>
      </c>
      <c r="H39" s="277">
        <f t="shared" si="0"/>
        <v>0</v>
      </c>
      <c r="I39" s="288">
        <v>44651</v>
      </c>
    </row>
    <row r="40" spans="1:9" ht="18.600000000000001" customHeight="1" x14ac:dyDescent="0.25">
      <c r="A40" s="113"/>
      <c r="B40" s="291" t="s">
        <v>168</v>
      </c>
      <c r="C40" s="266" t="s">
        <v>511</v>
      </c>
      <c r="D40" s="114">
        <v>2034.65</v>
      </c>
      <c r="E40" s="97" t="s">
        <v>188</v>
      </c>
      <c r="F40" s="115"/>
      <c r="G40" s="283">
        <v>2034.65</v>
      </c>
      <c r="H40" s="277">
        <f>D40-G40</f>
        <v>0</v>
      </c>
      <c r="I40" s="288">
        <v>44651</v>
      </c>
    </row>
    <row r="41" spans="1:9" ht="18.600000000000001" customHeight="1" x14ac:dyDescent="0.25">
      <c r="A41" s="113"/>
      <c r="B41" s="320" t="s">
        <v>154</v>
      </c>
      <c r="C41" s="314" t="s">
        <v>543</v>
      </c>
      <c r="D41" s="315">
        <v>4663.5600000000004</v>
      </c>
      <c r="E41" s="316" t="s">
        <v>551</v>
      </c>
      <c r="F41" s="317">
        <v>44651</v>
      </c>
      <c r="G41" s="318">
        <v>4663.5600000000004</v>
      </c>
      <c r="H41" s="319">
        <f>D41-G41</f>
        <v>0</v>
      </c>
      <c r="I41" s="321">
        <v>44651</v>
      </c>
    </row>
    <row r="42" spans="1:9" ht="18.600000000000001" customHeight="1" x14ac:dyDescent="0.25">
      <c r="A42" s="113"/>
      <c r="B42" s="251" t="s">
        <v>140</v>
      </c>
      <c r="C42" s="267"/>
      <c r="D42" s="252">
        <f>+SUM(D2:D41)</f>
        <v>115247.60999999997</v>
      </c>
      <c r="E42" s="253"/>
      <c r="F42" s="254"/>
      <c r="G42" s="284"/>
      <c r="H42" s="300">
        <f>+SUM(H2:H41)</f>
        <v>364.8</v>
      </c>
      <c r="I42" s="255"/>
    </row>
    <row r="43" spans="1:9" ht="18.600000000000001" customHeight="1" x14ac:dyDescent="0.25">
      <c r="A43" s="518" t="s">
        <v>123</v>
      </c>
      <c r="B43" s="102" t="s">
        <v>196</v>
      </c>
      <c r="C43" s="265" t="s">
        <v>199</v>
      </c>
      <c r="D43" s="110">
        <v>99.97</v>
      </c>
      <c r="E43" s="89" t="s">
        <v>200</v>
      </c>
      <c r="F43" s="111"/>
      <c r="G43" s="281">
        <v>99.97</v>
      </c>
      <c r="H43" s="277">
        <f t="shared" si="0"/>
        <v>0</v>
      </c>
      <c r="I43" s="288">
        <v>44627</v>
      </c>
    </row>
    <row r="44" spans="1:9" ht="18.600000000000001" customHeight="1" x14ac:dyDescent="0.3">
      <c r="A44" s="519"/>
      <c r="B44" s="148" t="s">
        <v>307</v>
      </c>
      <c r="C44" s="293"/>
      <c r="D44" s="295">
        <v>3203.09</v>
      </c>
      <c r="E44" s="297" t="s">
        <v>395</v>
      </c>
      <c r="F44" s="147">
        <v>44599</v>
      </c>
      <c r="G44" s="281">
        <v>3203.09</v>
      </c>
      <c r="H44" s="277">
        <f t="shared" si="0"/>
        <v>0</v>
      </c>
      <c r="I44" s="288" t="s">
        <v>296</v>
      </c>
    </row>
    <row r="45" spans="1:9" ht="18.600000000000001" customHeight="1" x14ac:dyDescent="0.25">
      <c r="A45" s="519"/>
      <c r="B45" s="102" t="s">
        <v>448</v>
      </c>
      <c r="C45" s="265" t="s">
        <v>449</v>
      </c>
      <c r="D45" s="110">
        <v>768.98</v>
      </c>
      <c r="E45" s="89" t="s">
        <v>450</v>
      </c>
      <c r="F45" s="111">
        <v>44622</v>
      </c>
      <c r="G45" s="281">
        <v>768.98</v>
      </c>
      <c r="H45" s="277">
        <f t="shared" si="0"/>
        <v>0</v>
      </c>
      <c r="I45" s="288" t="s">
        <v>296</v>
      </c>
    </row>
    <row r="46" spans="1:9" ht="18.600000000000001" customHeight="1" x14ac:dyDescent="0.25">
      <c r="A46" s="519"/>
      <c r="B46" s="102" t="s">
        <v>196</v>
      </c>
      <c r="C46" s="265" t="s">
        <v>201</v>
      </c>
      <c r="D46" s="110">
        <v>127.11</v>
      </c>
      <c r="E46" s="89" t="s">
        <v>200</v>
      </c>
      <c r="F46" s="111">
        <v>44627</v>
      </c>
      <c r="G46" s="281">
        <v>127.11</v>
      </c>
      <c r="H46" s="277">
        <f t="shared" si="0"/>
        <v>0</v>
      </c>
      <c r="I46" s="288" t="s">
        <v>296</v>
      </c>
    </row>
    <row r="47" spans="1:9" ht="18.600000000000001" customHeight="1" x14ac:dyDescent="0.25">
      <c r="A47" s="519"/>
      <c r="B47" s="102" t="s">
        <v>196</v>
      </c>
      <c r="C47" s="265" t="s">
        <v>297</v>
      </c>
      <c r="D47" s="110">
        <v>100.82</v>
      </c>
      <c r="E47" s="89"/>
      <c r="F47" s="111">
        <v>44627</v>
      </c>
      <c r="G47" s="281">
        <v>100.82</v>
      </c>
      <c r="H47" s="277">
        <f t="shared" si="0"/>
        <v>0</v>
      </c>
      <c r="I47" s="288" t="s">
        <v>296</v>
      </c>
    </row>
    <row r="48" spans="1:9" ht="18.600000000000001" customHeight="1" x14ac:dyDescent="0.25">
      <c r="A48" s="519"/>
      <c r="B48" s="102" t="s">
        <v>196</v>
      </c>
      <c r="C48" s="265" t="s">
        <v>298</v>
      </c>
      <c r="D48" s="110">
        <v>104.12</v>
      </c>
      <c r="E48" s="89"/>
      <c r="F48" s="111">
        <v>44627</v>
      </c>
      <c r="G48" s="281">
        <v>104.12</v>
      </c>
      <c r="H48" s="277">
        <f t="shared" si="0"/>
        <v>0</v>
      </c>
      <c r="I48" s="288" t="s">
        <v>296</v>
      </c>
    </row>
    <row r="49" spans="1:9" ht="18.600000000000001" customHeight="1" x14ac:dyDescent="0.25">
      <c r="A49" s="519"/>
      <c r="B49" s="102" t="s">
        <v>196</v>
      </c>
      <c r="C49" s="265" t="s">
        <v>299</v>
      </c>
      <c r="D49" s="110">
        <v>71.319999999999993</v>
      </c>
      <c r="E49" s="89"/>
      <c r="F49" s="111">
        <v>44627</v>
      </c>
      <c r="G49" s="281">
        <v>71.319999999999993</v>
      </c>
      <c r="H49" s="277">
        <f t="shared" si="0"/>
        <v>0</v>
      </c>
      <c r="I49" s="288" t="s">
        <v>296</v>
      </c>
    </row>
    <row r="50" spans="1:9" ht="18.600000000000001" customHeight="1" x14ac:dyDescent="0.25">
      <c r="A50" s="519"/>
      <c r="B50" s="102" t="s">
        <v>196</v>
      </c>
      <c r="C50" s="265" t="s">
        <v>300</v>
      </c>
      <c r="D50" s="110">
        <v>89.4</v>
      </c>
      <c r="E50" s="89"/>
      <c r="F50" s="111">
        <v>44627</v>
      </c>
      <c r="G50" s="281">
        <v>89.4</v>
      </c>
      <c r="H50" s="277">
        <f t="shared" si="0"/>
        <v>0</v>
      </c>
      <c r="I50" s="288" t="s">
        <v>296</v>
      </c>
    </row>
    <row r="51" spans="1:9" ht="18.600000000000001" customHeight="1" x14ac:dyDescent="0.25">
      <c r="A51" s="519"/>
      <c r="B51" s="102" t="s">
        <v>282</v>
      </c>
      <c r="C51" s="265"/>
      <c r="D51" s="110">
        <v>50</v>
      </c>
      <c r="E51" s="89" t="s">
        <v>287</v>
      </c>
      <c r="F51" s="111">
        <v>44627</v>
      </c>
      <c r="G51" s="281">
        <v>50</v>
      </c>
      <c r="H51" s="277">
        <f t="shared" si="0"/>
        <v>0</v>
      </c>
      <c r="I51" s="288" t="s">
        <v>296</v>
      </c>
    </row>
    <row r="52" spans="1:9" ht="18.600000000000001" customHeight="1" x14ac:dyDescent="0.25">
      <c r="A52" s="519"/>
      <c r="B52" s="102" t="s">
        <v>196</v>
      </c>
      <c r="C52" s="265" t="s">
        <v>197</v>
      </c>
      <c r="D52" s="110">
        <v>15.24</v>
      </c>
      <c r="E52" s="89" t="s">
        <v>198</v>
      </c>
      <c r="F52" s="111">
        <v>44635</v>
      </c>
      <c r="G52" s="281">
        <v>15.24</v>
      </c>
      <c r="H52" s="277">
        <f t="shared" si="0"/>
        <v>0</v>
      </c>
      <c r="I52" s="288" t="s">
        <v>296</v>
      </c>
    </row>
    <row r="53" spans="1:9" ht="18.600000000000001" customHeight="1" x14ac:dyDescent="0.25">
      <c r="A53" s="519"/>
      <c r="B53" s="102" t="s">
        <v>196</v>
      </c>
      <c r="C53" s="265" t="s">
        <v>313</v>
      </c>
      <c r="D53" s="110">
        <v>93.87</v>
      </c>
      <c r="E53" s="89"/>
      <c r="F53" s="111">
        <v>44635</v>
      </c>
      <c r="G53" s="281">
        <v>93.87</v>
      </c>
      <c r="H53" s="277">
        <f t="shared" si="0"/>
        <v>0</v>
      </c>
      <c r="I53" s="288">
        <v>44635</v>
      </c>
    </row>
    <row r="54" spans="1:9" ht="18.600000000000001" customHeight="1" x14ac:dyDescent="0.25">
      <c r="A54" s="519"/>
      <c r="B54" s="102" t="s">
        <v>282</v>
      </c>
      <c r="C54" s="265"/>
      <c r="D54" s="110">
        <v>43</v>
      </c>
      <c r="E54" s="89"/>
      <c r="F54" s="111">
        <v>44645</v>
      </c>
      <c r="G54" s="281">
        <v>43</v>
      </c>
      <c r="H54" s="277">
        <f t="shared" si="0"/>
        <v>0</v>
      </c>
      <c r="I54" s="288" t="s">
        <v>296</v>
      </c>
    </row>
    <row r="55" spans="1:9" ht="18.600000000000001" customHeight="1" x14ac:dyDescent="0.25">
      <c r="A55" s="519"/>
      <c r="B55" s="102" t="s">
        <v>288</v>
      </c>
      <c r="C55" s="265" t="s">
        <v>532</v>
      </c>
      <c r="D55" s="110">
        <f>15.95*2</f>
        <v>31.9</v>
      </c>
      <c r="E55" s="89"/>
      <c r="F55" s="111">
        <v>44629</v>
      </c>
      <c r="G55" s="281">
        <v>31.9</v>
      </c>
      <c r="H55" s="277">
        <f t="shared" si="0"/>
        <v>0</v>
      </c>
      <c r="I55" s="288" t="s">
        <v>296</v>
      </c>
    </row>
    <row r="56" spans="1:9" ht="18.600000000000001" customHeight="1" x14ac:dyDescent="0.25">
      <c r="A56" s="519"/>
      <c r="B56" s="102" t="s">
        <v>533</v>
      </c>
      <c r="C56" s="265"/>
      <c r="D56" s="110">
        <v>53.88</v>
      </c>
      <c r="E56" s="89"/>
      <c r="F56" s="111">
        <v>44627</v>
      </c>
      <c r="G56" s="281">
        <v>53.88</v>
      </c>
      <c r="H56" s="277">
        <f t="shared" si="0"/>
        <v>0</v>
      </c>
      <c r="I56" s="288" t="s">
        <v>296</v>
      </c>
    </row>
    <row r="57" spans="1:9" ht="18.600000000000001" customHeight="1" x14ac:dyDescent="0.25">
      <c r="A57" s="519"/>
      <c r="B57" s="102" t="s">
        <v>534</v>
      </c>
      <c r="C57" s="265"/>
      <c r="D57" s="110">
        <v>590</v>
      </c>
      <c r="E57" s="89" t="s">
        <v>535</v>
      </c>
      <c r="F57" s="111">
        <v>44627</v>
      </c>
      <c r="G57" s="281">
        <v>590</v>
      </c>
      <c r="H57" s="277">
        <f t="shared" si="0"/>
        <v>0</v>
      </c>
      <c r="I57" s="288" t="s">
        <v>296</v>
      </c>
    </row>
    <row r="58" spans="1:9" ht="18.600000000000001" customHeight="1" x14ac:dyDescent="0.25">
      <c r="A58" s="519"/>
      <c r="B58" s="102" t="s">
        <v>536</v>
      </c>
      <c r="C58" s="265"/>
      <c r="D58" s="110">
        <v>2200</v>
      </c>
      <c r="E58" s="89" t="s">
        <v>537</v>
      </c>
      <c r="F58" s="111">
        <v>44627</v>
      </c>
      <c r="G58" s="281">
        <v>2200</v>
      </c>
      <c r="H58" s="277">
        <f t="shared" si="0"/>
        <v>0</v>
      </c>
      <c r="I58" s="288" t="s">
        <v>296</v>
      </c>
    </row>
    <row r="59" spans="1:9" ht="18.600000000000001" customHeight="1" x14ac:dyDescent="0.25">
      <c r="A59" s="519"/>
      <c r="B59" s="102" t="s">
        <v>538</v>
      </c>
      <c r="C59" s="265"/>
      <c r="D59" s="110">
        <v>304.77999999999997</v>
      </c>
      <c r="E59" s="89" t="s">
        <v>539</v>
      </c>
      <c r="F59" s="111">
        <v>44627</v>
      </c>
      <c r="G59" s="281">
        <v>304.77999999999997</v>
      </c>
      <c r="H59" s="277">
        <f t="shared" si="0"/>
        <v>0</v>
      </c>
      <c r="I59" s="288" t="s">
        <v>296</v>
      </c>
    </row>
    <row r="60" spans="1:9" ht="18.600000000000001" customHeight="1" x14ac:dyDescent="0.25">
      <c r="A60" s="519"/>
      <c r="B60" s="102" t="s">
        <v>540</v>
      </c>
      <c r="C60" s="265"/>
      <c r="D60" s="110">
        <v>600</v>
      </c>
      <c r="E60" s="89" t="s">
        <v>394</v>
      </c>
      <c r="F60" s="111">
        <v>44627</v>
      </c>
      <c r="G60" s="281">
        <v>600</v>
      </c>
      <c r="H60" s="277">
        <f t="shared" si="0"/>
        <v>0</v>
      </c>
      <c r="I60" s="288" t="s">
        <v>296</v>
      </c>
    </row>
    <row r="61" spans="1:9" ht="18.600000000000001" customHeight="1" x14ac:dyDescent="0.25">
      <c r="A61" s="519"/>
      <c r="B61" s="102" t="s">
        <v>545</v>
      </c>
      <c r="C61" s="265"/>
      <c r="D61" s="110">
        <v>500</v>
      </c>
      <c r="E61" s="89" t="s">
        <v>394</v>
      </c>
      <c r="F61" s="111">
        <v>44627</v>
      </c>
      <c r="G61" s="281">
        <v>500</v>
      </c>
      <c r="H61" s="277">
        <f t="shared" si="0"/>
        <v>0</v>
      </c>
      <c r="I61" s="288" t="s">
        <v>296</v>
      </c>
    </row>
    <row r="62" spans="1:9" ht="18.600000000000001" customHeight="1" x14ac:dyDescent="0.25">
      <c r="A62" s="519"/>
      <c r="B62" s="102" t="s">
        <v>277</v>
      </c>
      <c r="C62" s="265"/>
      <c r="D62" s="110">
        <v>19.97</v>
      </c>
      <c r="E62" s="89"/>
      <c r="F62" s="111">
        <v>44628</v>
      </c>
      <c r="G62" s="281">
        <v>19.97</v>
      </c>
      <c r="H62" s="277">
        <f t="shared" si="0"/>
        <v>0</v>
      </c>
      <c r="I62" s="288" t="s">
        <v>296</v>
      </c>
    </row>
    <row r="63" spans="1:9" ht="18.600000000000001" customHeight="1" x14ac:dyDescent="0.25">
      <c r="A63" s="519"/>
      <c r="B63" s="102" t="s">
        <v>85</v>
      </c>
      <c r="C63" s="265"/>
      <c r="D63" s="110">
        <v>14.14</v>
      </c>
      <c r="E63" s="89"/>
      <c r="F63" s="111">
        <v>44630</v>
      </c>
      <c r="G63" s="281">
        <v>14.14</v>
      </c>
      <c r="H63" s="277">
        <f t="shared" si="0"/>
        <v>0</v>
      </c>
      <c r="I63" s="288" t="s">
        <v>296</v>
      </c>
    </row>
    <row r="64" spans="1:9" ht="18.600000000000001" customHeight="1" x14ac:dyDescent="0.25">
      <c r="A64" s="519"/>
      <c r="B64" s="102" t="s">
        <v>140</v>
      </c>
      <c r="C64" s="265" t="s">
        <v>496</v>
      </c>
      <c r="D64" s="110">
        <v>1875.91</v>
      </c>
      <c r="E64" s="89"/>
      <c r="F64" s="111">
        <v>44630</v>
      </c>
      <c r="G64" s="281">
        <v>1875.91</v>
      </c>
      <c r="H64" s="277">
        <f t="shared" si="0"/>
        <v>0</v>
      </c>
      <c r="I64" s="288" t="s">
        <v>296</v>
      </c>
    </row>
    <row r="65" spans="1:9" ht="18.600000000000001" customHeight="1" x14ac:dyDescent="0.25">
      <c r="A65" s="519"/>
      <c r="B65" s="102" t="s">
        <v>530</v>
      </c>
      <c r="C65" s="265"/>
      <c r="D65" s="110">
        <v>16.989999999999998</v>
      </c>
      <c r="E65" s="89" t="s">
        <v>531</v>
      </c>
      <c r="F65" s="111">
        <v>44630</v>
      </c>
      <c r="G65" s="281">
        <v>16.989999999999998</v>
      </c>
      <c r="H65" s="277">
        <f t="shared" si="0"/>
        <v>0</v>
      </c>
      <c r="I65" s="288" t="s">
        <v>296</v>
      </c>
    </row>
    <row r="66" spans="1:9" ht="18.600000000000001" customHeight="1" x14ac:dyDescent="0.25">
      <c r="A66" s="519"/>
      <c r="B66" s="273" t="s">
        <v>291</v>
      </c>
      <c r="C66" s="265"/>
      <c r="D66" s="276">
        <v>11150</v>
      </c>
      <c r="E66" s="89" t="s">
        <v>312</v>
      </c>
      <c r="F66" s="111">
        <v>44635</v>
      </c>
      <c r="G66" s="281">
        <v>11150</v>
      </c>
      <c r="H66" s="277">
        <f t="shared" si="0"/>
        <v>0</v>
      </c>
      <c r="I66" s="288" t="s">
        <v>296</v>
      </c>
    </row>
    <row r="67" spans="1:9" ht="18.600000000000001" customHeight="1" x14ac:dyDescent="0.25">
      <c r="A67" s="519"/>
      <c r="B67" s="102" t="s">
        <v>282</v>
      </c>
      <c r="C67" s="265"/>
      <c r="D67" s="110">
        <v>31</v>
      </c>
      <c r="E67" s="89"/>
      <c r="F67" s="111">
        <v>44640</v>
      </c>
      <c r="G67" s="281">
        <v>31</v>
      </c>
      <c r="H67" s="277">
        <f t="shared" si="0"/>
        <v>0</v>
      </c>
      <c r="I67" s="288" t="s">
        <v>296</v>
      </c>
    </row>
    <row r="68" spans="1:9" ht="18.600000000000001" customHeight="1" x14ac:dyDescent="0.25">
      <c r="A68" s="519"/>
      <c r="B68" s="102" t="s">
        <v>282</v>
      </c>
      <c r="C68" s="265"/>
      <c r="D68" s="110">
        <v>31</v>
      </c>
      <c r="E68" s="89"/>
      <c r="F68" s="111">
        <v>44640</v>
      </c>
      <c r="G68" s="281">
        <v>31</v>
      </c>
      <c r="H68" s="277">
        <f t="shared" si="0"/>
        <v>0</v>
      </c>
      <c r="I68" s="288" t="s">
        <v>296</v>
      </c>
    </row>
    <row r="69" spans="1:9" ht="18.600000000000001" customHeight="1" x14ac:dyDescent="0.25">
      <c r="A69" s="519"/>
      <c r="B69" s="102" t="s">
        <v>282</v>
      </c>
      <c r="C69" s="265" t="s">
        <v>328</v>
      </c>
      <c r="D69" s="110">
        <v>31</v>
      </c>
      <c r="E69" s="89" t="s">
        <v>327</v>
      </c>
      <c r="F69" s="111">
        <v>44640</v>
      </c>
      <c r="G69" s="281">
        <v>31</v>
      </c>
      <c r="H69" s="277">
        <f t="shared" si="0"/>
        <v>0</v>
      </c>
      <c r="I69" s="288" t="s">
        <v>296</v>
      </c>
    </row>
    <row r="70" spans="1:9" ht="18.600000000000001" customHeight="1" x14ac:dyDescent="0.25">
      <c r="A70" s="519"/>
      <c r="B70" s="273" t="s">
        <v>285</v>
      </c>
      <c r="C70" s="265" t="s">
        <v>286</v>
      </c>
      <c r="D70" s="276">
        <v>5283.09</v>
      </c>
      <c r="E70" s="89"/>
      <c r="F70" s="111">
        <v>44640</v>
      </c>
      <c r="G70" s="281">
        <v>5283.09</v>
      </c>
      <c r="H70" s="277">
        <f t="shared" si="0"/>
        <v>0</v>
      </c>
      <c r="I70" s="288">
        <v>44286</v>
      </c>
    </row>
    <row r="71" spans="1:9" ht="18.600000000000001" customHeight="1" x14ac:dyDescent="0.25">
      <c r="A71" s="519"/>
      <c r="B71" s="273" t="s">
        <v>292</v>
      </c>
      <c r="C71" s="265" t="s">
        <v>293</v>
      </c>
      <c r="D71" s="276">
        <v>4965</v>
      </c>
      <c r="E71" s="89"/>
      <c r="F71" s="111">
        <v>44635</v>
      </c>
      <c r="G71" s="281">
        <v>4965</v>
      </c>
      <c r="H71" s="277">
        <f t="shared" si="0"/>
        <v>0</v>
      </c>
      <c r="I71" s="288" t="s">
        <v>296</v>
      </c>
    </row>
    <row r="72" spans="1:9" ht="18.600000000000001" customHeight="1" x14ac:dyDescent="0.25">
      <c r="A72" s="519"/>
      <c r="B72" s="292" t="s">
        <v>294</v>
      </c>
      <c r="C72" s="294"/>
      <c r="D72" s="296">
        <v>2117.11</v>
      </c>
      <c r="E72" s="179"/>
      <c r="F72" s="298">
        <v>44640</v>
      </c>
      <c r="G72" s="285">
        <v>2117.11</v>
      </c>
      <c r="H72" s="277">
        <f t="shared" si="0"/>
        <v>0</v>
      </c>
      <c r="I72" s="288" t="s">
        <v>296</v>
      </c>
    </row>
    <row r="73" spans="1:9" ht="18.600000000000001" customHeight="1" x14ac:dyDescent="0.25">
      <c r="A73" s="519"/>
      <c r="B73" s="273" t="s">
        <v>295</v>
      </c>
      <c r="C73" s="265"/>
      <c r="D73" s="276">
        <v>1765.42</v>
      </c>
      <c r="E73" s="89"/>
      <c r="F73" s="111">
        <v>44640</v>
      </c>
      <c r="G73" s="281">
        <v>1765.42</v>
      </c>
      <c r="H73" s="277">
        <f t="shared" si="0"/>
        <v>0</v>
      </c>
      <c r="I73" s="288" t="s">
        <v>296</v>
      </c>
    </row>
    <row r="74" spans="1:9" ht="18.600000000000001" customHeight="1" x14ac:dyDescent="0.25">
      <c r="A74" s="519"/>
      <c r="B74" s="102" t="s">
        <v>318</v>
      </c>
      <c r="C74" s="265" t="s">
        <v>319</v>
      </c>
      <c r="D74" s="110">
        <v>20.239999999999998</v>
      </c>
      <c r="E74" s="89" t="s">
        <v>320</v>
      </c>
      <c r="F74" s="111">
        <v>44645</v>
      </c>
      <c r="G74" s="281">
        <v>20.239999999999998</v>
      </c>
      <c r="H74" s="277">
        <f t="shared" si="0"/>
        <v>0</v>
      </c>
      <c r="I74" s="288">
        <v>44651</v>
      </c>
    </row>
    <row r="75" spans="1:9" ht="18.600000000000001" customHeight="1" x14ac:dyDescent="0.25">
      <c r="A75" s="519"/>
      <c r="B75" s="102" t="s">
        <v>318</v>
      </c>
      <c r="C75" s="265" t="s">
        <v>321</v>
      </c>
      <c r="D75" s="110">
        <v>163.77000000000001</v>
      </c>
      <c r="E75" s="89" t="s">
        <v>322</v>
      </c>
      <c r="F75" s="111">
        <v>44645</v>
      </c>
      <c r="G75" s="281">
        <v>163.77000000000001</v>
      </c>
      <c r="H75" s="277">
        <f t="shared" si="0"/>
        <v>0</v>
      </c>
      <c r="I75" s="288">
        <v>44651</v>
      </c>
    </row>
    <row r="76" spans="1:9" ht="18.600000000000001" customHeight="1" x14ac:dyDescent="0.25">
      <c r="A76" s="519"/>
      <c r="B76" s="102" t="s">
        <v>214</v>
      </c>
      <c r="C76" s="265" t="s">
        <v>451</v>
      </c>
      <c r="D76" s="110">
        <v>142.33000000000001</v>
      </c>
      <c r="E76" s="89"/>
      <c r="F76" s="111">
        <v>44643</v>
      </c>
      <c r="G76" s="281">
        <v>142.33000000000001</v>
      </c>
      <c r="H76" s="277">
        <f t="shared" si="0"/>
        <v>0</v>
      </c>
      <c r="I76" s="288" t="s">
        <v>296</v>
      </c>
    </row>
    <row r="77" spans="1:9" ht="18.600000000000001" customHeight="1" x14ac:dyDescent="0.25">
      <c r="A77" s="519"/>
      <c r="B77" s="102" t="s">
        <v>318</v>
      </c>
      <c r="C77" s="265" t="s">
        <v>464</v>
      </c>
      <c r="D77" s="110">
        <v>295.19</v>
      </c>
      <c r="E77" s="89" t="s">
        <v>465</v>
      </c>
      <c r="F77" s="111">
        <v>44634</v>
      </c>
      <c r="G77" s="281">
        <v>295.19</v>
      </c>
      <c r="H77" s="277">
        <f t="shared" si="0"/>
        <v>0</v>
      </c>
      <c r="I77" s="288" t="s">
        <v>296</v>
      </c>
    </row>
    <row r="78" spans="1:9" ht="18.600000000000001" customHeight="1" x14ac:dyDescent="0.25">
      <c r="A78" s="519"/>
      <c r="B78" s="102" t="s">
        <v>277</v>
      </c>
      <c r="C78" s="265"/>
      <c r="D78" s="110">
        <v>31.66</v>
      </c>
      <c r="E78" s="89"/>
      <c r="F78" s="111">
        <v>44645</v>
      </c>
      <c r="G78" s="281">
        <v>31.66</v>
      </c>
      <c r="H78" s="277">
        <f t="shared" si="0"/>
        <v>0</v>
      </c>
      <c r="I78" s="288" t="s">
        <v>296</v>
      </c>
    </row>
    <row r="79" spans="1:9" ht="18.600000000000001" customHeight="1" x14ac:dyDescent="0.25">
      <c r="A79" s="519"/>
      <c r="B79" s="102" t="s">
        <v>430</v>
      </c>
      <c r="C79" s="265" t="s">
        <v>431</v>
      </c>
      <c r="D79" s="110">
        <v>1164</v>
      </c>
      <c r="E79" s="89" t="s">
        <v>432</v>
      </c>
      <c r="F79" s="111">
        <v>44645</v>
      </c>
      <c r="G79" s="281">
        <v>1164</v>
      </c>
      <c r="H79" s="277">
        <f t="shared" si="0"/>
        <v>0</v>
      </c>
      <c r="I79" s="288" t="s">
        <v>296</v>
      </c>
    </row>
    <row r="80" spans="1:9" ht="18.600000000000001" customHeight="1" x14ac:dyDescent="0.25">
      <c r="A80" s="519"/>
      <c r="B80" s="102" t="s">
        <v>389</v>
      </c>
      <c r="C80" s="265" t="s">
        <v>390</v>
      </c>
      <c r="D80" s="110">
        <v>796.49</v>
      </c>
      <c r="E80" s="89" t="s">
        <v>188</v>
      </c>
      <c r="F80" s="111">
        <v>44651</v>
      </c>
      <c r="G80" s="281">
        <v>796.49</v>
      </c>
      <c r="H80" s="277">
        <f t="shared" si="0"/>
        <v>0</v>
      </c>
      <c r="I80" s="288">
        <v>44651</v>
      </c>
    </row>
    <row r="81" spans="1:9" ht="18.600000000000001" customHeight="1" x14ac:dyDescent="0.25">
      <c r="A81" s="519"/>
      <c r="B81" s="102" t="s">
        <v>423</v>
      </c>
      <c r="C81" s="265" t="s">
        <v>424</v>
      </c>
      <c r="D81" s="110">
        <v>936.1</v>
      </c>
      <c r="E81" s="89"/>
      <c r="F81" s="111">
        <v>44622</v>
      </c>
      <c r="G81" s="281">
        <v>936.1</v>
      </c>
      <c r="H81" s="277">
        <f t="shared" si="0"/>
        <v>0</v>
      </c>
      <c r="I81" s="288">
        <v>44622</v>
      </c>
    </row>
    <row r="82" spans="1:9" ht="18.600000000000001" customHeight="1" x14ac:dyDescent="0.25">
      <c r="A82" s="519"/>
      <c r="B82" s="102" t="s">
        <v>437</v>
      </c>
      <c r="C82" s="265" t="s">
        <v>438</v>
      </c>
      <c r="D82" s="110">
        <v>586.42999999999995</v>
      </c>
      <c r="E82" s="89" t="s">
        <v>239</v>
      </c>
      <c r="F82" s="111">
        <v>44651</v>
      </c>
      <c r="G82" s="281">
        <v>586.42999999999995</v>
      </c>
      <c r="H82" s="277">
        <f t="shared" si="0"/>
        <v>0</v>
      </c>
      <c r="I82" s="288">
        <v>44651</v>
      </c>
    </row>
    <row r="83" spans="1:9" ht="18.600000000000001" customHeight="1" x14ac:dyDescent="0.25">
      <c r="A83" s="519"/>
      <c r="B83" s="102" t="s">
        <v>514</v>
      </c>
      <c r="C83" s="265" t="s">
        <v>546</v>
      </c>
      <c r="D83" s="110">
        <v>213.61</v>
      </c>
      <c r="E83" s="89"/>
      <c r="F83" s="111">
        <v>44651</v>
      </c>
      <c r="G83" s="281">
        <v>213.61</v>
      </c>
      <c r="H83" s="277">
        <f t="shared" si="0"/>
        <v>0</v>
      </c>
      <c r="I83" s="288">
        <v>44651</v>
      </c>
    </row>
    <row r="84" spans="1:9" ht="18.600000000000001" customHeight="1" x14ac:dyDescent="0.25">
      <c r="A84" s="519"/>
      <c r="B84" s="102" t="s">
        <v>547</v>
      </c>
      <c r="C84" s="265" t="s">
        <v>561</v>
      </c>
      <c r="D84" s="110">
        <v>2828.04</v>
      </c>
      <c r="E84" s="89" t="s">
        <v>188</v>
      </c>
      <c r="F84" s="111">
        <v>44650</v>
      </c>
      <c r="G84" s="281">
        <v>2828.04</v>
      </c>
      <c r="H84" s="277">
        <f t="shared" si="0"/>
        <v>0</v>
      </c>
      <c r="I84" s="288">
        <v>44650</v>
      </c>
    </row>
    <row r="85" spans="1:9" ht="18.600000000000001" customHeight="1" x14ac:dyDescent="0.25">
      <c r="A85" s="519"/>
      <c r="B85" s="102" t="s">
        <v>547</v>
      </c>
      <c r="C85" s="265" t="s">
        <v>562</v>
      </c>
      <c r="D85" s="110">
        <v>275.11</v>
      </c>
      <c r="E85" s="89" t="s">
        <v>188</v>
      </c>
      <c r="F85" s="111">
        <v>44650</v>
      </c>
      <c r="G85" s="281">
        <v>275.11</v>
      </c>
      <c r="H85" s="277">
        <f t="shared" si="0"/>
        <v>0</v>
      </c>
      <c r="I85" s="288">
        <v>44650</v>
      </c>
    </row>
    <row r="86" spans="1:9" ht="18.600000000000001" customHeight="1" x14ac:dyDescent="0.25">
      <c r="A86" s="519"/>
      <c r="B86" s="102" t="s">
        <v>140</v>
      </c>
      <c r="C86" s="265" t="s">
        <v>566</v>
      </c>
      <c r="D86" s="110">
        <v>2345.35</v>
      </c>
      <c r="E86" s="302"/>
      <c r="F86" s="111">
        <v>44645</v>
      </c>
      <c r="G86" s="281">
        <v>2345.35</v>
      </c>
      <c r="H86" s="277">
        <f t="shared" si="0"/>
        <v>0</v>
      </c>
      <c r="I86" s="288">
        <v>44651</v>
      </c>
    </row>
    <row r="87" spans="1:9" ht="18.600000000000001" customHeight="1" x14ac:dyDescent="0.25">
      <c r="A87" s="519"/>
      <c r="B87" s="102" t="s">
        <v>344</v>
      </c>
      <c r="C87" s="265" t="s">
        <v>572</v>
      </c>
      <c r="D87" s="110">
        <v>588</v>
      </c>
      <c r="E87" s="302"/>
      <c r="F87" s="111">
        <v>44645</v>
      </c>
      <c r="G87" s="281">
        <v>588</v>
      </c>
      <c r="H87" s="277">
        <f t="shared" si="0"/>
        <v>0</v>
      </c>
      <c r="I87" s="288">
        <v>44651</v>
      </c>
    </row>
    <row r="88" spans="1:9" ht="18.600000000000001" customHeight="1" x14ac:dyDescent="0.25">
      <c r="A88" s="519"/>
      <c r="B88" s="102"/>
      <c r="C88" s="265"/>
      <c r="D88" s="110"/>
      <c r="E88" s="89"/>
      <c r="F88" s="111"/>
      <c r="G88" s="281"/>
      <c r="H88" s="277">
        <f t="shared" si="0"/>
        <v>0</v>
      </c>
      <c r="I88" s="288"/>
    </row>
    <row r="89" spans="1:9" ht="18.600000000000001" customHeight="1" x14ac:dyDescent="0.25">
      <c r="A89" s="520"/>
      <c r="B89" s="260" t="s">
        <v>140</v>
      </c>
      <c r="C89" s="268"/>
      <c r="D89" s="261">
        <f>SUM(D43:D88)</f>
        <v>46734.429999999993</v>
      </c>
      <c r="E89" s="262"/>
      <c r="F89" s="263"/>
      <c r="G89" s="286"/>
      <c r="H89" s="300">
        <f>+SUM(H43:H88)</f>
        <v>0</v>
      </c>
      <c r="I89" s="299"/>
    </row>
    <row r="90" spans="1:9" ht="18.600000000000001" customHeight="1" x14ac:dyDescent="0.25">
      <c r="A90" s="521" t="s">
        <v>124</v>
      </c>
      <c r="B90" s="256" t="s">
        <v>440</v>
      </c>
      <c r="C90" s="266" t="s">
        <v>441</v>
      </c>
      <c r="D90" s="257">
        <v>31.2</v>
      </c>
      <c r="E90" s="97"/>
      <c r="F90" s="258">
        <v>44621</v>
      </c>
      <c r="G90" s="283">
        <v>31.2</v>
      </c>
      <c r="H90" s="277">
        <f t="shared" ref="H90:H113" si="1">D90-G90</f>
        <v>0</v>
      </c>
      <c r="I90" s="259" t="s">
        <v>296</v>
      </c>
    </row>
    <row r="91" spans="1:9" ht="18.600000000000001" customHeight="1" x14ac:dyDescent="0.25">
      <c r="A91" s="522"/>
      <c r="B91" s="103" t="s">
        <v>435</v>
      </c>
      <c r="C91" s="265" t="s">
        <v>436</v>
      </c>
      <c r="D91" s="110">
        <v>3328.92</v>
      </c>
      <c r="E91" s="89" t="s">
        <v>188</v>
      </c>
      <c r="F91" s="111">
        <v>44622</v>
      </c>
      <c r="G91" s="281">
        <v>3328.92</v>
      </c>
      <c r="H91" s="277">
        <f t="shared" si="1"/>
        <v>0</v>
      </c>
      <c r="I91" s="288">
        <v>44650</v>
      </c>
    </row>
    <row r="92" spans="1:9" ht="18.600000000000001" customHeight="1" x14ac:dyDescent="0.25">
      <c r="A92" s="522"/>
      <c r="B92" s="102" t="s">
        <v>267</v>
      </c>
      <c r="C92" s="265" t="s">
        <v>363</v>
      </c>
      <c r="D92" s="110">
        <v>525.65</v>
      </c>
      <c r="E92" s="89" t="s">
        <v>188</v>
      </c>
      <c r="F92" s="111">
        <v>44624</v>
      </c>
      <c r="G92" s="281">
        <v>525.65</v>
      </c>
      <c r="H92" s="277">
        <f t="shared" si="1"/>
        <v>0</v>
      </c>
      <c r="I92" s="109" t="s">
        <v>296</v>
      </c>
    </row>
    <row r="93" spans="1:9" ht="18.600000000000001" customHeight="1" x14ac:dyDescent="0.25">
      <c r="A93" s="522"/>
      <c r="B93" s="102" t="s">
        <v>267</v>
      </c>
      <c r="C93" s="265" t="s">
        <v>364</v>
      </c>
      <c r="D93" s="110">
        <v>2408.15</v>
      </c>
      <c r="E93" s="89" t="s">
        <v>239</v>
      </c>
      <c r="F93" s="111">
        <v>44624</v>
      </c>
      <c r="G93" s="281">
        <v>2408.15</v>
      </c>
      <c r="H93" s="277">
        <f t="shared" si="1"/>
        <v>0</v>
      </c>
      <c r="I93" s="109" t="s">
        <v>296</v>
      </c>
    </row>
    <row r="94" spans="1:9" ht="18.600000000000001" customHeight="1" x14ac:dyDescent="0.25">
      <c r="A94" s="522"/>
      <c r="B94" s="103" t="s">
        <v>386</v>
      </c>
      <c r="C94" s="269" t="s">
        <v>484</v>
      </c>
      <c r="D94" s="110">
        <v>52.52</v>
      </c>
      <c r="E94" s="93" t="s">
        <v>271</v>
      </c>
      <c r="F94" s="117">
        <v>44624</v>
      </c>
      <c r="G94" s="283">
        <v>52.52</v>
      </c>
      <c r="H94" s="277">
        <f t="shared" si="1"/>
        <v>0</v>
      </c>
      <c r="I94" s="112" t="s">
        <v>296</v>
      </c>
    </row>
    <row r="95" spans="1:9" ht="18.600000000000001" customHeight="1" x14ac:dyDescent="0.25">
      <c r="A95" s="522"/>
      <c r="B95" s="103" t="s">
        <v>267</v>
      </c>
      <c r="C95" s="269" t="s">
        <v>483</v>
      </c>
      <c r="D95" s="110">
        <v>4531.34</v>
      </c>
      <c r="E95" s="93" t="s">
        <v>193</v>
      </c>
      <c r="F95" s="117">
        <v>44624</v>
      </c>
      <c r="G95" s="283">
        <v>4531.34</v>
      </c>
      <c r="H95" s="277">
        <f t="shared" si="1"/>
        <v>0</v>
      </c>
      <c r="I95" s="112" t="s">
        <v>296</v>
      </c>
    </row>
    <row r="96" spans="1:9" ht="18.600000000000001" customHeight="1" x14ac:dyDescent="0.25">
      <c r="A96" s="522"/>
      <c r="B96" s="103" t="s">
        <v>386</v>
      </c>
      <c r="C96" s="269" t="s">
        <v>485</v>
      </c>
      <c r="D96" s="110">
        <v>1931.86</v>
      </c>
      <c r="E96" s="93" t="s">
        <v>486</v>
      </c>
      <c r="F96" s="117">
        <v>44624</v>
      </c>
      <c r="G96" s="283">
        <v>1931.86</v>
      </c>
      <c r="H96" s="277">
        <f t="shared" si="1"/>
        <v>0</v>
      </c>
      <c r="I96" s="112" t="s">
        <v>296</v>
      </c>
    </row>
    <row r="97" spans="1:9" ht="18.600000000000001" customHeight="1" x14ac:dyDescent="0.25">
      <c r="A97" s="522"/>
      <c r="B97" s="103" t="s">
        <v>159</v>
      </c>
      <c r="C97" s="270" t="s">
        <v>447</v>
      </c>
      <c r="D97" s="110">
        <v>3000</v>
      </c>
      <c r="E97" s="93" t="s">
        <v>188</v>
      </c>
      <c r="F97" s="116">
        <v>44625</v>
      </c>
      <c r="G97" s="283">
        <v>3000</v>
      </c>
      <c r="H97" s="277">
        <f t="shared" si="1"/>
        <v>0</v>
      </c>
      <c r="I97" s="112"/>
    </row>
    <row r="98" spans="1:9" ht="18.600000000000001" customHeight="1" x14ac:dyDescent="0.25">
      <c r="A98" s="522"/>
      <c r="B98" s="103" t="s">
        <v>455</v>
      </c>
      <c r="C98" s="265" t="s">
        <v>456</v>
      </c>
      <c r="D98" s="110">
        <v>1052.3399999999999</v>
      </c>
      <c r="E98" s="89"/>
      <c r="F98" s="111">
        <v>44625</v>
      </c>
      <c r="G98" s="280"/>
      <c r="H98" s="277">
        <f t="shared" si="1"/>
        <v>1052.3399999999999</v>
      </c>
      <c r="I98" s="112"/>
    </row>
    <row r="99" spans="1:9" ht="18.600000000000001" customHeight="1" x14ac:dyDescent="0.25">
      <c r="A99" s="522"/>
      <c r="B99" s="102" t="s">
        <v>460</v>
      </c>
      <c r="C99" s="265" t="s">
        <v>461</v>
      </c>
      <c r="D99" s="110">
        <v>650</v>
      </c>
      <c r="E99" s="89" t="s">
        <v>188</v>
      </c>
      <c r="F99" s="111">
        <v>44630</v>
      </c>
      <c r="G99" s="281">
        <v>650</v>
      </c>
      <c r="H99" s="277">
        <f t="shared" si="1"/>
        <v>0</v>
      </c>
      <c r="I99" s="109"/>
    </row>
    <row r="100" spans="1:9" ht="18.600000000000001" customHeight="1" x14ac:dyDescent="0.25">
      <c r="A100" s="522"/>
      <c r="B100" s="103" t="s">
        <v>446</v>
      </c>
      <c r="C100" s="269"/>
      <c r="D100" s="110">
        <v>46530.36</v>
      </c>
      <c r="E100" s="93"/>
      <c r="F100" s="117">
        <v>44635</v>
      </c>
      <c r="G100" s="281">
        <v>46530.36</v>
      </c>
      <c r="H100" s="277">
        <f t="shared" si="1"/>
        <v>0</v>
      </c>
      <c r="I100" s="313">
        <v>44650</v>
      </c>
    </row>
    <row r="101" spans="1:9" ht="18.600000000000001" customHeight="1" x14ac:dyDescent="0.25">
      <c r="A101" s="522"/>
      <c r="B101" s="103" t="s">
        <v>340</v>
      </c>
      <c r="C101" s="269" t="s">
        <v>474</v>
      </c>
      <c r="D101" s="110">
        <v>511.2</v>
      </c>
      <c r="E101" s="93"/>
      <c r="F101" s="117">
        <v>44635</v>
      </c>
      <c r="G101" s="281">
        <v>511.2</v>
      </c>
      <c r="H101" s="277">
        <f t="shared" si="1"/>
        <v>0</v>
      </c>
      <c r="I101" s="112" t="s">
        <v>296</v>
      </c>
    </row>
    <row r="102" spans="1:9" ht="18.600000000000001" customHeight="1" x14ac:dyDescent="0.25">
      <c r="A102" s="522"/>
      <c r="B102" s="103" t="s">
        <v>488</v>
      </c>
      <c r="C102" s="269" t="s">
        <v>489</v>
      </c>
      <c r="D102" s="110">
        <v>10623.14</v>
      </c>
      <c r="E102" s="93" t="s">
        <v>490</v>
      </c>
      <c r="F102" s="117">
        <v>44650</v>
      </c>
      <c r="G102" s="281">
        <v>10623.14</v>
      </c>
      <c r="H102" s="277">
        <f t="shared" si="1"/>
        <v>0</v>
      </c>
      <c r="I102" s="112" t="s">
        <v>296</v>
      </c>
    </row>
    <row r="103" spans="1:9" ht="18.600000000000001" customHeight="1" x14ac:dyDescent="0.25">
      <c r="A103" s="522"/>
      <c r="B103" s="103" t="s">
        <v>202</v>
      </c>
      <c r="C103" s="269" t="s">
        <v>347</v>
      </c>
      <c r="D103" s="110">
        <v>4049.28</v>
      </c>
      <c r="E103" s="93" t="s">
        <v>348</v>
      </c>
      <c r="F103" s="117">
        <v>44651</v>
      </c>
      <c r="G103" s="281">
        <v>4049.28</v>
      </c>
      <c r="H103" s="277">
        <f t="shared" si="1"/>
        <v>0</v>
      </c>
      <c r="I103" s="313">
        <v>44676</v>
      </c>
    </row>
    <row r="104" spans="1:9" ht="18.600000000000001" customHeight="1" x14ac:dyDescent="0.25">
      <c r="A104" s="522"/>
      <c r="B104" s="103" t="s">
        <v>202</v>
      </c>
      <c r="C104" s="269" t="s">
        <v>349</v>
      </c>
      <c r="D104" s="110">
        <v>23617.22</v>
      </c>
      <c r="E104" s="93" t="s">
        <v>188</v>
      </c>
      <c r="F104" s="117">
        <v>44651</v>
      </c>
      <c r="G104" s="281">
        <v>23617.22</v>
      </c>
      <c r="H104" s="277">
        <f t="shared" si="1"/>
        <v>0</v>
      </c>
      <c r="I104" s="313">
        <v>44676</v>
      </c>
    </row>
    <row r="105" spans="1:9" ht="18.600000000000001" customHeight="1" x14ac:dyDescent="0.25">
      <c r="A105" s="522"/>
      <c r="B105" s="103" t="s">
        <v>202</v>
      </c>
      <c r="C105" s="269" t="s">
        <v>365</v>
      </c>
      <c r="D105" s="110">
        <v>4378.08</v>
      </c>
      <c r="E105" s="93" t="s">
        <v>348</v>
      </c>
      <c r="F105" s="117">
        <v>44651</v>
      </c>
      <c r="G105" s="281">
        <v>4378.08</v>
      </c>
      <c r="H105" s="277">
        <f t="shared" si="1"/>
        <v>0</v>
      </c>
      <c r="I105" s="313">
        <v>44676</v>
      </c>
    </row>
    <row r="106" spans="1:9" ht="18.600000000000001" customHeight="1" x14ac:dyDescent="0.25">
      <c r="A106" s="522"/>
      <c r="B106" s="103" t="s">
        <v>202</v>
      </c>
      <c r="C106" s="269" t="s">
        <v>366</v>
      </c>
      <c r="D106" s="110">
        <v>27679.1</v>
      </c>
      <c r="E106" s="93" t="s">
        <v>188</v>
      </c>
      <c r="F106" s="117">
        <v>44651</v>
      </c>
      <c r="G106" s="281">
        <v>27679.1</v>
      </c>
      <c r="H106" s="277">
        <f t="shared" si="1"/>
        <v>0</v>
      </c>
      <c r="I106" s="313">
        <v>44676</v>
      </c>
    </row>
    <row r="107" spans="1:9" ht="18.600000000000001" customHeight="1" x14ac:dyDescent="0.25">
      <c r="A107" s="522"/>
      <c r="B107" s="103" t="s">
        <v>462</v>
      </c>
      <c r="C107" s="269" t="s">
        <v>463</v>
      </c>
      <c r="D107" s="118">
        <v>220.8</v>
      </c>
      <c r="E107" s="93"/>
      <c r="F107" s="117">
        <v>44651</v>
      </c>
      <c r="G107" s="281"/>
      <c r="H107" s="277">
        <f t="shared" si="1"/>
        <v>220.8</v>
      </c>
      <c r="I107" s="112"/>
    </row>
    <row r="108" spans="1:9" ht="20.25" customHeight="1" x14ac:dyDescent="0.25">
      <c r="A108" s="522"/>
      <c r="B108" s="103" t="s">
        <v>512</v>
      </c>
      <c r="C108" s="269" t="s">
        <v>513</v>
      </c>
      <c r="D108" s="110">
        <v>1900</v>
      </c>
      <c r="E108" s="101"/>
      <c r="F108" s="117">
        <v>44635</v>
      </c>
      <c r="G108" s="281">
        <v>1900</v>
      </c>
      <c r="H108" s="277">
        <f t="shared" si="1"/>
        <v>0</v>
      </c>
      <c r="I108" s="112"/>
    </row>
    <row r="109" spans="1:9" ht="20.25" customHeight="1" x14ac:dyDescent="0.25">
      <c r="A109" s="522"/>
      <c r="B109" s="103" t="s">
        <v>337</v>
      </c>
      <c r="C109" s="269" t="s">
        <v>555</v>
      </c>
      <c r="D109" s="110">
        <v>480</v>
      </c>
      <c r="E109" s="101" t="s">
        <v>556</v>
      </c>
      <c r="F109" s="117">
        <v>44650</v>
      </c>
      <c r="G109" s="282">
        <v>480</v>
      </c>
      <c r="H109" s="277">
        <f t="shared" si="1"/>
        <v>0</v>
      </c>
      <c r="I109" s="313">
        <v>44650</v>
      </c>
    </row>
    <row r="110" spans="1:9" ht="20.25" customHeight="1" x14ac:dyDescent="0.25">
      <c r="A110" s="522"/>
      <c r="B110" s="103" t="s">
        <v>573</v>
      </c>
      <c r="C110" s="269"/>
      <c r="D110" s="110">
        <v>1900</v>
      </c>
      <c r="E110" s="101" t="s">
        <v>193</v>
      </c>
      <c r="F110" s="117">
        <v>44645</v>
      </c>
      <c r="G110" s="282">
        <v>1900</v>
      </c>
      <c r="H110" s="277">
        <f t="shared" si="1"/>
        <v>0</v>
      </c>
      <c r="I110" s="112"/>
    </row>
    <row r="111" spans="1:9" ht="20.25" customHeight="1" x14ac:dyDescent="0.25">
      <c r="A111" s="522"/>
      <c r="B111" s="103" t="s">
        <v>577</v>
      </c>
      <c r="C111" s="269" t="s">
        <v>578</v>
      </c>
      <c r="D111" s="110">
        <v>2400</v>
      </c>
      <c r="E111" s="101" t="s">
        <v>579</v>
      </c>
      <c r="F111" s="117">
        <v>44650</v>
      </c>
      <c r="G111" s="282">
        <v>2400</v>
      </c>
      <c r="H111" s="277">
        <f t="shared" si="1"/>
        <v>0</v>
      </c>
      <c r="I111" s="313">
        <v>44650</v>
      </c>
    </row>
    <row r="112" spans="1:9" ht="20.25" customHeight="1" x14ac:dyDescent="0.25">
      <c r="A112" s="522"/>
      <c r="B112" s="103" t="s">
        <v>580</v>
      </c>
      <c r="C112" s="269" t="s">
        <v>581</v>
      </c>
      <c r="D112" s="110">
        <v>720</v>
      </c>
      <c r="E112" s="101" t="s">
        <v>582</v>
      </c>
      <c r="F112" s="117">
        <v>44637</v>
      </c>
      <c r="G112" s="282">
        <v>720</v>
      </c>
      <c r="H112" s="277">
        <f t="shared" si="1"/>
        <v>0</v>
      </c>
      <c r="I112" s="313">
        <v>44650</v>
      </c>
    </row>
    <row r="113" spans="1:9" ht="20.25" customHeight="1" x14ac:dyDescent="0.25">
      <c r="A113" s="522"/>
      <c r="B113" s="103"/>
      <c r="C113" s="269"/>
      <c r="D113" s="110"/>
      <c r="E113" s="101"/>
      <c r="F113" s="117"/>
      <c r="G113" s="282"/>
      <c r="H113" s="277">
        <f t="shared" si="1"/>
        <v>0</v>
      </c>
      <c r="I113" s="112"/>
    </row>
    <row r="114" spans="1:9" ht="18.600000000000001" customHeight="1" x14ac:dyDescent="0.25">
      <c r="A114" s="522"/>
      <c r="B114" s="260" t="s">
        <v>140</v>
      </c>
      <c r="C114" s="268"/>
      <c r="D114" s="261">
        <f>SUM(D90:D113)</f>
        <v>142521.15999999997</v>
      </c>
      <c r="E114" s="262"/>
      <c r="F114" s="263"/>
      <c r="G114" s="286"/>
      <c r="H114" s="300">
        <f>+SUM(H90:H111)</f>
        <v>1273.1399999999999</v>
      </c>
      <c r="I114" s="255"/>
    </row>
    <row r="115" spans="1:9" ht="21" customHeight="1" x14ac:dyDescent="0.25">
      <c r="A115" s="304"/>
      <c r="B115" s="305"/>
      <c r="C115" s="306"/>
      <c r="D115" s="307"/>
      <c r="E115" s="84"/>
    </row>
    <row r="116" spans="1:9" ht="21" customHeight="1" x14ac:dyDescent="0.25">
      <c r="A116" s="119" t="s">
        <v>126</v>
      </c>
      <c r="B116" s="104"/>
      <c r="C116" s="271"/>
      <c r="D116" s="274">
        <f>+SUM(D114+D89+D42)</f>
        <v>304503.19999999995</v>
      </c>
    </row>
  </sheetData>
  <sortState xmlns:xlrd2="http://schemas.microsoft.com/office/spreadsheetml/2017/richdata2" ref="B44:F85">
    <sortCondition ref="F44:F85"/>
  </sortState>
  <mergeCells count="7">
    <mergeCell ref="A2:A32"/>
    <mergeCell ref="A43:A89"/>
    <mergeCell ref="A90:A114"/>
    <mergeCell ref="K9:L9"/>
    <mergeCell ref="K12:L12"/>
    <mergeCell ref="K18:M18"/>
    <mergeCell ref="K15:L15"/>
  </mergeCells>
  <phoneticPr fontId="70" type="noConversion"/>
  <conditionalFormatting sqref="D90 C91:E91 B92:G96 C97:D98 F97:G98 B71:G71 B2:I2 B73:G73 B43:I43 F20:F24 B3:G20 C21:G21 B24 B89:G89 D32:G33 B44:E51 G44:G51 B52:G67 H44:I73 B114:G114 I114 I3:I12 H85:H88 B88:F88 I14:I15 B74:H82 I74:I84 B34:G37 H3:H37 B38:I41 B108:I113 B99:G107 I91:I107 G100:G108 H90:H113">
    <cfRule type="expression" dxfId="1002" priority="294">
      <formula>MOD(ROW(),2)=1</formula>
    </cfRule>
  </conditionalFormatting>
  <conditionalFormatting sqref="F2:G13">
    <cfRule type="timePeriod" dxfId="1001" priority="282" timePeriod="yesterday">
      <formula>FLOOR(F2,1)=TODAY()-1</formula>
    </cfRule>
    <cfRule type="timePeriod" dxfId="1000" priority="284" timePeriod="today">
      <formula>FLOOR(F2,1)=TODAY()</formula>
    </cfRule>
    <cfRule type="cellIs" dxfId="999" priority="285" operator="lessThan">
      <formula>_xludf.today()</formula>
    </cfRule>
  </conditionalFormatting>
  <conditionalFormatting sqref="F71:G71 F2:G21 F20:F24 F89:G89 F43:G43 G44:G51 F52:G67 F88 F73:G82 F32:G41 F92:G114">
    <cfRule type="cellIs" dxfId="998" priority="277" operator="lessThan">
      <formula>TODAY()</formula>
    </cfRule>
    <cfRule type="timePeriod" dxfId="997" priority="278" timePeriod="last7Days">
      <formula>AND(TODAY()-FLOOR(F2,1)&lt;=6,FLOOR(F2,1)&lt;=TODAY())</formula>
    </cfRule>
    <cfRule type="timePeriod" dxfId="996" priority="279" timePeriod="yesterday">
      <formula>FLOOR(F2,1)=TODAY()-1</formula>
    </cfRule>
    <cfRule type="timePeriod" dxfId="995" priority="280" timePeriod="lastMonth">
      <formula>AND(MONTH(F2)=MONTH(EDATE(TODAY(),0-1)),YEAR(F2)=YEAR(EDATE(TODAY(),0-1)))</formula>
    </cfRule>
    <cfRule type="timePeriod" dxfId="994" priority="281" timePeriod="yesterday">
      <formula>FLOOR(F2,1)=TODAY()-1</formula>
    </cfRule>
    <cfRule type="timePeriod" dxfId="993" priority="283" timePeriod="today">
      <formula>FLOOR(F2,1)=TODAY()</formula>
    </cfRule>
  </conditionalFormatting>
  <conditionalFormatting sqref="B90:E90 B91 I90">
    <cfRule type="expression" dxfId="992" priority="275">
      <formula>MOD(ROW(),2)=1</formula>
    </cfRule>
  </conditionalFormatting>
  <conditionalFormatting sqref="F14:G14">
    <cfRule type="timePeriod" dxfId="991" priority="266" timePeriod="yesterday">
      <formula>FLOOR(F14,1)=TODAY()-1</formula>
    </cfRule>
    <cfRule type="timePeriod" dxfId="990" priority="267" timePeriod="today">
      <formula>FLOOR(F14,1)=TODAY()</formula>
    </cfRule>
    <cfRule type="cellIs" dxfId="989" priority="268" operator="lessThan">
      <formula>_xludf.today()</formula>
    </cfRule>
  </conditionalFormatting>
  <conditionalFormatting sqref="F15:G15">
    <cfRule type="timePeriod" dxfId="988" priority="263" timePeriod="yesterday">
      <formula>FLOOR(F15,1)=TODAY()-1</formula>
    </cfRule>
    <cfRule type="timePeriod" dxfId="987" priority="264" timePeriod="today">
      <formula>FLOOR(F15,1)=TODAY()</formula>
    </cfRule>
    <cfRule type="cellIs" dxfId="986" priority="265" operator="lessThan">
      <formula>_xludf.today()</formula>
    </cfRule>
  </conditionalFormatting>
  <conditionalFormatting sqref="B22:G25">
    <cfRule type="expression" dxfId="985" priority="253">
      <formula>MOD(ROW(),2)=1</formula>
    </cfRule>
  </conditionalFormatting>
  <conditionalFormatting sqref="F22:G25">
    <cfRule type="cellIs" dxfId="984" priority="247" operator="lessThan">
      <formula>TODAY()</formula>
    </cfRule>
    <cfRule type="timePeriod" dxfId="983" priority="248" timePeriod="last7Days">
      <formula>AND(TODAY()-FLOOR(F22,1)&lt;=6,FLOOR(F22,1)&lt;=TODAY())</formula>
    </cfRule>
    <cfRule type="timePeriod" dxfId="982" priority="249" timePeriod="yesterday">
      <formula>FLOOR(F22,1)=TODAY()-1</formula>
    </cfRule>
    <cfRule type="timePeriod" dxfId="981" priority="250" timePeriod="lastMonth">
      <formula>AND(MONTH(F22)=MONTH(EDATE(TODAY(),0-1)),YEAR(F22)=YEAR(EDATE(TODAY(),0-1)))</formula>
    </cfRule>
    <cfRule type="timePeriod" dxfId="980" priority="251" timePeriod="yesterday">
      <formula>FLOOR(F22,1)=TODAY()-1</formula>
    </cfRule>
    <cfRule type="timePeriod" dxfId="979" priority="252" timePeriod="today">
      <formula>FLOOR(F22,1)=TODAY()</formula>
    </cfRule>
  </conditionalFormatting>
  <conditionalFormatting sqref="B26:G31 B32:C33">
    <cfRule type="expression" dxfId="978" priority="245">
      <formula>MOD(ROW(),2)=1</formula>
    </cfRule>
  </conditionalFormatting>
  <conditionalFormatting sqref="F26:G31">
    <cfRule type="cellIs" dxfId="977" priority="239" operator="lessThan">
      <formula>TODAY()</formula>
    </cfRule>
    <cfRule type="timePeriod" dxfId="976" priority="240" timePeriod="last7Days">
      <formula>AND(TODAY()-FLOOR(F26,1)&lt;=6,FLOOR(F26,1)&lt;=TODAY())</formula>
    </cfRule>
    <cfRule type="timePeriod" dxfId="975" priority="241" timePeriod="yesterday">
      <formula>FLOOR(F26,1)=TODAY()-1</formula>
    </cfRule>
    <cfRule type="timePeriod" dxfId="974" priority="242" timePeriod="lastMonth">
      <formula>AND(MONTH(F26)=MONTH(EDATE(TODAY(),0-1)),YEAR(F26)=YEAR(EDATE(TODAY(),0-1)))</formula>
    </cfRule>
    <cfRule type="timePeriod" dxfId="973" priority="243" timePeriod="yesterday">
      <formula>FLOOR(F26,1)=TODAY()-1</formula>
    </cfRule>
    <cfRule type="timePeriod" dxfId="972" priority="244" timePeriod="today">
      <formula>FLOOR(F26,1)=TODAY()</formula>
    </cfRule>
  </conditionalFormatting>
  <conditionalFormatting sqref="E42:G42">
    <cfRule type="expression" dxfId="971" priority="237">
      <formula>MOD(ROW(),2)=1</formula>
    </cfRule>
  </conditionalFormatting>
  <conditionalFormatting sqref="F42:G42">
    <cfRule type="cellIs" dxfId="970" priority="231" operator="lessThan">
      <formula>TODAY()</formula>
    </cfRule>
    <cfRule type="timePeriod" dxfId="969" priority="232" timePeriod="last7Days">
      <formula>AND(TODAY()-FLOOR(F42,1)&lt;=6,FLOOR(F42,1)&lt;=TODAY())</formula>
    </cfRule>
    <cfRule type="timePeriod" dxfId="968" priority="233" timePeriod="yesterday">
      <formula>FLOOR(F42,1)=TODAY()-1</formula>
    </cfRule>
    <cfRule type="timePeriod" dxfId="967" priority="234" timePeriod="lastMonth">
      <formula>AND(MONTH(F42)=MONTH(EDATE(TODAY(),0-1)),YEAR(F42)=YEAR(EDATE(TODAY(),0-1)))</formula>
    </cfRule>
    <cfRule type="timePeriod" dxfId="966" priority="235" timePeriod="yesterday">
      <formula>FLOOR(F42,1)=TODAY()-1</formula>
    </cfRule>
    <cfRule type="timePeriod" dxfId="965" priority="236" timePeriod="today">
      <formula>FLOOR(F42,1)=TODAY()</formula>
    </cfRule>
  </conditionalFormatting>
  <conditionalFormatting sqref="I16:I25">
    <cfRule type="expression" dxfId="964" priority="218">
      <formula>MOD(ROW(),2)=1</formula>
    </cfRule>
  </conditionalFormatting>
  <conditionalFormatting sqref="I42">
    <cfRule type="expression" dxfId="963" priority="208">
      <formula>MOD(ROW(),2)=1</formula>
    </cfRule>
  </conditionalFormatting>
  <conditionalFormatting sqref="B43:I43 B44:E48 G44:G48">
    <cfRule type="expression" dxfId="962" priority="198">
      <formula>MOD(ROW(),2)=1</formula>
    </cfRule>
  </conditionalFormatting>
  <conditionalFormatting sqref="D43:D48">
    <cfRule type="expression" dxfId="961" priority="196">
      <formula>MOD(ROW(),2)=1</formula>
    </cfRule>
  </conditionalFormatting>
  <conditionalFormatting sqref="B49:E49 G49">
    <cfRule type="expression" dxfId="960" priority="194">
      <formula>MOD(ROW(),2)=1</formula>
    </cfRule>
  </conditionalFormatting>
  <conditionalFormatting sqref="D49">
    <cfRule type="expression" dxfId="959" priority="192">
      <formula>MOD(ROW(),2)=1</formula>
    </cfRule>
  </conditionalFormatting>
  <conditionalFormatting sqref="B50:E50 G50">
    <cfRule type="expression" dxfId="958" priority="190">
      <formula>MOD(ROW(),2)=1</formula>
    </cfRule>
  </conditionalFormatting>
  <conditionalFormatting sqref="B50:D50">
    <cfRule type="expression" dxfId="957" priority="189">
      <formula>MOD(ROW(),2)=1</formula>
    </cfRule>
  </conditionalFormatting>
  <conditionalFormatting sqref="D50">
    <cfRule type="expression" dxfId="956" priority="188">
      <formula>MOD(ROW(),2)=1</formula>
    </cfRule>
  </conditionalFormatting>
  <conditionalFormatting sqref="B51:E51 G51">
    <cfRule type="expression" dxfId="955" priority="185">
      <formula>MOD(ROW(),2)=1</formula>
    </cfRule>
  </conditionalFormatting>
  <conditionalFormatting sqref="B51:E51 G51">
    <cfRule type="expression" dxfId="954" priority="183">
      <formula>MOD(ROW(),2)=1</formula>
    </cfRule>
  </conditionalFormatting>
  <conditionalFormatting sqref="B52:G55">
    <cfRule type="expression" dxfId="953" priority="179">
      <formula>MOD(ROW(),2)=1</formula>
    </cfRule>
  </conditionalFormatting>
  <conditionalFormatting sqref="E52:G53 D52:D55">
    <cfRule type="expression" dxfId="952" priority="177">
      <formula>MOD(ROW(),2)=1</formula>
    </cfRule>
  </conditionalFormatting>
  <conditionalFormatting sqref="B52:D52">
    <cfRule type="expression" dxfId="951" priority="175">
      <formula>MOD(ROW(),2)=1</formula>
    </cfRule>
  </conditionalFormatting>
  <conditionalFormatting sqref="B53:D53">
    <cfRule type="expression" dxfId="950" priority="174">
      <formula>MOD(ROW(),2)=1</formula>
    </cfRule>
  </conditionalFormatting>
  <conditionalFormatting sqref="D54:D55">
    <cfRule type="expression" dxfId="949" priority="173">
      <formula>MOD(ROW(),2)=1</formula>
    </cfRule>
  </conditionalFormatting>
  <conditionalFormatting sqref="B54:G55">
    <cfRule type="expression" dxfId="948" priority="172">
      <formula>MOD(ROW(),2)=1</formula>
    </cfRule>
  </conditionalFormatting>
  <conditionalFormatting sqref="F54:G55">
    <cfRule type="cellIs" dxfId="947" priority="166" operator="lessThan">
      <formula>TODAY()</formula>
    </cfRule>
    <cfRule type="timePeriod" dxfId="946" priority="167" timePeriod="last7Days">
      <formula>AND(TODAY()-FLOOR(F54,1)&lt;=6,FLOOR(F54,1)&lt;=TODAY())</formula>
    </cfRule>
    <cfRule type="timePeriod" dxfId="945" priority="168" timePeriod="yesterday">
      <formula>FLOOR(F54,1)=TODAY()-1</formula>
    </cfRule>
    <cfRule type="timePeriod" dxfId="944" priority="169" timePeriod="lastMonth">
      <formula>AND(MONTH(F54)=MONTH(EDATE(TODAY(),0-1)),YEAR(F54)=YEAR(EDATE(TODAY(),0-1)))</formula>
    </cfRule>
    <cfRule type="timePeriod" dxfId="943" priority="170" timePeriod="yesterday">
      <formula>FLOOR(F54,1)=TODAY()-1</formula>
    </cfRule>
    <cfRule type="timePeriod" dxfId="942" priority="171" timePeriod="today">
      <formula>FLOOR(F54,1)=TODAY()</formula>
    </cfRule>
  </conditionalFormatting>
  <conditionalFormatting sqref="B59:G59">
    <cfRule type="expression" dxfId="941" priority="163">
      <formula>MOD(ROW(),2)=1</formula>
    </cfRule>
  </conditionalFormatting>
  <conditionalFormatting sqref="B59:G59">
    <cfRule type="expression" dxfId="940" priority="161">
      <formula>MOD(ROW(),2)=1</formula>
    </cfRule>
  </conditionalFormatting>
  <conditionalFormatting sqref="F56:G58">
    <cfRule type="expression" dxfId="939" priority="157">
      <formula>MOD(ROW(),2)=1</formula>
    </cfRule>
  </conditionalFormatting>
  <conditionalFormatting sqref="F56:G58">
    <cfRule type="cellIs" dxfId="938" priority="151" operator="lessThan">
      <formula>TODAY()</formula>
    </cfRule>
    <cfRule type="timePeriod" dxfId="937" priority="152" timePeriod="last7Days">
      <formula>AND(TODAY()-FLOOR(F56,1)&lt;=6,FLOOR(F56,1)&lt;=TODAY())</formula>
    </cfRule>
    <cfRule type="timePeriod" dxfId="936" priority="153" timePeriod="yesterday">
      <formula>FLOOR(F56,1)=TODAY()-1</formula>
    </cfRule>
    <cfRule type="timePeriod" dxfId="935" priority="154" timePeriod="lastMonth">
      <formula>AND(MONTH(F56)=MONTH(EDATE(TODAY(),0-1)),YEAR(F56)=YEAR(EDATE(TODAY(),0-1)))</formula>
    </cfRule>
    <cfRule type="timePeriod" dxfId="934" priority="155" timePeriod="yesterday">
      <formula>FLOOR(F56,1)=TODAY()-1</formula>
    </cfRule>
    <cfRule type="timePeriod" dxfId="933" priority="156" timePeriod="today">
      <formula>FLOOR(F56,1)=TODAY()</formula>
    </cfRule>
  </conditionalFormatting>
  <conditionalFormatting sqref="C56:E58">
    <cfRule type="expression" dxfId="932" priority="150">
      <formula>MOD(ROW(),2)=1</formula>
    </cfRule>
  </conditionalFormatting>
  <conditionalFormatting sqref="B56:B58">
    <cfRule type="expression" dxfId="931" priority="149">
      <formula>MOD(ROW(),2)=1</formula>
    </cfRule>
  </conditionalFormatting>
  <conditionalFormatting sqref="B60:G61">
    <cfRule type="expression" dxfId="930" priority="147">
      <formula>MOD(ROW(),2)=1</formula>
    </cfRule>
  </conditionalFormatting>
  <conditionalFormatting sqref="D60:D61 E61:G61">
    <cfRule type="expression" dxfId="929" priority="145">
      <formula>MOD(ROW(),2)=1</formula>
    </cfRule>
  </conditionalFormatting>
  <conditionalFormatting sqref="B60:G60">
    <cfRule type="expression" dxfId="928" priority="143">
      <formula>MOD(ROW(),2)=1</formula>
    </cfRule>
  </conditionalFormatting>
  <conditionalFormatting sqref="F60:G60">
    <cfRule type="cellIs" dxfId="927" priority="137" operator="lessThan">
      <formula>TODAY()</formula>
    </cfRule>
    <cfRule type="timePeriod" dxfId="926" priority="138" timePeriod="last7Days">
      <formula>AND(TODAY()-FLOOR(F60,1)&lt;=6,FLOOR(F60,1)&lt;=TODAY())</formula>
    </cfRule>
    <cfRule type="timePeriod" dxfId="925" priority="139" timePeriod="yesterday">
      <formula>FLOOR(F60,1)=TODAY()-1</formula>
    </cfRule>
    <cfRule type="timePeriod" dxfId="924" priority="140" timePeriod="lastMonth">
      <formula>AND(MONTH(F60)=MONTH(EDATE(TODAY(),0-1)),YEAR(F60)=YEAR(EDATE(TODAY(),0-1)))</formula>
    </cfRule>
    <cfRule type="timePeriod" dxfId="923" priority="141" timePeriod="yesterday">
      <formula>FLOOR(F60,1)=TODAY()-1</formula>
    </cfRule>
    <cfRule type="timePeriod" dxfId="922" priority="142" timePeriod="today">
      <formula>FLOOR(F60,1)=TODAY()</formula>
    </cfRule>
  </conditionalFormatting>
  <conditionalFormatting sqref="B61:D61">
    <cfRule type="expression" dxfId="921" priority="136">
      <formula>MOD(ROW(),2)=1</formula>
    </cfRule>
  </conditionalFormatting>
  <conditionalFormatting sqref="B62:G62">
    <cfRule type="expression" dxfId="920" priority="133">
      <formula>MOD(ROW(),2)=1</formula>
    </cfRule>
  </conditionalFormatting>
  <conditionalFormatting sqref="B62:G62">
    <cfRule type="expression" dxfId="919" priority="131">
      <formula>MOD(ROW(),2)=1</formula>
    </cfRule>
  </conditionalFormatting>
  <conditionalFormatting sqref="B63:G63">
    <cfRule type="expression" dxfId="918" priority="127">
      <formula>MOD(ROW(),2)=1</formula>
    </cfRule>
  </conditionalFormatting>
  <conditionalFormatting sqref="B63:G63">
    <cfRule type="expression" dxfId="917" priority="125">
      <formula>MOD(ROW(),2)=1</formula>
    </cfRule>
  </conditionalFormatting>
  <conditionalFormatting sqref="B97:B98">
    <cfRule type="expression" dxfId="916" priority="122">
      <formula>MOD(ROW(),2)=1</formula>
    </cfRule>
  </conditionalFormatting>
  <conditionalFormatting sqref="E98">
    <cfRule type="expression" dxfId="915" priority="121">
      <formula>MOD(ROW(),2)=1</formula>
    </cfRule>
  </conditionalFormatting>
  <conditionalFormatting sqref="E97">
    <cfRule type="expression" dxfId="914" priority="120">
      <formula>MOD(ROW(),2)=1</formula>
    </cfRule>
  </conditionalFormatting>
  <conditionalFormatting sqref="F90:G91">
    <cfRule type="expression" dxfId="913" priority="119">
      <formula>MOD(ROW(),2)=1</formula>
    </cfRule>
  </conditionalFormatting>
  <conditionalFormatting sqref="F90:G91">
    <cfRule type="cellIs" dxfId="912" priority="113" operator="lessThan">
      <formula>TODAY()</formula>
    </cfRule>
    <cfRule type="timePeriod" dxfId="911" priority="114" timePeriod="last7Days">
      <formula>AND(TODAY()-FLOOR(F90,1)&lt;=6,FLOOR(F90,1)&lt;=TODAY())</formula>
    </cfRule>
    <cfRule type="timePeriod" dxfId="910" priority="115" timePeriod="yesterday">
      <formula>FLOOR(F90,1)=TODAY()-1</formula>
    </cfRule>
    <cfRule type="timePeriod" dxfId="909" priority="116" timePeriod="lastMonth">
      <formula>AND(MONTH(F90)=MONTH(EDATE(TODAY(),0-1)),YEAR(F90)=YEAR(EDATE(TODAY(),0-1)))</formula>
    </cfRule>
    <cfRule type="timePeriod" dxfId="908" priority="117" timePeriod="yesterday">
      <formula>FLOOR(F90,1)=TODAY()-1</formula>
    </cfRule>
    <cfRule type="timePeriod" dxfId="907" priority="118" timePeriod="today">
      <formula>FLOOR(F90,1)=TODAY()</formula>
    </cfRule>
  </conditionalFormatting>
  <conditionalFormatting sqref="C42:D42">
    <cfRule type="expression" dxfId="906" priority="112">
      <formula>MOD(ROW(),2)=1</formula>
    </cfRule>
  </conditionalFormatting>
  <conditionalFormatting sqref="B42">
    <cfRule type="expression" dxfId="905" priority="111">
      <formula>MOD(ROW(),2)=1</formula>
    </cfRule>
  </conditionalFormatting>
  <conditionalFormatting sqref="B68:G70">
    <cfRule type="expression" dxfId="904" priority="97">
      <formula>MOD(ROW(),2)=1</formula>
    </cfRule>
  </conditionalFormatting>
  <conditionalFormatting sqref="F68:G70">
    <cfRule type="cellIs" dxfId="903" priority="91" operator="lessThan">
      <formula>TODAY()</formula>
    </cfRule>
    <cfRule type="timePeriod" dxfId="902" priority="92" timePeriod="last7Days">
      <formula>AND(TODAY()-FLOOR(F68,1)&lt;=6,FLOOR(F68,1)&lt;=TODAY())</formula>
    </cfRule>
    <cfRule type="timePeriod" dxfId="901" priority="93" timePeriod="yesterday">
      <formula>FLOOR(F68,1)=TODAY()-1</formula>
    </cfRule>
    <cfRule type="timePeriod" dxfId="900" priority="94" timePeriod="lastMonth">
      <formula>AND(MONTH(F68)=MONTH(EDATE(TODAY(),0-1)),YEAR(F68)=YEAR(EDATE(TODAY(),0-1)))</formula>
    </cfRule>
    <cfRule type="timePeriod" dxfId="899" priority="95" timePeriod="yesterday">
      <formula>FLOOR(F68,1)=TODAY()-1</formula>
    </cfRule>
    <cfRule type="timePeriod" dxfId="898" priority="96" timePeriod="today">
      <formula>FLOOR(F68,1)=TODAY()</formula>
    </cfRule>
  </conditionalFormatting>
  <conditionalFormatting sqref="B72:G72">
    <cfRule type="expression" dxfId="897" priority="89">
      <formula>MOD(ROW(),2)=1</formula>
    </cfRule>
  </conditionalFormatting>
  <conditionalFormatting sqref="D72:G72">
    <cfRule type="expression" dxfId="896" priority="88">
      <formula>MOD(ROW(),2)=1</formula>
    </cfRule>
  </conditionalFormatting>
  <conditionalFormatting sqref="B72:D72">
    <cfRule type="expression" dxfId="895" priority="87">
      <formula>MOD(ROW(),2)=1</formula>
    </cfRule>
  </conditionalFormatting>
  <conditionalFormatting sqref="F15:F16">
    <cfRule type="timePeriod" dxfId="894" priority="82" timePeriod="yesterday">
      <formula>FLOOR(F15,1)=TODAY()-1</formula>
    </cfRule>
    <cfRule type="timePeriod" dxfId="893" priority="83" timePeriod="today">
      <formula>FLOOR(F15,1)=TODAY()</formula>
    </cfRule>
    <cfRule type="cellIs" dxfId="892" priority="84" operator="lessThan">
      <formula>_xludf.today()</formula>
    </cfRule>
  </conditionalFormatting>
  <conditionalFormatting sqref="F17">
    <cfRule type="timePeriod" dxfId="891" priority="79" timePeriod="yesterday">
      <formula>FLOOR(F17,1)=TODAY()-1</formula>
    </cfRule>
    <cfRule type="timePeriod" dxfId="890" priority="80" timePeriod="today">
      <formula>FLOOR(F17,1)=TODAY()</formula>
    </cfRule>
    <cfRule type="cellIs" dxfId="889" priority="81" operator="lessThan">
      <formula>_xludf.today()</formula>
    </cfRule>
  </conditionalFormatting>
  <conditionalFormatting sqref="F20">
    <cfRule type="timePeriod" dxfId="888" priority="76" timePeriod="yesterday">
      <formula>FLOOR(F20,1)=TODAY()-1</formula>
    </cfRule>
    <cfRule type="timePeriod" dxfId="887" priority="77" timePeriod="today">
      <formula>FLOOR(F20,1)=TODAY()</formula>
    </cfRule>
    <cfRule type="cellIs" dxfId="886" priority="78" operator="lessThan">
      <formula>_xludf.today()</formula>
    </cfRule>
  </conditionalFormatting>
  <conditionalFormatting sqref="B21">
    <cfRule type="expression" dxfId="885" priority="75">
      <formula>MOD(ROW(),2)=1</formula>
    </cfRule>
  </conditionalFormatting>
  <conditionalFormatting sqref="B21">
    <cfRule type="expression" dxfId="884" priority="74">
      <formula>MOD(ROW(),2)=1</formula>
    </cfRule>
  </conditionalFormatting>
  <conditionalFormatting sqref="B22:B23">
    <cfRule type="expression" dxfId="883" priority="73">
      <formula>MOD(ROW(),2)=1</formula>
    </cfRule>
  </conditionalFormatting>
  <conditionalFormatting sqref="I88:I89">
    <cfRule type="expression" dxfId="882" priority="71">
      <formula>MOD(ROW(),2)=1</formula>
    </cfRule>
  </conditionalFormatting>
  <conditionalFormatting sqref="I88:I89">
    <cfRule type="expression" dxfId="881" priority="69">
      <formula>MOD(ROW(),2)=1</formula>
    </cfRule>
  </conditionalFormatting>
  <conditionalFormatting sqref="I85:I87">
    <cfRule type="expression" dxfId="880" priority="62">
      <formula>MOD(ROW(),2)=1</formula>
    </cfRule>
  </conditionalFormatting>
  <conditionalFormatting sqref="I85:I87">
    <cfRule type="expression" dxfId="879" priority="60">
      <formula>MOD(ROW(),2)=1</formula>
    </cfRule>
  </conditionalFormatting>
  <conditionalFormatting sqref="E86:F87 F85">
    <cfRule type="expression" dxfId="878" priority="58">
      <formula>MOD(ROW(),2)=1</formula>
    </cfRule>
  </conditionalFormatting>
  <conditionalFormatting sqref="E86:F87 F85">
    <cfRule type="cellIs" dxfId="877" priority="52" operator="lessThan">
      <formula>TODAY()</formula>
    </cfRule>
    <cfRule type="timePeriod" dxfId="876" priority="53" timePeriod="last7Days">
      <formula>AND(TODAY()-FLOOR(E85,1)&lt;=6,FLOOR(E85,1)&lt;=TODAY())</formula>
    </cfRule>
    <cfRule type="timePeriod" dxfId="875" priority="54" timePeriod="yesterday">
      <formula>FLOOR(E85,1)=TODAY()-1</formula>
    </cfRule>
    <cfRule type="timePeriod" dxfId="874" priority="55" timePeriod="lastMonth">
      <formula>AND(MONTH(E85)=MONTH(EDATE(TODAY(),0-1)),YEAR(E85)=YEAR(EDATE(TODAY(),0-1)))</formula>
    </cfRule>
    <cfRule type="timePeriod" dxfId="873" priority="56" timePeriod="yesterday">
      <formula>FLOOR(E85,1)=TODAY()-1</formula>
    </cfRule>
    <cfRule type="timePeriod" dxfId="872" priority="57" timePeriod="today">
      <formula>FLOOR(E85,1)=TODAY()</formula>
    </cfRule>
  </conditionalFormatting>
  <conditionalFormatting sqref="B85:B87 B83:F84 H83:H84">
    <cfRule type="expression" dxfId="871" priority="51">
      <formula>MOD(ROW(),2)=1</formula>
    </cfRule>
  </conditionalFormatting>
  <conditionalFormatting sqref="F83:F84">
    <cfRule type="cellIs" dxfId="870" priority="45" operator="lessThan">
      <formula>TODAY()</formula>
    </cfRule>
    <cfRule type="timePeriod" dxfId="869" priority="46" timePeriod="last7Days">
      <formula>AND(TODAY()-FLOOR(F83,1)&lt;=6,FLOOR(F83,1)&lt;=TODAY())</formula>
    </cfRule>
    <cfRule type="timePeriod" dxfId="868" priority="47" timePeriod="yesterday">
      <formula>FLOOR(F83,1)=TODAY()-1</formula>
    </cfRule>
    <cfRule type="timePeriod" dxfId="867" priority="48" timePeriod="lastMonth">
      <formula>AND(MONTH(F83)=MONTH(EDATE(TODAY(),0-1)),YEAR(F83)=YEAR(EDATE(TODAY(),0-1)))</formula>
    </cfRule>
    <cfRule type="timePeriod" dxfId="866" priority="49" timePeriod="yesterday">
      <formula>FLOOR(F83,1)=TODAY()-1</formula>
    </cfRule>
    <cfRule type="timePeriod" dxfId="865" priority="50" timePeriod="today">
      <formula>FLOOR(F83,1)=TODAY()</formula>
    </cfRule>
  </conditionalFormatting>
  <conditionalFormatting sqref="F44:F51">
    <cfRule type="expression" dxfId="864" priority="39">
      <formula>MOD(ROW(),2)=1</formula>
    </cfRule>
  </conditionalFormatting>
  <conditionalFormatting sqref="F44:F51">
    <cfRule type="cellIs" dxfId="863" priority="33" operator="lessThan">
      <formula>TODAY()</formula>
    </cfRule>
    <cfRule type="timePeriod" dxfId="862" priority="34" timePeriod="last7Days">
      <formula>AND(TODAY()-FLOOR(F44,1)&lt;=6,FLOOR(F44,1)&lt;=TODAY())</formula>
    </cfRule>
    <cfRule type="timePeriod" dxfId="861" priority="35" timePeriod="yesterday">
      <formula>FLOOR(F44,1)=TODAY()-1</formula>
    </cfRule>
    <cfRule type="timePeriod" dxfId="860" priority="36" timePeriod="lastMonth">
      <formula>AND(MONTH(F44)=MONTH(EDATE(TODAY(),0-1)),YEAR(F44)=YEAR(EDATE(TODAY(),0-1)))</formula>
    </cfRule>
    <cfRule type="timePeriod" dxfId="859" priority="37" timePeriod="yesterday">
      <formula>FLOOR(F44,1)=TODAY()-1</formula>
    </cfRule>
    <cfRule type="timePeriod" dxfId="858" priority="38" timePeriod="today">
      <formula>FLOOR(F44,1)=TODAY()</formula>
    </cfRule>
  </conditionalFormatting>
  <conditionalFormatting sqref="F54:F55">
    <cfRule type="expression" dxfId="857" priority="32">
      <formula>MOD(ROW(),2)=1</formula>
    </cfRule>
  </conditionalFormatting>
  <conditionalFormatting sqref="H42">
    <cfRule type="expression" dxfId="856" priority="31">
      <formula>MOD(ROW(),2)=1</formula>
    </cfRule>
  </conditionalFormatting>
  <conditionalFormatting sqref="H89">
    <cfRule type="expression" dxfId="855" priority="30">
      <formula>MOD(ROW(),2)=1</formula>
    </cfRule>
  </conditionalFormatting>
  <conditionalFormatting sqref="H114">
    <cfRule type="expression" dxfId="854" priority="29">
      <formula>MOD(ROW(),2)=1</formula>
    </cfRule>
  </conditionalFormatting>
  <conditionalFormatting sqref="G83:G88">
    <cfRule type="expression" dxfId="853" priority="27">
      <formula>MOD(ROW(),2)=1</formula>
    </cfRule>
  </conditionalFormatting>
  <conditionalFormatting sqref="G83:G88">
    <cfRule type="cellIs" dxfId="852" priority="21" operator="lessThan">
      <formula>TODAY()</formula>
    </cfRule>
    <cfRule type="timePeriod" dxfId="851" priority="22" timePeriod="last7Days">
      <formula>AND(TODAY()-FLOOR(G83,1)&lt;=6,FLOOR(G83,1)&lt;=TODAY())</formula>
    </cfRule>
    <cfRule type="timePeriod" dxfId="850" priority="23" timePeriod="yesterday">
      <formula>FLOOR(G83,1)=TODAY()-1</formula>
    </cfRule>
    <cfRule type="timePeriod" dxfId="849" priority="24" timePeriod="lastMonth">
      <formula>AND(MONTH(G83)=MONTH(EDATE(TODAY(),0-1)),YEAR(G83)=YEAR(EDATE(TODAY(),0-1)))</formula>
    </cfRule>
    <cfRule type="timePeriod" dxfId="848" priority="25" timePeriod="yesterday">
      <formula>FLOOR(G83,1)=TODAY()-1</formula>
    </cfRule>
    <cfRule type="timePeriod" dxfId="847" priority="26" timePeriod="today">
      <formula>FLOOR(G83,1)=TODAY()</formula>
    </cfRule>
  </conditionalFormatting>
  <conditionalFormatting sqref="D85:D87">
    <cfRule type="expression" dxfId="846" priority="20">
      <formula>MOD(ROW(),2)=1</formula>
    </cfRule>
  </conditionalFormatting>
  <conditionalFormatting sqref="C85:C87">
    <cfRule type="expression" dxfId="845" priority="19">
      <formula>MOD(ROW(),2)=1</formula>
    </cfRule>
  </conditionalFormatting>
  <conditionalFormatting sqref="E85">
    <cfRule type="expression" dxfId="844" priority="18">
      <formula>MOD(ROW(),2)=1</formula>
    </cfRule>
  </conditionalFormatting>
  <conditionalFormatting sqref="I26:I30">
    <cfRule type="expression" dxfId="843" priority="16">
      <formula>MOD(ROW(),2)=1</formula>
    </cfRule>
  </conditionalFormatting>
  <conditionalFormatting sqref="I31">
    <cfRule type="expression" dxfId="842" priority="14">
      <formula>MOD(ROW(),2)=1</formula>
    </cfRule>
  </conditionalFormatting>
  <conditionalFormatting sqref="I13">
    <cfRule type="expression" dxfId="841" priority="12">
      <formula>MOD(ROW(),2)=1</formula>
    </cfRule>
  </conditionalFormatting>
  <conditionalFormatting sqref="I32:I37">
    <cfRule type="expression" dxfId="840" priority="1">
      <formula>MOD(ROW(),2)=1</formula>
    </cfRule>
  </conditionalFormatting>
  <printOptions horizontalCentered="1"/>
  <pageMargins left="0.25" right="0.25" top="0.75" bottom="0.75" header="0.3" footer="0.3"/>
  <pageSetup paperSize="9" scale="60" fitToHeight="0" orientation="landscape" r:id="rId1"/>
  <headerFooter>
    <oddHeader>&amp;C&amp;"+,Bold"&amp;12&amp;K04-047Bill Paying&amp;"+,Regular" - CHECKLIST</oddHeader>
    <oddFooter>&amp;C&amp;K04+000Page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95" id="{48670326-05FD-4FFF-9C4A-E6B3ACB3FAB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292" id="{D830E98C-8913-489A-9516-4E1D40DA52F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I98</xm:sqref>
        </x14:conditionalFormatting>
        <x14:conditionalFormatting xmlns:xm="http://schemas.microsoft.com/office/excel/2006/main">
          <x14:cfRule type="iconSet" priority="297" id="{723DD8E6-B88A-44A5-A478-2EFB9F7A9FA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A90 A43 A2</xm:sqref>
        </x14:conditionalFormatting>
        <x14:conditionalFormatting xmlns:xm="http://schemas.microsoft.com/office/excel/2006/main">
          <x14:cfRule type="iconSet" priority="298" id="{9D9122FB-5819-4F7E-8F1F-1573A6C9474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I43</xm:sqref>
        </x14:conditionalFormatting>
        <x14:conditionalFormatting xmlns:xm="http://schemas.microsoft.com/office/excel/2006/main">
          <x14:cfRule type="iconSet" priority="276" id="{2E82ED58-71AB-43ED-A06F-AF83BB2A5E0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I90</xm:sqref>
        </x14:conditionalFormatting>
        <x14:conditionalFormatting xmlns:xm="http://schemas.microsoft.com/office/excel/2006/main">
          <x14:cfRule type="iconSet" priority="222" id="{C39AED35-BA34-40B7-A66F-10D1EF1E44D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</xm:sqref>
        </x14:conditionalFormatting>
        <x14:conditionalFormatting xmlns:xm="http://schemas.microsoft.com/office/excel/2006/main">
          <x14:cfRule type="iconSet" priority="221" id="{BFF40C64-55D2-4A3E-B7CD-BAD14FD350B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I7:I8</xm:sqref>
        </x14:conditionalFormatting>
        <x14:conditionalFormatting xmlns:xm="http://schemas.microsoft.com/office/excel/2006/main">
          <x14:cfRule type="iconSet" priority="220" id="{F01172D8-6705-40BB-B90C-3F449876BD1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I12</xm:sqref>
        </x14:conditionalFormatting>
        <x14:conditionalFormatting xmlns:xm="http://schemas.microsoft.com/office/excel/2006/main">
          <x14:cfRule type="iconSet" priority="219" id="{1FA945ED-9366-409E-B858-958FABF163D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I16:I25</xm:sqref>
        </x14:conditionalFormatting>
        <x14:conditionalFormatting xmlns:xm="http://schemas.microsoft.com/office/excel/2006/main">
          <x14:cfRule type="iconSet" priority="217" id="{43D95B47-C916-469E-85D1-763A1226B79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I16</xm:sqref>
        </x14:conditionalFormatting>
        <x14:conditionalFormatting xmlns:xm="http://schemas.microsoft.com/office/excel/2006/main">
          <x14:cfRule type="iconSet" priority="216" id="{94C85D3E-73D5-4E45-9CEC-8FA80AEFFAD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I17</xm:sqref>
        </x14:conditionalFormatting>
        <x14:conditionalFormatting xmlns:xm="http://schemas.microsoft.com/office/excel/2006/main">
          <x14:cfRule type="iconSet" priority="215" id="{0A942EDD-A40B-499A-9311-1778C0D485A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I21</xm:sqref>
        </x14:conditionalFormatting>
        <x14:conditionalFormatting xmlns:xm="http://schemas.microsoft.com/office/excel/2006/main">
          <x14:cfRule type="iconSet" priority="209" id="{114A5AE4-F2FF-42B2-AB1B-E939D2822D9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I42</xm:sqref>
        </x14:conditionalFormatting>
        <x14:conditionalFormatting xmlns:xm="http://schemas.microsoft.com/office/excel/2006/main">
          <x14:cfRule type="iconSet" priority="199" id="{A237695E-5D5F-4B2D-AC09-36558FA31C7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I43</xm:sqref>
        </x14:conditionalFormatting>
        <x14:conditionalFormatting xmlns:xm="http://schemas.microsoft.com/office/excel/2006/main">
          <x14:cfRule type="iconSet" priority="197" id="{CE56240C-535F-4A24-BA8A-71CFDC65FCC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I43</xm:sqref>
        </x14:conditionalFormatting>
        <x14:conditionalFormatting xmlns:xm="http://schemas.microsoft.com/office/excel/2006/main">
          <x14:cfRule type="iconSet" priority="834" id="{1D216E3D-F30B-4BF3-BF8F-50F741B8BAD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I91:I98</xm:sqref>
        </x14:conditionalFormatting>
        <x14:conditionalFormatting xmlns:xm="http://schemas.microsoft.com/office/excel/2006/main">
          <x14:cfRule type="iconSet" priority="837" id="{B03E7D21-F3F2-49F2-A22C-4792254C0DA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I3:I12 I14:I15</xm:sqref>
        </x14:conditionalFormatting>
        <x14:conditionalFormatting xmlns:xm="http://schemas.microsoft.com/office/excel/2006/main">
          <x14:cfRule type="iconSet" priority="72" id="{FD9D9407-6589-4324-BBFE-7E3E0DF0DAC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I88:I89 I44:I73</xm:sqref>
        </x14:conditionalFormatting>
        <x14:conditionalFormatting xmlns:xm="http://schemas.microsoft.com/office/excel/2006/main">
          <x14:cfRule type="iconSet" priority="63" id="{144E9118-6F7D-4726-981B-47FDEF835A1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I85:I87</xm:sqref>
        </x14:conditionalFormatting>
        <x14:conditionalFormatting xmlns:xm="http://schemas.microsoft.com/office/excel/2006/main">
          <x14:cfRule type="iconSet" priority="61" id="{777249A9-40B6-4A1C-83E8-591D09DA091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I85:I87</xm:sqref>
        </x14:conditionalFormatting>
        <x14:conditionalFormatting xmlns:xm="http://schemas.microsoft.com/office/excel/2006/main">
          <x14:cfRule type="iconSet" priority="59" id="{DE3FD480-3F2D-49AC-B1AB-0F15FA8083A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I85:I87</xm:sqref>
        </x14:conditionalFormatting>
        <x14:conditionalFormatting xmlns:xm="http://schemas.microsoft.com/office/excel/2006/main">
          <x14:cfRule type="iconSet" priority="892" id="{9FC32D05-9C9A-41F7-B869-5C3A74CAD13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I44:I73</xm:sqref>
        </x14:conditionalFormatting>
        <x14:conditionalFormatting xmlns:xm="http://schemas.microsoft.com/office/excel/2006/main">
          <x14:cfRule type="iconSet" priority="28" id="{CF5F7BCB-F11C-4199-B803-4E50D18F3B4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I3:I8</xm:sqref>
        </x14:conditionalFormatting>
        <x14:conditionalFormatting xmlns:xm="http://schemas.microsoft.com/office/excel/2006/main">
          <x14:cfRule type="iconSet" priority="17" id="{3842B9F1-666E-45CD-8930-2C9F6F5D370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I26:I30</xm:sqref>
        </x14:conditionalFormatting>
        <x14:conditionalFormatting xmlns:xm="http://schemas.microsoft.com/office/excel/2006/main">
          <x14:cfRule type="iconSet" priority="15" id="{82D09764-8FAB-49E5-820E-FE9C2BE6C54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I31</xm:sqref>
        </x14:conditionalFormatting>
        <x14:conditionalFormatting xmlns:xm="http://schemas.microsoft.com/office/excel/2006/main">
          <x14:cfRule type="iconSet" priority="13" id="{BD91EB03-29BB-4D06-8F9D-8ABED2C4DFE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I13</xm:sqref>
        </x14:conditionalFormatting>
        <x14:conditionalFormatting xmlns:xm="http://schemas.microsoft.com/office/excel/2006/main">
          <x14:cfRule type="iconSet" priority="947" id="{B3DEA736-67BF-4719-BCBF-3AF03DEA24E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I74:I84</xm:sqref>
        </x14:conditionalFormatting>
        <x14:conditionalFormatting xmlns:xm="http://schemas.microsoft.com/office/excel/2006/main">
          <x14:cfRule type="iconSet" priority="2" id="{BC8E82C7-40C0-4238-B85B-57D276C5E91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I32:I37</xm:sqref>
        </x14:conditionalFormatting>
        <x14:conditionalFormatting xmlns:xm="http://schemas.microsoft.com/office/excel/2006/main">
          <x14:cfRule type="iconSet" priority="996" id="{3EF51B49-F605-4A15-AC07-A071EBBBC85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I38</xm:sqref>
        </x14:conditionalFormatting>
        <x14:conditionalFormatting xmlns:xm="http://schemas.microsoft.com/office/excel/2006/main">
          <x14:cfRule type="iconSet" priority="1002" id="{308FCEDA-1460-4C8A-B023-5812FD8B9BB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I38:I41</xm:sqref>
        </x14:conditionalFormatting>
        <x14:conditionalFormatting xmlns:xm="http://schemas.microsoft.com/office/excel/2006/main">
          <x14:cfRule type="iconSet" priority="1362" id="{FB93FDA7-3523-48D3-84B5-BE22905270A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I99:I114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E4F8-A694-4292-AD58-0A551E7FE6F3}">
  <sheetPr>
    <tabColor rgb="FF002060"/>
    <pageSetUpPr autoPageBreaks="0" fitToPage="1"/>
  </sheetPr>
  <dimension ref="A1:M111"/>
  <sheetViews>
    <sheetView showGridLines="0" zoomScale="85" zoomScaleNormal="85" zoomScaleSheetLayoutView="85" zoomScalePageLayoutView="55" workbookViewId="0">
      <pane ySplit="1" topLeftCell="A74" activePane="bottomLeft" state="frozen"/>
      <selection activeCell="B85" sqref="B85:I88"/>
      <selection pane="bottomLeft" activeCell="G93" sqref="G93"/>
    </sheetView>
  </sheetViews>
  <sheetFormatPr baseColWidth="10" defaultColWidth="9.140625" defaultRowHeight="21" customHeight="1" x14ac:dyDescent="0.25"/>
  <cols>
    <col min="1" max="1" width="22.85546875" style="122" customWidth="1"/>
    <col min="2" max="2" width="27.140625" style="105" customWidth="1"/>
    <col min="3" max="3" width="24.5703125" style="272" customWidth="1"/>
    <col min="4" max="4" width="24" style="123" customWidth="1"/>
    <col min="5" max="5" width="45.7109375" style="83" customWidth="1"/>
    <col min="6" max="6" width="20.42578125" style="120" customWidth="1"/>
    <col min="7" max="7" width="20.42578125" style="287" customWidth="1"/>
    <col min="8" max="8" width="21" style="83" customWidth="1"/>
    <col min="9" max="9" width="19.85546875" style="121" customWidth="1"/>
    <col min="10" max="11" width="9.140625" style="58"/>
    <col min="12" max="12" width="11.42578125" style="58" bestFit="1" customWidth="1"/>
    <col min="13" max="16384" width="9.140625" style="58"/>
  </cols>
  <sheetData>
    <row r="1" spans="1:13" s="163" customFormat="1" ht="24" customHeight="1" x14ac:dyDescent="0.25">
      <c r="A1" s="99" t="s">
        <v>101</v>
      </c>
      <c r="B1" s="99" t="s">
        <v>143</v>
      </c>
      <c r="C1" s="264" t="s">
        <v>142</v>
      </c>
      <c r="D1" s="99" t="s">
        <v>148</v>
      </c>
      <c r="E1" s="99" t="s">
        <v>141</v>
      </c>
      <c r="F1" s="99" t="s">
        <v>103</v>
      </c>
      <c r="G1" s="279" t="s">
        <v>487</v>
      </c>
      <c r="H1" s="99" t="s">
        <v>494</v>
      </c>
      <c r="I1" s="107" t="s">
        <v>105</v>
      </c>
    </row>
    <row r="2" spans="1:13" ht="18.600000000000001" customHeight="1" x14ac:dyDescent="0.25">
      <c r="A2" s="523" t="s">
        <v>122</v>
      </c>
      <c r="B2" s="289" t="s">
        <v>174</v>
      </c>
      <c r="C2" s="265" t="s">
        <v>491</v>
      </c>
      <c r="D2" s="365">
        <v>-346.5</v>
      </c>
      <c r="E2" s="404" t="s">
        <v>326</v>
      </c>
      <c r="F2" s="427">
        <v>44666</v>
      </c>
      <c r="G2" s="428">
        <v>-346.5</v>
      </c>
      <c r="H2" s="429">
        <f t="shared" ref="H2:H36" si="0">D2-G2</f>
        <v>0</v>
      </c>
      <c r="I2" s="415"/>
    </row>
    <row r="3" spans="1:13" ht="18.600000000000001" customHeight="1" x14ac:dyDescent="0.25">
      <c r="A3" s="523"/>
      <c r="B3" s="289" t="s">
        <v>174</v>
      </c>
      <c r="C3" s="265" t="s">
        <v>454</v>
      </c>
      <c r="D3" s="110">
        <v>13075.05</v>
      </c>
      <c r="E3" s="404" t="s">
        <v>188</v>
      </c>
      <c r="F3" s="430">
        <v>44666</v>
      </c>
      <c r="G3" s="431">
        <v>13075.05</v>
      </c>
      <c r="H3" s="432">
        <f t="shared" si="0"/>
        <v>0</v>
      </c>
      <c r="I3" s="415"/>
    </row>
    <row r="4" spans="1:13" ht="18.600000000000001" customHeight="1" x14ac:dyDescent="0.3">
      <c r="A4" s="523"/>
      <c r="B4" s="289" t="s">
        <v>323</v>
      </c>
      <c r="C4" s="265" t="s">
        <v>557</v>
      </c>
      <c r="D4" s="110">
        <v>90</v>
      </c>
      <c r="E4" s="404" t="s">
        <v>188</v>
      </c>
      <c r="F4" s="430">
        <v>44671</v>
      </c>
      <c r="G4" s="431">
        <v>90</v>
      </c>
      <c r="H4" s="432">
        <f t="shared" si="0"/>
        <v>0</v>
      </c>
      <c r="I4" s="415"/>
      <c r="K4" s="249"/>
    </row>
    <row r="5" spans="1:13" ht="18.600000000000001" customHeight="1" x14ac:dyDescent="0.3">
      <c r="A5" s="523"/>
      <c r="B5" s="289" t="s">
        <v>323</v>
      </c>
      <c r="C5" s="265" t="s">
        <v>558</v>
      </c>
      <c r="D5" s="110">
        <v>418.21</v>
      </c>
      <c r="E5" s="404" t="s">
        <v>188</v>
      </c>
      <c r="F5" s="430">
        <v>44671</v>
      </c>
      <c r="G5" s="431">
        <v>418.21</v>
      </c>
      <c r="H5" s="432">
        <f t="shared" si="0"/>
        <v>0</v>
      </c>
      <c r="I5" s="415"/>
      <c r="K5" s="76"/>
    </row>
    <row r="6" spans="1:13" ht="18.600000000000001" customHeight="1" x14ac:dyDescent="0.3">
      <c r="A6" s="523"/>
      <c r="B6" s="289" t="s">
        <v>323</v>
      </c>
      <c r="C6" s="265" t="s">
        <v>559</v>
      </c>
      <c r="D6" s="110">
        <v>90</v>
      </c>
      <c r="E6" s="404" t="s">
        <v>188</v>
      </c>
      <c r="F6" s="430">
        <v>44671</v>
      </c>
      <c r="G6" s="431">
        <v>90</v>
      </c>
      <c r="H6" s="432">
        <f t="shared" si="0"/>
        <v>0</v>
      </c>
      <c r="I6" s="415"/>
      <c r="K6" s="76" t="s">
        <v>479</v>
      </c>
    </row>
    <row r="7" spans="1:13" ht="18.600000000000001" customHeight="1" x14ac:dyDescent="0.3">
      <c r="A7" s="523"/>
      <c r="B7" s="289" t="s">
        <v>323</v>
      </c>
      <c r="C7" s="265" t="s">
        <v>560</v>
      </c>
      <c r="D7" s="110">
        <v>90</v>
      </c>
      <c r="E7" s="404" t="s">
        <v>188</v>
      </c>
      <c r="F7" s="430">
        <v>44671</v>
      </c>
      <c r="G7" s="431">
        <v>90</v>
      </c>
      <c r="H7" s="432">
        <f t="shared" si="0"/>
        <v>0</v>
      </c>
      <c r="I7" s="415"/>
      <c r="K7" s="76"/>
    </row>
    <row r="8" spans="1:13" ht="18.600000000000001" customHeight="1" x14ac:dyDescent="0.3">
      <c r="A8" s="523"/>
      <c r="B8" s="322" t="s">
        <v>323</v>
      </c>
      <c r="C8" s="265" t="s">
        <v>608</v>
      </c>
      <c r="D8" s="110">
        <v>2556.37</v>
      </c>
      <c r="E8" s="404" t="s">
        <v>188</v>
      </c>
      <c r="F8" s="430">
        <v>44671</v>
      </c>
      <c r="G8" s="431">
        <v>2556.37</v>
      </c>
      <c r="H8" s="432">
        <f t="shared" si="0"/>
        <v>0</v>
      </c>
      <c r="I8" s="415"/>
      <c r="K8" s="502">
        <f>D109</f>
        <v>135092.28000000003</v>
      </c>
      <c r="L8" s="502"/>
    </row>
    <row r="9" spans="1:13" ht="18.600000000000001" customHeight="1" x14ac:dyDescent="0.3">
      <c r="A9" s="523"/>
      <c r="B9" s="289" t="s">
        <v>323</v>
      </c>
      <c r="C9" s="265" t="s">
        <v>609</v>
      </c>
      <c r="D9" s="110">
        <v>300</v>
      </c>
      <c r="E9" s="404" t="s">
        <v>188</v>
      </c>
      <c r="F9" s="430">
        <v>44671</v>
      </c>
      <c r="G9" s="431">
        <v>300</v>
      </c>
      <c r="H9" s="432">
        <f t="shared" si="0"/>
        <v>0</v>
      </c>
      <c r="I9" s="415"/>
      <c r="K9" s="76"/>
    </row>
    <row r="10" spans="1:13" ht="18.600000000000001" customHeight="1" x14ac:dyDescent="0.3">
      <c r="A10" s="523"/>
      <c r="B10" s="289" t="s">
        <v>640</v>
      </c>
      <c r="C10" s="265" t="s">
        <v>641</v>
      </c>
      <c r="D10" s="110">
        <v>1273.96</v>
      </c>
      <c r="E10" s="404" t="s">
        <v>188</v>
      </c>
      <c r="F10" s="430">
        <v>44671</v>
      </c>
      <c r="G10" s="431">
        <v>1273.96</v>
      </c>
      <c r="H10" s="432">
        <f t="shared" si="0"/>
        <v>0</v>
      </c>
      <c r="I10" s="416"/>
      <c r="K10" s="502">
        <f>D37</f>
        <v>99554.35</v>
      </c>
      <c r="L10" s="502"/>
    </row>
    <row r="11" spans="1:13" ht="18.600000000000001" customHeight="1" x14ac:dyDescent="0.25">
      <c r="A11" s="523"/>
      <c r="B11" s="289" t="s">
        <v>640</v>
      </c>
      <c r="C11" s="265" t="s">
        <v>642</v>
      </c>
      <c r="D11" s="110">
        <v>2034.65</v>
      </c>
      <c r="E11" s="404" t="s">
        <v>188</v>
      </c>
      <c r="F11" s="430">
        <v>44671</v>
      </c>
      <c r="G11" s="431">
        <v>2034.65</v>
      </c>
      <c r="H11" s="432">
        <f t="shared" si="0"/>
        <v>0</v>
      </c>
      <c r="I11" s="416"/>
    </row>
    <row r="12" spans="1:13" ht="18.600000000000001" customHeight="1" x14ac:dyDescent="0.3">
      <c r="A12" s="523"/>
      <c r="B12" s="289" t="s">
        <v>231</v>
      </c>
      <c r="C12" s="265" t="s">
        <v>611</v>
      </c>
      <c r="D12" s="110">
        <v>515.29</v>
      </c>
      <c r="E12" s="404"/>
      <c r="F12" s="430">
        <v>44681</v>
      </c>
      <c r="G12" s="431">
        <v>515.29</v>
      </c>
      <c r="H12" s="432">
        <f t="shared" si="0"/>
        <v>0</v>
      </c>
      <c r="I12" s="416"/>
      <c r="K12" s="502">
        <f>+D109</f>
        <v>135092.28000000003</v>
      </c>
      <c r="L12" s="502"/>
    </row>
    <row r="13" spans="1:13" ht="18.600000000000001" customHeight="1" x14ac:dyDescent="0.25">
      <c r="A13" s="523"/>
      <c r="B13" s="289" t="s">
        <v>243</v>
      </c>
      <c r="C13" s="265" t="s">
        <v>623</v>
      </c>
      <c r="D13" s="110">
        <v>4340.2</v>
      </c>
      <c r="E13" s="404" t="s">
        <v>624</v>
      </c>
      <c r="F13" s="430">
        <v>44681</v>
      </c>
      <c r="G13" s="433">
        <v>4340.2</v>
      </c>
      <c r="H13" s="432">
        <f t="shared" si="0"/>
        <v>0</v>
      </c>
      <c r="I13" s="416"/>
    </row>
    <row r="14" spans="1:13" ht="18.600000000000001" customHeight="1" x14ac:dyDescent="0.3">
      <c r="A14" s="523"/>
      <c r="B14" s="289" t="s">
        <v>243</v>
      </c>
      <c r="C14" s="265" t="s">
        <v>625</v>
      </c>
      <c r="D14" s="110">
        <v>5299.24</v>
      </c>
      <c r="E14" s="404" t="s">
        <v>245</v>
      </c>
      <c r="F14" s="430">
        <v>44681</v>
      </c>
      <c r="G14" s="433">
        <v>5299.24</v>
      </c>
      <c r="H14" s="432">
        <f t="shared" si="0"/>
        <v>0</v>
      </c>
      <c r="I14" s="416"/>
      <c r="K14" s="76" t="s">
        <v>482</v>
      </c>
    </row>
    <row r="15" spans="1:13" ht="18.600000000000001" customHeight="1" x14ac:dyDescent="0.3">
      <c r="A15" s="523"/>
      <c r="B15" s="289" t="s">
        <v>412</v>
      </c>
      <c r="C15" s="265" t="s">
        <v>628</v>
      </c>
      <c r="D15" s="110">
        <v>339.45</v>
      </c>
      <c r="E15" s="404" t="s">
        <v>188</v>
      </c>
      <c r="F15" s="434">
        <v>44681</v>
      </c>
      <c r="G15" s="433">
        <v>339.45</v>
      </c>
      <c r="H15" s="432">
        <f t="shared" si="0"/>
        <v>0</v>
      </c>
      <c r="I15" s="416"/>
      <c r="K15" s="503">
        <f>K10+K8</f>
        <v>234646.63000000003</v>
      </c>
      <c r="L15" s="503"/>
      <c r="M15" s="503"/>
    </row>
    <row r="16" spans="1:13" ht="18.600000000000001" customHeight="1" x14ac:dyDescent="0.25">
      <c r="A16" s="523"/>
      <c r="B16" s="289" t="s">
        <v>412</v>
      </c>
      <c r="C16" s="265" t="s">
        <v>629</v>
      </c>
      <c r="D16" s="110">
        <v>563.88</v>
      </c>
      <c r="E16" s="404" t="s">
        <v>498</v>
      </c>
      <c r="F16" s="434">
        <v>44681</v>
      </c>
      <c r="G16" s="433">
        <v>563.88</v>
      </c>
      <c r="H16" s="432">
        <f t="shared" si="0"/>
        <v>0</v>
      </c>
      <c r="I16" s="416"/>
    </row>
    <row r="17" spans="1:9" ht="18.600000000000001" customHeight="1" x14ac:dyDescent="0.25">
      <c r="A17" s="523"/>
      <c r="B17" s="289" t="s">
        <v>412</v>
      </c>
      <c r="C17" s="265" t="s">
        <v>630</v>
      </c>
      <c r="D17" s="110">
        <v>201.19</v>
      </c>
      <c r="E17" s="404" t="s">
        <v>631</v>
      </c>
      <c r="F17" s="430">
        <v>44681</v>
      </c>
      <c r="G17" s="433">
        <v>201.19</v>
      </c>
      <c r="H17" s="432">
        <f t="shared" si="0"/>
        <v>0</v>
      </c>
      <c r="I17" s="416"/>
    </row>
    <row r="18" spans="1:9" ht="18.600000000000001" customHeight="1" x14ac:dyDescent="0.25">
      <c r="A18" s="523"/>
      <c r="B18" s="289" t="s">
        <v>412</v>
      </c>
      <c r="C18" s="265" t="s">
        <v>632</v>
      </c>
      <c r="D18" s="110">
        <v>1462.29</v>
      </c>
      <c r="E18" s="404" t="s">
        <v>239</v>
      </c>
      <c r="F18" s="434">
        <v>44681</v>
      </c>
      <c r="G18" s="433">
        <v>1462.29</v>
      </c>
      <c r="H18" s="432">
        <f t="shared" si="0"/>
        <v>0</v>
      </c>
      <c r="I18" s="416"/>
    </row>
    <row r="19" spans="1:9" ht="18.600000000000001" customHeight="1" x14ac:dyDescent="0.25">
      <c r="A19" s="523"/>
      <c r="B19" s="289" t="s">
        <v>412</v>
      </c>
      <c r="C19" s="265" t="s">
        <v>633</v>
      </c>
      <c r="D19" s="110">
        <v>27.02</v>
      </c>
      <c r="E19" s="404" t="s">
        <v>634</v>
      </c>
      <c r="F19" s="434">
        <v>44681</v>
      </c>
      <c r="G19" s="433">
        <v>27.02</v>
      </c>
      <c r="H19" s="432">
        <f t="shared" si="0"/>
        <v>0</v>
      </c>
      <c r="I19" s="416"/>
    </row>
    <row r="20" spans="1:9" ht="18.600000000000001" customHeight="1" x14ac:dyDescent="0.25">
      <c r="A20" s="523"/>
      <c r="B20" s="289" t="s">
        <v>154</v>
      </c>
      <c r="C20" s="265" t="s">
        <v>636</v>
      </c>
      <c r="D20" s="110">
        <v>1008.54</v>
      </c>
      <c r="E20" s="404"/>
      <c r="F20" s="434">
        <v>44681</v>
      </c>
      <c r="G20" s="433">
        <v>1008.54</v>
      </c>
      <c r="H20" s="432">
        <f t="shared" si="0"/>
        <v>0</v>
      </c>
      <c r="I20" s="416"/>
    </row>
    <row r="21" spans="1:9" ht="18.600000000000001" customHeight="1" x14ac:dyDescent="0.25">
      <c r="A21" s="523"/>
      <c r="B21" s="289" t="s">
        <v>154</v>
      </c>
      <c r="C21" s="265" t="s">
        <v>637</v>
      </c>
      <c r="D21" s="365">
        <v>-69</v>
      </c>
      <c r="E21" s="405"/>
      <c r="F21" s="434">
        <v>44681</v>
      </c>
      <c r="G21" s="433">
        <v>-69</v>
      </c>
      <c r="H21" s="432">
        <f t="shared" si="0"/>
        <v>0</v>
      </c>
      <c r="I21" s="416"/>
    </row>
    <row r="22" spans="1:9" ht="18.600000000000001" customHeight="1" x14ac:dyDescent="0.25">
      <c r="A22" s="523"/>
      <c r="B22" s="289" t="s">
        <v>258</v>
      </c>
      <c r="C22" s="265" t="s">
        <v>651</v>
      </c>
      <c r="D22" s="110">
        <v>688.54</v>
      </c>
      <c r="E22" s="404" t="s">
        <v>624</v>
      </c>
      <c r="F22" s="434">
        <v>44681</v>
      </c>
      <c r="G22" s="433">
        <v>688.54</v>
      </c>
      <c r="H22" s="432">
        <f t="shared" si="0"/>
        <v>0</v>
      </c>
      <c r="I22" s="416"/>
    </row>
    <row r="23" spans="1:9" ht="18.600000000000001" customHeight="1" x14ac:dyDescent="0.25">
      <c r="A23" s="523"/>
      <c r="B23" s="289" t="s">
        <v>258</v>
      </c>
      <c r="C23" s="265" t="s">
        <v>652</v>
      </c>
      <c r="D23" s="110">
        <v>2613.2199999999998</v>
      </c>
      <c r="E23" s="404" t="s">
        <v>239</v>
      </c>
      <c r="F23" s="434">
        <v>44681</v>
      </c>
      <c r="G23" s="435">
        <v>2613.2199999999998</v>
      </c>
      <c r="H23" s="432">
        <f t="shared" si="0"/>
        <v>0</v>
      </c>
      <c r="I23" s="416"/>
    </row>
    <row r="24" spans="1:9" ht="18.600000000000001" customHeight="1" x14ac:dyDescent="0.25">
      <c r="A24" s="523"/>
      <c r="B24" s="289" t="s">
        <v>258</v>
      </c>
      <c r="C24" s="265" t="s">
        <v>653</v>
      </c>
      <c r="D24" s="110">
        <v>155.94</v>
      </c>
      <c r="E24" s="404" t="s">
        <v>262</v>
      </c>
      <c r="F24" s="434">
        <v>44681</v>
      </c>
      <c r="G24" s="435">
        <v>155.94</v>
      </c>
      <c r="H24" s="432">
        <f t="shared" si="0"/>
        <v>0</v>
      </c>
      <c r="I24" s="416"/>
    </row>
    <row r="25" spans="1:9" ht="18.600000000000001" customHeight="1" x14ac:dyDescent="0.25">
      <c r="A25" s="523"/>
      <c r="B25" s="289" t="s">
        <v>258</v>
      </c>
      <c r="C25" s="265" t="s">
        <v>654</v>
      </c>
      <c r="D25" s="110">
        <v>13821.95</v>
      </c>
      <c r="E25" s="404" t="s">
        <v>188</v>
      </c>
      <c r="F25" s="434">
        <v>44681</v>
      </c>
      <c r="G25" s="435">
        <v>13821.95</v>
      </c>
      <c r="H25" s="432">
        <f t="shared" si="0"/>
        <v>0</v>
      </c>
      <c r="I25" s="416"/>
    </row>
    <row r="26" spans="1:9" ht="18.600000000000001" customHeight="1" x14ac:dyDescent="0.25">
      <c r="A26" s="523"/>
      <c r="B26" s="289" t="s">
        <v>258</v>
      </c>
      <c r="C26" s="265" t="s">
        <v>655</v>
      </c>
      <c r="D26" s="110">
        <v>159.94999999999999</v>
      </c>
      <c r="E26" s="404" t="s">
        <v>656</v>
      </c>
      <c r="F26" s="434">
        <v>44681</v>
      </c>
      <c r="G26" s="435">
        <v>159.94999999999999</v>
      </c>
      <c r="H26" s="432">
        <f t="shared" si="0"/>
        <v>0</v>
      </c>
      <c r="I26" s="416"/>
    </row>
    <row r="27" spans="1:9" ht="18.600000000000001" customHeight="1" x14ac:dyDescent="0.25">
      <c r="A27" s="523"/>
      <c r="B27" s="289" t="s">
        <v>258</v>
      </c>
      <c r="C27" s="265" t="s">
        <v>657</v>
      </c>
      <c r="D27" s="110">
        <v>756.59</v>
      </c>
      <c r="E27" s="404" t="s">
        <v>658</v>
      </c>
      <c r="F27" s="434">
        <v>44681</v>
      </c>
      <c r="G27" s="435">
        <v>756.59</v>
      </c>
      <c r="H27" s="432">
        <f t="shared" si="0"/>
        <v>0</v>
      </c>
      <c r="I27" s="416"/>
    </row>
    <row r="28" spans="1:9" ht="18.600000000000001" customHeight="1" x14ac:dyDescent="0.25">
      <c r="A28" s="523"/>
      <c r="B28" s="289" t="s">
        <v>662</v>
      </c>
      <c r="C28" s="265" t="s">
        <v>663</v>
      </c>
      <c r="D28" s="110">
        <v>1408.56</v>
      </c>
      <c r="E28" s="404" t="s">
        <v>672</v>
      </c>
      <c r="F28" s="434">
        <v>44681</v>
      </c>
      <c r="G28" s="435">
        <v>1408.56</v>
      </c>
      <c r="H28" s="432">
        <f t="shared" si="0"/>
        <v>0</v>
      </c>
      <c r="I28" s="416"/>
    </row>
    <row r="29" spans="1:9" ht="18.600000000000001" customHeight="1" x14ac:dyDescent="0.25">
      <c r="A29" s="113"/>
      <c r="B29" s="289" t="s">
        <v>662</v>
      </c>
      <c r="C29" s="265" t="s">
        <v>664</v>
      </c>
      <c r="D29" s="114">
        <v>27751.68</v>
      </c>
      <c r="E29" s="406" t="s">
        <v>188</v>
      </c>
      <c r="F29" s="436">
        <v>44681</v>
      </c>
      <c r="G29" s="437">
        <v>27751.68</v>
      </c>
      <c r="H29" s="432">
        <f t="shared" si="0"/>
        <v>0</v>
      </c>
      <c r="I29" s="416"/>
    </row>
    <row r="30" spans="1:9" ht="18.600000000000001" customHeight="1" x14ac:dyDescent="0.25">
      <c r="A30" s="113"/>
      <c r="B30" s="289" t="s">
        <v>662</v>
      </c>
      <c r="C30" s="265" t="s">
        <v>665</v>
      </c>
      <c r="D30" s="114">
        <v>7864.68</v>
      </c>
      <c r="E30" s="406" t="s">
        <v>239</v>
      </c>
      <c r="F30" s="436">
        <v>44681</v>
      </c>
      <c r="G30" s="437">
        <v>7864.68</v>
      </c>
      <c r="H30" s="432">
        <f t="shared" si="0"/>
        <v>0</v>
      </c>
      <c r="I30" s="416"/>
    </row>
    <row r="31" spans="1:9" ht="18.600000000000001" customHeight="1" x14ac:dyDescent="0.25">
      <c r="A31" s="113"/>
      <c r="B31" s="289" t="s">
        <v>662</v>
      </c>
      <c r="C31" s="265" t="s">
        <v>666</v>
      </c>
      <c r="D31" s="114">
        <v>2734.8</v>
      </c>
      <c r="E31" s="406" t="s">
        <v>397</v>
      </c>
      <c r="F31" s="436">
        <v>44681</v>
      </c>
      <c r="G31" s="437">
        <v>2734.8</v>
      </c>
      <c r="H31" s="432">
        <f t="shared" si="0"/>
        <v>0</v>
      </c>
      <c r="I31" s="416"/>
    </row>
    <row r="32" spans="1:9" ht="18.600000000000001" customHeight="1" x14ac:dyDescent="0.25">
      <c r="A32" s="113"/>
      <c r="B32" s="289" t="s">
        <v>662</v>
      </c>
      <c r="C32" s="265" t="s">
        <v>667</v>
      </c>
      <c r="D32" s="114">
        <v>4089.96</v>
      </c>
      <c r="E32" s="406" t="s">
        <v>624</v>
      </c>
      <c r="F32" s="436">
        <v>44681</v>
      </c>
      <c r="G32" s="437">
        <v>4089.96</v>
      </c>
      <c r="H32" s="432">
        <f t="shared" si="0"/>
        <v>0</v>
      </c>
      <c r="I32" s="416"/>
    </row>
    <row r="33" spans="1:9" ht="18.600000000000001" customHeight="1" x14ac:dyDescent="0.25">
      <c r="A33" s="113"/>
      <c r="B33" s="289" t="s">
        <v>662</v>
      </c>
      <c r="C33" s="265" t="s">
        <v>668</v>
      </c>
      <c r="D33" s="114">
        <v>818.88</v>
      </c>
      <c r="E33" s="406" t="s">
        <v>397</v>
      </c>
      <c r="F33" s="436">
        <v>44681</v>
      </c>
      <c r="G33" s="437">
        <v>818.88</v>
      </c>
      <c r="H33" s="432">
        <f t="shared" si="0"/>
        <v>0</v>
      </c>
      <c r="I33" s="416"/>
    </row>
    <row r="34" spans="1:9" ht="18.600000000000001" customHeight="1" x14ac:dyDescent="0.25">
      <c r="A34" s="113"/>
      <c r="B34" s="289" t="s">
        <v>662</v>
      </c>
      <c r="C34" s="265" t="s">
        <v>669</v>
      </c>
      <c r="D34" s="114">
        <v>1706.52</v>
      </c>
      <c r="E34" s="406" t="s">
        <v>673</v>
      </c>
      <c r="F34" s="436">
        <v>44681</v>
      </c>
      <c r="G34" s="437">
        <v>1706.52</v>
      </c>
      <c r="H34" s="432">
        <f t="shared" si="0"/>
        <v>0</v>
      </c>
      <c r="I34" s="416"/>
    </row>
    <row r="35" spans="1:9" ht="18.600000000000001" customHeight="1" x14ac:dyDescent="0.25">
      <c r="A35" s="113"/>
      <c r="B35" s="289" t="s">
        <v>662</v>
      </c>
      <c r="C35" s="265" t="s">
        <v>670</v>
      </c>
      <c r="D35" s="110">
        <v>906.6</v>
      </c>
      <c r="E35" s="404" t="s">
        <v>674</v>
      </c>
      <c r="F35" s="434">
        <v>44681</v>
      </c>
      <c r="G35" s="435">
        <v>906.6</v>
      </c>
      <c r="H35" s="432">
        <f t="shared" si="0"/>
        <v>0</v>
      </c>
      <c r="I35" s="416"/>
    </row>
    <row r="36" spans="1:9" ht="18.600000000000001" customHeight="1" x14ac:dyDescent="0.25">
      <c r="A36" s="113"/>
      <c r="B36" s="289" t="s">
        <v>662</v>
      </c>
      <c r="C36" s="265" t="s">
        <v>671</v>
      </c>
      <c r="D36" s="110">
        <v>806.64</v>
      </c>
      <c r="E36" s="404" t="s">
        <v>675</v>
      </c>
      <c r="F36" s="434">
        <v>44681</v>
      </c>
      <c r="G36" s="435">
        <v>806.64</v>
      </c>
      <c r="H36" s="432">
        <f t="shared" si="0"/>
        <v>0</v>
      </c>
      <c r="I36" s="416"/>
    </row>
    <row r="37" spans="1:9" ht="18.600000000000001" customHeight="1" thickBot="1" x14ac:dyDescent="0.3">
      <c r="A37" s="113"/>
      <c r="B37" s="374" t="s">
        <v>140</v>
      </c>
      <c r="C37" s="380"/>
      <c r="D37" s="375">
        <f>+SUM(D2:D36)</f>
        <v>99554.35</v>
      </c>
      <c r="E37" s="407"/>
      <c r="F37" s="438"/>
      <c r="G37" s="439"/>
      <c r="H37" s="440">
        <f>+SUM(H2:H36)</f>
        <v>0</v>
      </c>
      <c r="I37" s="417"/>
    </row>
    <row r="38" spans="1:9" ht="18.600000000000001" customHeight="1" thickTop="1" x14ac:dyDescent="0.25">
      <c r="A38" s="524" t="s">
        <v>123</v>
      </c>
      <c r="B38" s="289" t="s">
        <v>587</v>
      </c>
      <c r="C38" s="265" t="s">
        <v>567</v>
      </c>
      <c r="D38" s="114">
        <v>891.47</v>
      </c>
      <c r="E38" s="406"/>
      <c r="F38" s="436">
        <v>44652</v>
      </c>
      <c r="G38" s="437">
        <v>891.47</v>
      </c>
      <c r="H38" s="432">
        <f t="shared" ref="H38:H79" si="1">D38-G38</f>
        <v>0</v>
      </c>
      <c r="I38" s="416"/>
    </row>
    <row r="39" spans="1:9" ht="18.600000000000001" customHeight="1" x14ac:dyDescent="0.25">
      <c r="A39" s="525"/>
      <c r="B39" s="289" t="s">
        <v>277</v>
      </c>
      <c r="C39" s="265"/>
      <c r="D39" s="110">
        <v>19.38</v>
      </c>
      <c r="E39" s="404"/>
      <c r="F39" s="434">
        <v>44655</v>
      </c>
      <c r="G39" s="435">
        <v>19.38</v>
      </c>
      <c r="H39" s="432">
        <f t="shared" si="1"/>
        <v>0</v>
      </c>
      <c r="I39" s="416"/>
    </row>
    <row r="40" spans="1:9" ht="18.600000000000001" customHeight="1" x14ac:dyDescent="0.25">
      <c r="A40" s="525"/>
      <c r="B40" s="289" t="s">
        <v>307</v>
      </c>
      <c r="C40" s="265"/>
      <c r="D40" s="110">
        <v>3203.09</v>
      </c>
      <c r="E40" s="404" t="s">
        <v>395</v>
      </c>
      <c r="F40" s="434">
        <v>44656</v>
      </c>
      <c r="G40" s="435">
        <v>3203.09</v>
      </c>
      <c r="H40" s="432">
        <f t="shared" si="1"/>
        <v>0</v>
      </c>
      <c r="I40" s="416"/>
    </row>
    <row r="41" spans="1:9" ht="18.600000000000001" customHeight="1" x14ac:dyDescent="0.25">
      <c r="A41" s="525"/>
      <c r="B41" s="289" t="s">
        <v>196</v>
      </c>
      <c r="C41" s="265" t="s">
        <v>201</v>
      </c>
      <c r="D41" s="110">
        <v>127.11</v>
      </c>
      <c r="E41" s="404" t="s">
        <v>200</v>
      </c>
      <c r="F41" s="434">
        <v>44656</v>
      </c>
      <c r="G41" s="435">
        <v>127.11</v>
      </c>
      <c r="H41" s="432">
        <f t="shared" si="1"/>
        <v>0</v>
      </c>
      <c r="I41" s="416"/>
    </row>
    <row r="42" spans="1:9" ht="18.600000000000001" customHeight="1" x14ac:dyDescent="0.25">
      <c r="A42" s="525"/>
      <c r="B42" s="289" t="s">
        <v>196</v>
      </c>
      <c r="C42" s="265" t="s">
        <v>297</v>
      </c>
      <c r="D42" s="114">
        <v>100.82</v>
      </c>
      <c r="E42" s="406"/>
      <c r="F42" s="436">
        <v>44656</v>
      </c>
      <c r="G42" s="437">
        <v>100.82</v>
      </c>
      <c r="H42" s="432">
        <f t="shared" si="1"/>
        <v>0</v>
      </c>
      <c r="I42" s="416"/>
    </row>
    <row r="43" spans="1:9" ht="18.600000000000001" customHeight="1" x14ac:dyDescent="0.25">
      <c r="A43" s="525"/>
      <c r="B43" s="289" t="s">
        <v>196</v>
      </c>
      <c r="C43" s="265" t="s">
        <v>298</v>
      </c>
      <c r="D43" s="110">
        <v>104.12</v>
      </c>
      <c r="E43" s="404"/>
      <c r="F43" s="434">
        <v>44656</v>
      </c>
      <c r="G43" s="435">
        <v>104.12</v>
      </c>
      <c r="H43" s="432">
        <f t="shared" si="1"/>
        <v>0</v>
      </c>
      <c r="I43" s="416"/>
    </row>
    <row r="44" spans="1:9" ht="18.600000000000001" customHeight="1" x14ac:dyDescent="0.25">
      <c r="A44" s="525"/>
      <c r="B44" s="289" t="s">
        <v>196</v>
      </c>
      <c r="C44" s="265" t="s">
        <v>299</v>
      </c>
      <c r="D44" s="110">
        <v>71.319999999999993</v>
      </c>
      <c r="E44" s="404"/>
      <c r="F44" s="434">
        <v>44656</v>
      </c>
      <c r="G44" s="435">
        <v>71.319999999999993</v>
      </c>
      <c r="H44" s="432">
        <f t="shared" si="1"/>
        <v>0</v>
      </c>
      <c r="I44" s="416"/>
    </row>
    <row r="45" spans="1:9" ht="18.600000000000001" customHeight="1" x14ac:dyDescent="0.25">
      <c r="A45" s="525"/>
      <c r="B45" s="289" t="s">
        <v>196</v>
      </c>
      <c r="C45" s="265" t="s">
        <v>300</v>
      </c>
      <c r="D45" s="110">
        <v>89.4</v>
      </c>
      <c r="E45" s="404"/>
      <c r="F45" s="434">
        <v>44656</v>
      </c>
      <c r="G45" s="435">
        <v>89.4</v>
      </c>
      <c r="H45" s="432">
        <f t="shared" si="1"/>
        <v>0</v>
      </c>
      <c r="I45" s="416"/>
    </row>
    <row r="46" spans="1:9" ht="18.600000000000001" customHeight="1" x14ac:dyDescent="0.25">
      <c r="A46" s="525"/>
      <c r="B46" s="289" t="s">
        <v>196</v>
      </c>
      <c r="C46" s="265" t="s">
        <v>199</v>
      </c>
      <c r="D46" s="114">
        <v>99.97</v>
      </c>
      <c r="E46" s="406" t="s">
        <v>200</v>
      </c>
      <c r="F46" s="436">
        <v>44656</v>
      </c>
      <c r="G46" s="437">
        <v>99.97</v>
      </c>
      <c r="H46" s="432">
        <f t="shared" si="1"/>
        <v>0</v>
      </c>
      <c r="I46" s="416"/>
    </row>
    <row r="47" spans="1:9" ht="18.600000000000001" customHeight="1" x14ac:dyDescent="0.25">
      <c r="A47" s="525"/>
      <c r="B47" s="289" t="s">
        <v>533</v>
      </c>
      <c r="C47" s="265"/>
      <c r="D47" s="110">
        <v>53.88</v>
      </c>
      <c r="E47" s="404"/>
      <c r="F47" s="434">
        <v>44656</v>
      </c>
      <c r="G47" s="435">
        <v>53.88</v>
      </c>
      <c r="H47" s="432">
        <f t="shared" si="1"/>
        <v>0</v>
      </c>
      <c r="I47" s="416"/>
    </row>
    <row r="48" spans="1:9" ht="18.600000000000001" customHeight="1" x14ac:dyDescent="0.25">
      <c r="A48" s="525"/>
      <c r="B48" s="289" t="s">
        <v>282</v>
      </c>
      <c r="C48" s="265"/>
      <c r="D48" s="110">
        <v>50</v>
      </c>
      <c r="E48" s="404" t="s">
        <v>287</v>
      </c>
      <c r="F48" s="434">
        <v>44657</v>
      </c>
      <c r="G48" s="435">
        <v>50</v>
      </c>
      <c r="H48" s="432">
        <f t="shared" si="1"/>
        <v>0</v>
      </c>
      <c r="I48" s="416"/>
    </row>
    <row r="49" spans="1:9" ht="18.600000000000001" customHeight="1" x14ac:dyDescent="0.25">
      <c r="A49" s="525"/>
      <c r="B49" s="289" t="s">
        <v>282</v>
      </c>
      <c r="C49" s="265"/>
      <c r="D49" s="110">
        <v>38</v>
      </c>
      <c r="E49" s="404"/>
      <c r="F49" s="434">
        <v>44657</v>
      </c>
      <c r="G49" s="435">
        <v>38</v>
      </c>
      <c r="H49" s="432">
        <f t="shared" si="1"/>
        <v>0</v>
      </c>
      <c r="I49" s="416"/>
    </row>
    <row r="50" spans="1:9" ht="18.600000000000001" customHeight="1" x14ac:dyDescent="0.25">
      <c r="A50" s="525"/>
      <c r="B50" s="289" t="s">
        <v>437</v>
      </c>
      <c r="C50" s="265" t="s">
        <v>438</v>
      </c>
      <c r="D50" s="114">
        <v>284.58999999999997</v>
      </c>
      <c r="E50" s="406" t="s">
        <v>239</v>
      </c>
      <c r="F50" s="436">
        <v>44661</v>
      </c>
      <c r="G50" s="437">
        <v>284.58999999999997</v>
      </c>
      <c r="H50" s="432">
        <f t="shared" si="1"/>
        <v>0</v>
      </c>
      <c r="I50" s="416"/>
    </row>
    <row r="51" spans="1:9" ht="18.600000000000001" customHeight="1" x14ac:dyDescent="0.25">
      <c r="A51" s="525"/>
      <c r="B51" s="289" t="s">
        <v>140</v>
      </c>
      <c r="C51" s="265" t="s">
        <v>607</v>
      </c>
      <c r="D51" s="110">
        <v>3143.33</v>
      </c>
      <c r="E51" s="404"/>
      <c r="F51" s="434">
        <v>44661</v>
      </c>
      <c r="G51" s="435">
        <v>3143.33</v>
      </c>
      <c r="H51" s="432">
        <f t="shared" si="1"/>
        <v>0</v>
      </c>
      <c r="I51" s="416"/>
    </row>
    <row r="52" spans="1:9" ht="18.600000000000001" customHeight="1" x14ac:dyDescent="0.25">
      <c r="A52" s="525"/>
      <c r="B52" s="289" t="s">
        <v>288</v>
      </c>
      <c r="C52" s="265" t="s">
        <v>532</v>
      </c>
      <c r="D52" s="110">
        <f>15.95*2</f>
        <v>31.9</v>
      </c>
      <c r="E52" s="404" t="s">
        <v>677</v>
      </c>
      <c r="F52" s="434">
        <v>44661</v>
      </c>
      <c r="G52" s="435">
        <v>31.9</v>
      </c>
      <c r="H52" s="432">
        <f t="shared" si="1"/>
        <v>0</v>
      </c>
      <c r="I52" s="416">
        <v>44671</v>
      </c>
    </row>
    <row r="53" spans="1:9" ht="18.600000000000001" customHeight="1" x14ac:dyDescent="0.25">
      <c r="A53" s="525"/>
      <c r="B53" s="289" t="s">
        <v>85</v>
      </c>
      <c r="C53" s="265"/>
      <c r="D53" s="110">
        <v>14.14</v>
      </c>
      <c r="E53" s="404"/>
      <c r="F53" s="434">
        <v>44662</v>
      </c>
      <c r="G53" s="435">
        <v>14.14</v>
      </c>
      <c r="H53" s="432">
        <f t="shared" si="1"/>
        <v>0</v>
      </c>
      <c r="I53" s="416"/>
    </row>
    <row r="54" spans="1:9" ht="18.600000000000001" customHeight="1" x14ac:dyDescent="0.25">
      <c r="A54" s="525"/>
      <c r="B54" s="289" t="s">
        <v>530</v>
      </c>
      <c r="C54" s="265"/>
      <c r="D54" s="114">
        <v>16.989999999999998</v>
      </c>
      <c r="E54" s="406" t="s">
        <v>531</v>
      </c>
      <c r="F54" s="436">
        <v>44662</v>
      </c>
      <c r="G54" s="437">
        <v>16.989999999999998</v>
      </c>
      <c r="H54" s="432">
        <f t="shared" si="1"/>
        <v>0</v>
      </c>
      <c r="I54" s="416"/>
    </row>
    <row r="55" spans="1:9" ht="18.600000000000001" customHeight="1" x14ac:dyDescent="0.25">
      <c r="A55" s="525"/>
      <c r="B55" s="289" t="s">
        <v>318</v>
      </c>
      <c r="C55" s="265" t="s">
        <v>464</v>
      </c>
      <c r="D55" s="110">
        <v>277.95999999999998</v>
      </c>
      <c r="E55" s="404" t="s">
        <v>465</v>
      </c>
      <c r="F55" s="434">
        <v>44662</v>
      </c>
      <c r="G55" s="435">
        <v>277.95999999999998</v>
      </c>
      <c r="H55" s="432">
        <f t="shared" si="1"/>
        <v>0</v>
      </c>
      <c r="I55" s="416"/>
    </row>
    <row r="56" spans="1:9" ht="18.600000000000001" customHeight="1" x14ac:dyDescent="0.25">
      <c r="A56" s="525"/>
      <c r="B56" s="322" t="s">
        <v>291</v>
      </c>
      <c r="C56" s="323"/>
      <c r="D56" s="324">
        <v>11213</v>
      </c>
      <c r="E56" s="408" t="s">
        <v>312</v>
      </c>
      <c r="F56" s="441">
        <v>44666</v>
      </c>
      <c r="G56" s="442">
        <v>11213</v>
      </c>
      <c r="H56" s="443">
        <f t="shared" si="1"/>
        <v>0</v>
      </c>
      <c r="I56" s="418"/>
    </row>
    <row r="57" spans="1:9" ht="18.600000000000001" customHeight="1" x14ac:dyDescent="0.25">
      <c r="A57" s="525"/>
      <c r="B57" s="322" t="s">
        <v>26</v>
      </c>
      <c r="C57" s="323" t="s">
        <v>676</v>
      </c>
      <c r="D57" s="324">
        <v>2210.2800000000002</v>
      </c>
      <c r="E57" s="408" t="s">
        <v>676</v>
      </c>
      <c r="F57" s="441">
        <v>44666</v>
      </c>
      <c r="G57" s="442">
        <v>2210.2800000000002</v>
      </c>
      <c r="H57" s="443">
        <f t="shared" si="1"/>
        <v>0</v>
      </c>
      <c r="I57" s="416"/>
    </row>
    <row r="58" spans="1:9" ht="18.600000000000001" customHeight="1" x14ac:dyDescent="0.25">
      <c r="A58" s="525"/>
      <c r="B58" s="289" t="s">
        <v>196</v>
      </c>
      <c r="C58" s="265" t="s">
        <v>197</v>
      </c>
      <c r="D58" s="114">
        <v>15.24</v>
      </c>
      <c r="E58" s="406" t="s">
        <v>198</v>
      </c>
      <c r="F58" s="436">
        <v>44670</v>
      </c>
      <c r="G58" s="437">
        <v>15.24</v>
      </c>
      <c r="H58" s="432">
        <f t="shared" si="1"/>
        <v>0</v>
      </c>
      <c r="I58" s="416"/>
    </row>
    <row r="59" spans="1:9" ht="18.600000000000001" customHeight="1" x14ac:dyDescent="0.25">
      <c r="A59" s="525"/>
      <c r="B59" s="289" t="s">
        <v>196</v>
      </c>
      <c r="C59" s="265" t="s">
        <v>313</v>
      </c>
      <c r="D59" s="110">
        <v>93.87</v>
      </c>
      <c r="E59" s="404"/>
      <c r="F59" s="434">
        <v>44670</v>
      </c>
      <c r="G59" s="435">
        <v>93.87</v>
      </c>
      <c r="H59" s="432">
        <f t="shared" si="1"/>
        <v>0</v>
      </c>
      <c r="I59" s="416"/>
    </row>
    <row r="60" spans="1:9" ht="18.600000000000001" customHeight="1" x14ac:dyDescent="0.25">
      <c r="A60" s="525"/>
      <c r="B60" s="289" t="s">
        <v>303</v>
      </c>
      <c r="C60" s="265" t="s">
        <v>605</v>
      </c>
      <c r="D60" s="110">
        <v>77.3</v>
      </c>
      <c r="E60" s="404" t="s">
        <v>606</v>
      </c>
      <c r="F60" s="434">
        <v>44671</v>
      </c>
      <c r="G60" s="435">
        <v>77.3</v>
      </c>
      <c r="H60" s="432">
        <f t="shared" si="1"/>
        <v>0</v>
      </c>
      <c r="I60" s="416"/>
    </row>
    <row r="61" spans="1:9" ht="18.600000000000001" customHeight="1" x14ac:dyDescent="0.25">
      <c r="A61" s="525"/>
      <c r="B61" s="289" t="s">
        <v>344</v>
      </c>
      <c r="C61" s="265" t="s">
        <v>572</v>
      </c>
      <c r="D61" s="110">
        <v>498</v>
      </c>
      <c r="E61" s="404" t="s">
        <v>687</v>
      </c>
      <c r="F61" s="434">
        <v>44671</v>
      </c>
      <c r="G61" s="435">
        <v>498</v>
      </c>
      <c r="H61" s="432">
        <f t="shared" si="1"/>
        <v>0</v>
      </c>
      <c r="I61" s="416">
        <v>44671</v>
      </c>
    </row>
    <row r="62" spans="1:9" ht="18.600000000000001" customHeight="1" x14ac:dyDescent="0.25">
      <c r="A62" s="525"/>
      <c r="B62" s="322" t="s">
        <v>292</v>
      </c>
      <c r="C62" s="265" t="s">
        <v>293</v>
      </c>
      <c r="D62" s="337">
        <v>6024</v>
      </c>
      <c r="E62" s="409" t="s">
        <v>588</v>
      </c>
      <c r="F62" s="444">
        <v>44672</v>
      </c>
      <c r="G62" s="445">
        <v>6024</v>
      </c>
      <c r="H62" s="443">
        <f t="shared" si="1"/>
        <v>0</v>
      </c>
      <c r="I62" s="418"/>
    </row>
    <row r="63" spans="1:9" ht="18.600000000000001" customHeight="1" x14ac:dyDescent="0.25">
      <c r="A63" s="525"/>
      <c r="B63" s="322" t="s">
        <v>295</v>
      </c>
      <c r="C63" s="323"/>
      <c r="D63" s="324">
        <v>1799.9</v>
      </c>
      <c r="E63" s="408"/>
      <c r="F63" s="441">
        <v>44672</v>
      </c>
      <c r="G63" s="442">
        <v>1799.9</v>
      </c>
      <c r="H63" s="443">
        <f t="shared" si="1"/>
        <v>0</v>
      </c>
      <c r="I63" s="418">
        <v>44671</v>
      </c>
    </row>
    <row r="64" spans="1:9" ht="18.600000000000001" customHeight="1" x14ac:dyDescent="0.25">
      <c r="A64" s="525"/>
      <c r="B64" s="289" t="s">
        <v>282</v>
      </c>
      <c r="C64" s="265"/>
      <c r="D64" s="110">
        <v>31</v>
      </c>
      <c r="E64" s="404"/>
      <c r="F64" s="434">
        <v>44672</v>
      </c>
      <c r="G64" s="435">
        <v>31</v>
      </c>
      <c r="H64" s="432">
        <f t="shared" si="1"/>
        <v>0</v>
      </c>
      <c r="I64" s="416"/>
    </row>
    <row r="65" spans="1:9" ht="18.600000000000001" customHeight="1" x14ac:dyDescent="0.25">
      <c r="A65" s="525"/>
      <c r="B65" s="289" t="s">
        <v>282</v>
      </c>
      <c r="C65" s="265"/>
      <c r="D65" s="110">
        <v>31</v>
      </c>
      <c r="E65" s="404"/>
      <c r="F65" s="434">
        <v>44672</v>
      </c>
      <c r="G65" s="435">
        <v>31</v>
      </c>
      <c r="H65" s="432">
        <f t="shared" si="1"/>
        <v>0</v>
      </c>
      <c r="I65" s="416"/>
    </row>
    <row r="66" spans="1:9" ht="18.600000000000001" customHeight="1" x14ac:dyDescent="0.25">
      <c r="A66" s="525"/>
      <c r="B66" s="289" t="s">
        <v>282</v>
      </c>
      <c r="C66" s="265" t="s">
        <v>328</v>
      </c>
      <c r="D66" s="114">
        <v>31</v>
      </c>
      <c r="E66" s="406" t="s">
        <v>327</v>
      </c>
      <c r="F66" s="436">
        <v>44672</v>
      </c>
      <c r="G66" s="437">
        <v>31</v>
      </c>
      <c r="H66" s="432">
        <f t="shared" si="1"/>
        <v>0</v>
      </c>
      <c r="I66" s="416"/>
    </row>
    <row r="67" spans="1:9" ht="18.600000000000001" customHeight="1" x14ac:dyDescent="0.25">
      <c r="A67" s="525"/>
      <c r="B67" s="289" t="s">
        <v>140</v>
      </c>
      <c r="C67" s="265" t="s">
        <v>566</v>
      </c>
      <c r="D67" s="110">
        <v>2219.29</v>
      </c>
      <c r="E67" s="404"/>
      <c r="F67" s="434">
        <v>44676</v>
      </c>
      <c r="G67" s="435">
        <v>2219.29</v>
      </c>
      <c r="H67" s="432">
        <f t="shared" si="1"/>
        <v>0</v>
      </c>
      <c r="I67" s="416"/>
    </row>
    <row r="68" spans="1:9" ht="18.600000000000001" customHeight="1" x14ac:dyDescent="0.25">
      <c r="A68" s="525"/>
      <c r="B68" s="322" t="s">
        <v>294</v>
      </c>
      <c r="C68" s="265"/>
      <c r="D68" s="324">
        <v>2159.14</v>
      </c>
      <c r="E68" s="408" t="s">
        <v>697</v>
      </c>
      <c r="F68" s="441">
        <v>44676</v>
      </c>
      <c r="G68" s="442">
        <v>2159.14</v>
      </c>
      <c r="H68" s="443">
        <f t="shared" si="1"/>
        <v>0</v>
      </c>
      <c r="I68" s="418"/>
    </row>
    <row r="69" spans="1:9" ht="18.600000000000001" customHeight="1" x14ac:dyDescent="0.25">
      <c r="A69" s="525"/>
      <c r="B69" s="289" t="s">
        <v>430</v>
      </c>
      <c r="C69" s="265" t="s">
        <v>431</v>
      </c>
      <c r="D69" s="114">
        <v>1188</v>
      </c>
      <c r="E69" s="406" t="s">
        <v>432</v>
      </c>
      <c r="F69" s="436">
        <v>44676</v>
      </c>
      <c r="G69" s="437">
        <v>1188</v>
      </c>
      <c r="H69" s="432">
        <f t="shared" si="1"/>
        <v>0</v>
      </c>
      <c r="I69" s="416">
        <v>44677</v>
      </c>
    </row>
    <row r="70" spans="1:9" ht="18.600000000000001" customHeight="1" x14ac:dyDescent="0.25">
      <c r="A70" s="525"/>
      <c r="B70" s="289" t="s">
        <v>693</v>
      </c>
      <c r="C70" s="265" t="s">
        <v>694</v>
      </c>
      <c r="D70" s="110">
        <v>34.43</v>
      </c>
      <c r="E70" s="404" t="s">
        <v>698</v>
      </c>
      <c r="F70" s="434">
        <v>44676</v>
      </c>
      <c r="G70" s="435">
        <v>34.43</v>
      </c>
      <c r="H70" s="432">
        <f t="shared" si="1"/>
        <v>0</v>
      </c>
      <c r="I70" s="418">
        <v>44676</v>
      </c>
    </row>
    <row r="71" spans="1:9" ht="18.600000000000001" customHeight="1" x14ac:dyDescent="0.25">
      <c r="A71" s="525"/>
      <c r="B71" s="289" t="s">
        <v>285</v>
      </c>
      <c r="C71" s="265" t="s">
        <v>286</v>
      </c>
      <c r="D71" s="110">
        <v>5283.09</v>
      </c>
      <c r="E71" s="404"/>
      <c r="F71" s="434">
        <v>44677</v>
      </c>
      <c r="G71" s="435">
        <v>5283.09</v>
      </c>
      <c r="H71" s="432">
        <f t="shared" si="1"/>
        <v>0</v>
      </c>
      <c r="I71" s="416"/>
    </row>
    <row r="72" spans="1:9" ht="18.600000000000001" customHeight="1" x14ac:dyDescent="0.25">
      <c r="A72" s="525"/>
      <c r="B72" s="289" t="s">
        <v>318</v>
      </c>
      <c r="C72" s="265" t="s">
        <v>685</v>
      </c>
      <c r="D72" s="114">
        <v>58.93</v>
      </c>
      <c r="E72" s="406" t="s">
        <v>686</v>
      </c>
      <c r="F72" s="434">
        <v>44677</v>
      </c>
      <c r="G72" s="437">
        <v>58.93</v>
      </c>
      <c r="H72" s="432">
        <f t="shared" si="1"/>
        <v>0</v>
      </c>
      <c r="I72" s="416"/>
    </row>
    <row r="73" spans="1:9" ht="18.600000000000001" customHeight="1" x14ac:dyDescent="0.25">
      <c r="A73" s="525"/>
      <c r="B73" s="289" t="s">
        <v>345</v>
      </c>
      <c r="C73" s="265" t="s">
        <v>679</v>
      </c>
      <c r="D73" s="110">
        <v>186.77699999999999</v>
      </c>
      <c r="E73" s="404" t="s">
        <v>682</v>
      </c>
      <c r="F73" s="434">
        <v>44681</v>
      </c>
      <c r="G73" s="435">
        <v>186.78</v>
      </c>
      <c r="H73" s="432">
        <f t="shared" si="1"/>
        <v>-3.0000000000143245E-3</v>
      </c>
      <c r="I73" s="416"/>
    </row>
    <row r="74" spans="1:9" ht="18.600000000000001" customHeight="1" x14ac:dyDescent="0.25">
      <c r="A74" s="525"/>
      <c r="B74" s="289" t="s">
        <v>345</v>
      </c>
      <c r="C74" s="265" t="s">
        <v>680</v>
      </c>
      <c r="D74" s="114">
        <v>186.77</v>
      </c>
      <c r="E74" s="406" t="s">
        <v>682</v>
      </c>
      <c r="F74" s="436">
        <v>44681</v>
      </c>
      <c r="G74" s="437">
        <v>186.77</v>
      </c>
      <c r="H74" s="432">
        <f t="shared" si="1"/>
        <v>0</v>
      </c>
      <c r="I74" s="416"/>
    </row>
    <row r="75" spans="1:9" ht="18.600000000000001" customHeight="1" x14ac:dyDescent="0.25">
      <c r="A75" s="525"/>
      <c r="B75" s="289" t="s">
        <v>345</v>
      </c>
      <c r="C75" s="265" t="s">
        <v>681</v>
      </c>
      <c r="D75" s="114">
        <v>1293.3699999999999</v>
      </c>
      <c r="E75" s="406" t="s">
        <v>683</v>
      </c>
      <c r="F75" s="436">
        <v>44681</v>
      </c>
      <c r="G75" s="437">
        <v>1293.3699999999999</v>
      </c>
      <c r="H75" s="432">
        <f t="shared" si="1"/>
        <v>0</v>
      </c>
      <c r="I75" s="416"/>
    </row>
    <row r="76" spans="1:9" ht="18.600000000000001" customHeight="1" x14ac:dyDescent="0.25">
      <c r="A76" s="525"/>
      <c r="B76" s="291" t="s">
        <v>690</v>
      </c>
      <c r="C76" s="265" t="s">
        <v>691</v>
      </c>
      <c r="D76" s="371">
        <v>2363.02</v>
      </c>
      <c r="E76" s="406" t="s">
        <v>193</v>
      </c>
      <c r="F76" s="436">
        <v>44681</v>
      </c>
      <c r="G76" s="437">
        <v>2363.02</v>
      </c>
      <c r="H76" s="446">
        <f t="shared" si="1"/>
        <v>0</v>
      </c>
      <c r="I76" s="419"/>
    </row>
    <row r="77" spans="1:9" ht="18.600000000000001" customHeight="1" x14ac:dyDescent="0.25">
      <c r="A77" s="525"/>
      <c r="B77" s="291" t="s">
        <v>690</v>
      </c>
      <c r="C77" s="265" t="s">
        <v>692</v>
      </c>
      <c r="D77" s="371">
        <v>366.58</v>
      </c>
      <c r="E77" s="406" t="s">
        <v>193</v>
      </c>
      <c r="F77" s="436">
        <v>44681</v>
      </c>
      <c r="G77" s="437">
        <v>366.58</v>
      </c>
      <c r="H77" s="446">
        <f t="shared" si="1"/>
        <v>0</v>
      </c>
      <c r="I77" s="372"/>
    </row>
    <row r="78" spans="1:9" ht="18.600000000000001" customHeight="1" x14ac:dyDescent="0.25">
      <c r="A78" s="525"/>
      <c r="B78" s="384" t="s">
        <v>437</v>
      </c>
      <c r="C78" s="265" t="s">
        <v>439</v>
      </c>
      <c r="D78" s="371">
        <v>284.58999999999997</v>
      </c>
      <c r="E78" s="406" t="s">
        <v>271</v>
      </c>
      <c r="F78" s="436">
        <v>44681</v>
      </c>
      <c r="G78" s="437">
        <v>284.58999999999997</v>
      </c>
      <c r="H78" s="446">
        <f t="shared" si="1"/>
        <v>0</v>
      </c>
      <c r="I78" s="372"/>
    </row>
    <row r="79" spans="1:9" ht="18.600000000000001" customHeight="1" thickBot="1" x14ac:dyDescent="0.3">
      <c r="A79" s="525"/>
      <c r="B79" s="380" t="s">
        <v>423</v>
      </c>
      <c r="C79" s="381"/>
      <c r="D79" s="381">
        <v>1102.3800000000001</v>
      </c>
      <c r="E79" s="407" t="s">
        <v>701</v>
      </c>
      <c r="F79" s="438">
        <v>44680</v>
      </c>
      <c r="G79" s="439">
        <v>1102.3800000000001</v>
      </c>
      <c r="H79" s="447">
        <f t="shared" si="1"/>
        <v>0</v>
      </c>
      <c r="I79" s="383"/>
    </row>
    <row r="80" spans="1:9" ht="18.600000000000001" customHeight="1" thickTop="1" thickBot="1" x14ac:dyDescent="0.3">
      <c r="A80" s="525"/>
      <c r="B80" s="374" t="s">
        <v>140</v>
      </c>
      <c r="C80" s="380"/>
      <c r="D80" s="375">
        <f>SUM(D38:D78)</f>
        <v>46266.046999999991</v>
      </c>
      <c r="E80" s="407"/>
      <c r="F80" s="438"/>
      <c r="G80" s="439"/>
      <c r="H80" s="440">
        <f>+SUM(H38:H75)</f>
        <v>-3.0000000000143245E-3</v>
      </c>
      <c r="I80" s="417"/>
    </row>
    <row r="81" spans="1:9" ht="18.600000000000001" customHeight="1" thickTop="1" x14ac:dyDescent="0.25">
      <c r="A81" s="522" t="s">
        <v>124</v>
      </c>
      <c r="B81" s="256" t="s">
        <v>595</v>
      </c>
      <c r="C81" s="266" t="s">
        <v>541</v>
      </c>
      <c r="D81" s="257">
        <v>1739.99</v>
      </c>
      <c r="E81" s="406" t="s">
        <v>596</v>
      </c>
      <c r="F81" s="448">
        <v>44653</v>
      </c>
      <c r="G81" s="437">
        <v>1739.99</v>
      </c>
      <c r="H81" s="449">
        <f t="shared" ref="H81:H108" si="2">D81-G81</f>
        <v>0</v>
      </c>
      <c r="I81" s="420"/>
    </row>
    <row r="82" spans="1:9" ht="18.600000000000001" customHeight="1" x14ac:dyDescent="0.25">
      <c r="A82" s="522"/>
      <c r="B82" s="103" t="s">
        <v>534</v>
      </c>
      <c r="C82" s="265"/>
      <c r="D82" s="110">
        <v>590</v>
      </c>
      <c r="E82" s="404" t="s">
        <v>535</v>
      </c>
      <c r="F82" s="434">
        <v>44657</v>
      </c>
      <c r="G82" s="433">
        <v>590</v>
      </c>
      <c r="H82" s="432">
        <f t="shared" si="2"/>
        <v>0</v>
      </c>
      <c r="I82" s="415"/>
    </row>
    <row r="83" spans="1:9" ht="18.600000000000001" customHeight="1" x14ac:dyDescent="0.25">
      <c r="A83" s="522"/>
      <c r="B83" s="329" t="s">
        <v>536</v>
      </c>
      <c r="C83" s="330"/>
      <c r="D83" s="331">
        <v>1100</v>
      </c>
      <c r="E83" s="410" t="s">
        <v>537</v>
      </c>
      <c r="F83" s="434">
        <v>44657</v>
      </c>
      <c r="G83" s="450">
        <v>1100</v>
      </c>
      <c r="H83" s="451">
        <f t="shared" si="2"/>
        <v>0</v>
      </c>
      <c r="I83" s="421"/>
    </row>
    <row r="84" spans="1:9" ht="18.600000000000001" customHeight="1" x14ac:dyDescent="0.25">
      <c r="A84" s="522"/>
      <c r="B84" s="341" t="s">
        <v>545</v>
      </c>
      <c r="C84" s="342"/>
      <c r="D84" s="331">
        <v>500</v>
      </c>
      <c r="E84" s="410" t="s">
        <v>394</v>
      </c>
      <c r="F84" s="434">
        <v>44657</v>
      </c>
      <c r="G84" s="452">
        <v>500</v>
      </c>
      <c r="H84" s="451">
        <f t="shared" si="2"/>
        <v>0</v>
      </c>
      <c r="I84" s="422"/>
    </row>
    <row r="85" spans="1:9" ht="18.600000000000001" customHeight="1" x14ac:dyDescent="0.25">
      <c r="A85" s="522"/>
      <c r="B85" s="386" t="s">
        <v>592</v>
      </c>
      <c r="C85" s="387" t="s">
        <v>593</v>
      </c>
      <c r="D85" s="275">
        <v>2100</v>
      </c>
      <c r="E85" s="411" t="s">
        <v>594</v>
      </c>
      <c r="F85" s="453">
        <v>44657</v>
      </c>
      <c r="G85" s="473">
        <v>2100</v>
      </c>
      <c r="H85" s="455">
        <f t="shared" si="2"/>
        <v>0</v>
      </c>
      <c r="I85" s="425"/>
    </row>
    <row r="86" spans="1:9" ht="18.600000000000001" customHeight="1" x14ac:dyDescent="0.25">
      <c r="A86" s="522"/>
      <c r="B86" s="386" t="s">
        <v>575</v>
      </c>
      <c r="C86" s="474" t="s">
        <v>576</v>
      </c>
      <c r="D86" s="275">
        <v>650</v>
      </c>
      <c r="E86" s="411" t="s">
        <v>193</v>
      </c>
      <c r="F86" s="453">
        <v>44661</v>
      </c>
      <c r="G86" s="473">
        <v>650</v>
      </c>
      <c r="H86" s="455">
        <f t="shared" si="2"/>
        <v>0</v>
      </c>
      <c r="I86" s="475"/>
    </row>
    <row r="87" spans="1:9" ht="18.600000000000001" customHeight="1" x14ac:dyDescent="0.25">
      <c r="A87" s="522"/>
      <c r="B87" s="386" t="s">
        <v>598</v>
      </c>
      <c r="C87" s="403" t="s">
        <v>544</v>
      </c>
      <c r="D87" s="476">
        <v>360</v>
      </c>
      <c r="E87" s="411" t="s">
        <v>599</v>
      </c>
      <c r="F87" s="453">
        <v>44663</v>
      </c>
      <c r="G87" s="477">
        <v>360</v>
      </c>
      <c r="H87" s="455">
        <f t="shared" si="2"/>
        <v>0</v>
      </c>
      <c r="I87" s="425"/>
    </row>
    <row r="88" spans="1:9" ht="18.600000000000001" customHeight="1" x14ac:dyDescent="0.25">
      <c r="A88" s="522"/>
      <c r="B88" s="402" t="s">
        <v>659</v>
      </c>
      <c r="C88" s="403" t="s">
        <v>660</v>
      </c>
      <c r="D88" s="275">
        <v>1393.52</v>
      </c>
      <c r="E88" s="411" t="s">
        <v>661</v>
      </c>
      <c r="F88" s="453">
        <v>44663</v>
      </c>
      <c r="G88" s="454">
        <v>1393.52</v>
      </c>
      <c r="H88" s="455">
        <f t="shared" si="2"/>
        <v>0</v>
      </c>
      <c r="I88" s="478">
        <v>44663</v>
      </c>
    </row>
    <row r="89" spans="1:9" ht="18.600000000000001" customHeight="1" x14ac:dyDescent="0.25">
      <c r="A89" s="522"/>
      <c r="B89" s="102" t="s">
        <v>371</v>
      </c>
      <c r="C89" s="265" t="s">
        <v>590</v>
      </c>
      <c r="D89" s="110">
        <v>43155.07</v>
      </c>
      <c r="E89" s="404" t="s">
        <v>591</v>
      </c>
      <c r="F89" s="434">
        <v>44666</v>
      </c>
      <c r="G89" s="433">
        <v>43155.07</v>
      </c>
      <c r="H89" s="432">
        <f t="shared" si="2"/>
        <v>0</v>
      </c>
      <c r="I89" s="415"/>
    </row>
    <row r="90" spans="1:9" ht="18.600000000000001" customHeight="1" x14ac:dyDescent="0.25">
      <c r="A90" s="522"/>
      <c r="B90" s="402" t="s">
        <v>589</v>
      </c>
      <c r="C90" s="403" t="s">
        <v>475</v>
      </c>
      <c r="D90" s="275">
        <v>25534.74</v>
      </c>
      <c r="E90" s="411" t="s">
        <v>193</v>
      </c>
      <c r="F90" s="453">
        <v>44681</v>
      </c>
      <c r="G90" s="454">
        <v>25534.74</v>
      </c>
      <c r="H90" s="455">
        <f t="shared" si="2"/>
        <v>0</v>
      </c>
      <c r="I90" s="424"/>
    </row>
    <row r="91" spans="1:9" ht="18.600000000000001" customHeight="1" x14ac:dyDescent="0.25">
      <c r="A91" s="522"/>
      <c r="B91" s="402" t="s">
        <v>202</v>
      </c>
      <c r="C91" s="403" t="s">
        <v>476</v>
      </c>
      <c r="D91" s="275">
        <v>3513.12</v>
      </c>
      <c r="E91" s="411" t="s">
        <v>193</v>
      </c>
      <c r="F91" s="453">
        <v>44681</v>
      </c>
      <c r="G91" s="454">
        <v>3513.12</v>
      </c>
      <c r="H91" s="455">
        <f t="shared" si="2"/>
        <v>0</v>
      </c>
      <c r="I91" s="424"/>
    </row>
    <row r="92" spans="1:9" ht="18.600000000000001" customHeight="1" x14ac:dyDescent="0.25">
      <c r="A92" s="522"/>
      <c r="B92" s="386" t="s">
        <v>202</v>
      </c>
      <c r="C92" s="387" t="s">
        <v>552</v>
      </c>
      <c r="D92" s="275">
        <v>4101.12</v>
      </c>
      <c r="E92" s="411" t="s">
        <v>600</v>
      </c>
      <c r="F92" s="456">
        <v>44681</v>
      </c>
      <c r="G92" s="457">
        <v>4101.12</v>
      </c>
      <c r="H92" s="455">
        <f>D92-G92</f>
        <v>0</v>
      </c>
      <c r="I92" s="425"/>
    </row>
    <row r="93" spans="1:9" ht="18.600000000000001" customHeight="1" x14ac:dyDescent="0.25">
      <c r="A93" s="522"/>
      <c r="B93" s="386" t="s">
        <v>202</v>
      </c>
      <c r="C93" s="387" t="s">
        <v>554</v>
      </c>
      <c r="D93" s="275">
        <v>26635.040000000001</v>
      </c>
      <c r="E93" s="411" t="s">
        <v>193</v>
      </c>
      <c r="F93" s="456">
        <v>44681</v>
      </c>
      <c r="G93" s="457"/>
      <c r="H93" s="455">
        <f>D93-G93</f>
        <v>26635.040000000001</v>
      </c>
      <c r="I93" s="425"/>
    </row>
    <row r="94" spans="1:9" ht="18.600000000000001" customHeight="1" x14ac:dyDescent="0.25">
      <c r="A94" s="522"/>
      <c r="B94" s="103" t="s">
        <v>190</v>
      </c>
      <c r="C94" s="269" t="s">
        <v>492</v>
      </c>
      <c r="D94" s="110">
        <v>2477.6</v>
      </c>
      <c r="E94" s="404" t="s">
        <v>193</v>
      </c>
      <c r="F94" s="458">
        <v>44681</v>
      </c>
      <c r="G94" s="433">
        <v>2477.6</v>
      </c>
      <c r="H94" s="432">
        <f t="shared" si="2"/>
        <v>0</v>
      </c>
      <c r="I94" s="423"/>
    </row>
    <row r="95" spans="1:9" ht="18.600000000000001" customHeight="1" x14ac:dyDescent="0.25">
      <c r="A95" s="522"/>
      <c r="B95" s="103" t="s">
        <v>190</v>
      </c>
      <c r="C95" s="269"/>
      <c r="D95" s="110">
        <v>-1078.73</v>
      </c>
      <c r="E95" s="404" t="s">
        <v>193</v>
      </c>
      <c r="F95" s="458">
        <v>44681</v>
      </c>
      <c r="G95" s="433">
        <v>-1078.73</v>
      </c>
      <c r="H95" s="432">
        <f t="shared" si="2"/>
        <v>0</v>
      </c>
      <c r="I95" s="423"/>
    </row>
    <row r="96" spans="1:9" ht="20.25" customHeight="1" x14ac:dyDescent="0.25">
      <c r="A96" s="522"/>
      <c r="B96" s="103" t="s">
        <v>190</v>
      </c>
      <c r="C96" s="269"/>
      <c r="D96" s="110">
        <v>-145.99</v>
      </c>
      <c r="E96" s="404" t="s">
        <v>193</v>
      </c>
      <c r="F96" s="458">
        <v>44681</v>
      </c>
      <c r="G96" s="433">
        <v>-145.99</v>
      </c>
      <c r="H96" s="432">
        <f t="shared" si="2"/>
        <v>0</v>
      </c>
      <c r="I96" s="423"/>
    </row>
    <row r="97" spans="1:9" ht="20.25" customHeight="1" x14ac:dyDescent="0.25">
      <c r="A97" s="522"/>
      <c r="B97" s="103" t="s">
        <v>190</v>
      </c>
      <c r="C97" s="269" t="s">
        <v>568</v>
      </c>
      <c r="D97" s="110">
        <v>840</v>
      </c>
      <c r="E97" s="404" t="s">
        <v>193</v>
      </c>
      <c r="F97" s="458">
        <v>44681</v>
      </c>
      <c r="G97" s="433">
        <v>840</v>
      </c>
      <c r="H97" s="432">
        <f t="shared" si="2"/>
        <v>0</v>
      </c>
      <c r="I97" s="423"/>
    </row>
    <row r="98" spans="1:9" ht="20.25" customHeight="1" x14ac:dyDescent="0.25">
      <c r="A98" s="522"/>
      <c r="B98" s="103" t="s">
        <v>190</v>
      </c>
      <c r="C98" s="269" t="s">
        <v>583</v>
      </c>
      <c r="D98" s="110">
        <v>420</v>
      </c>
      <c r="E98" s="404" t="s">
        <v>193</v>
      </c>
      <c r="F98" s="458">
        <v>44681</v>
      </c>
      <c r="G98" s="433">
        <v>420</v>
      </c>
      <c r="H98" s="432">
        <f t="shared" si="2"/>
        <v>0</v>
      </c>
      <c r="I98" s="423"/>
    </row>
    <row r="99" spans="1:9" ht="20.25" customHeight="1" x14ac:dyDescent="0.25">
      <c r="A99" s="522"/>
      <c r="B99" s="102" t="s">
        <v>190</v>
      </c>
      <c r="C99" s="265" t="s">
        <v>381</v>
      </c>
      <c r="D99" s="110">
        <v>2937.12</v>
      </c>
      <c r="E99" s="404" t="s">
        <v>193</v>
      </c>
      <c r="F99" s="434">
        <v>44681</v>
      </c>
      <c r="G99" s="435">
        <v>2937.12</v>
      </c>
      <c r="H99" s="432">
        <f>D99-G99</f>
        <v>0</v>
      </c>
      <c r="I99" s="415"/>
    </row>
    <row r="100" spans="1:9" ht="20.25" customHeight="1" x14ac:dyDescent="0.25">
      <c r="A100" s="522"/>
      <c r="B100" s="103" t="s">
        <v>597</v>
      </c>
      <c r="C100" s="269" t="s">
        <v>542</v>
      </c>
      <c r="D100" s="110">
        <v>1170</v>
      </c>
      <c r="E100" s="404" t="s">
        <v>477</v>
      </c>
      <c r="F100" s="458">
        <v>44681</v>
      </c>
      <c r="G100" s="433">
        <v>1170</v>
      </c>
      <c r="H100" s="432">
        <f t="shared" si="2"/>
        <v>0</v>
      </c>
      <c r="I100" s="423"/>
    </row>
    <row r="101" spans="1:9" ht="20.25" customHeight="1" x14ac:dyDescent="0.25">
      <c r="A101" s="522"/>
      <c r="B101" s="103" t="s">
        <v>601</v>
      </c>
      <c r="C101" s="269" t="s">
        <v>602</v>
      </c>
      <c r="D101" s="110">
        <v>3000</v>
      </c>
      <c r="E101" s="404" t="s">
        <v>193</v>
      </c>
      <c r="F101" s="458">
        <v>44681</v>
      </c>
      <c r="G101" s="435">
        <v>3000</v>
      </c>
      <c r="H101" s="432">
        <f t="shared" si="2"/>
        <v>0</v>
      </c>
      <c r="I101" s="419">
        <v>44719</v>
      </c>
    </row>
    <row r="102" spans="1:9" ht="20.25" customHeight="1" x14ac:dyDescent="0.25">
      <c r="A102" s="522"/>
      <c r="B102" s="103" t="s">
        <v>603</v>
      </c>
      <c r="C102" s="269" t="s">
        <v>574</v>
      </c>
      <c r="D102" s="110">
        <v>5060</v>
      </c>
      <c r="E102" s="404" t="s">
        <v>193</v>
      </c>
      <c r="F102" s="458">
        <v>44681</v>
      </c>
      <c r="G102" s="435">
        <v>5060</v>
      </c>
      <c r="H102" s="432">
        <f t="shared" si="2"/>
        <v>0</v>
      </c>
      <c r="I102" s="419">
        <v>44719</v>
      </c>
    </row>
    <row r="103" spans="1:9" ht="20.25" customHeight="1" x14ac:dyDescent="0.25">
      <c r="A103" s="522"/>
      <c r="B103" s="103" t="s">
        <v>267</v>
      </c>
      <c r="C103" s="269" t="s">
        <v>626</v>
      </c>
      <c r="D103" s="110">
        <v>8638.36</v>
      </c>
      <c r="E103" s="404" t="s">
        <v>188</v>
      </c>
      <c r="F103" s="458">
        <v>44681</v>
      </c>
      <c r="G103" s="435">
        <v>8638.36</v>
      </c>
      <c r="H103" s="432">
        <f t="shared" si="2"/>
        <v>0</v>
      </c>
      <c r="I103" s="419"/>
    </row>
    <row r="104" spans="1:9" ht="20.25" customHeight="1" x14ac:dyDescent="0.25">
      <c r="A104" s="522"/>
      <c r="B104" s="103" t="s">
        <v>267</v>
      </c>
      <c r="C104" s="269" t="s">
        <v>627</v>
      </c>
      <c r="D104" s="110">
        <v>163.72</v>
      </c>
      <c r="E104" s="412" t="s">
        <v>239</v>
      </c>
      <c r="F104" s="458">
        <v>44681</v>
      </c>
      <c r="G104" s="435">
        <v>163.72</v>
      </c>
      <c r="H104" s="432">
        <f t="shared" si="2"/>
        <v>0</v>
      </c>
      <c r="I104" s="419"/>
    </row>
    <row r="105" spans="1:9" ht="20.25" customHeight="1" x14ac:dyDescent="0.25">
      <c r="A105" s="522"/>
      <c r="B105" s="103" t="s">
        <v>455</v>
      </c>
      <c r="C105" s="269" t="s">
        <v>584</v>
      </c>
      <c r="D105" s="110">
        <v>237.6</v>
      </c>
      <c r="E105" s="413"/>
      <c r="F105" s="458">
        <v>44681</v>
      </c>
      <c r="G105" s="435">
        <v>237.6</v>
      </c>
      <c r="H105" s="432">
        <f t="shared" si="2"/>
        <v>0</v>
      </c>
      <c r="I105" s="419"/>
    </row>
    <row r="106" spans="1:9" ht="20.25" customHeight="1" x14ac:dyDescent="0.25">
      <c r="A106" s="522"/>
      <c r="B106" s="103"/>
      <c r="C106" s="269"/>
      <c r="D106" s="110"/>
      <c r="E106" s="412"/>
      <c r="F106" s="458"/>
      <c r="G106" s="435"/>
      <c r="H106" s="432">
        <f t="shared" si="2"/>
        <v>0</v>
      </c>
      <c r="I106" s="423"/>
    </row>
    <row r="107" spans="1:9" ht="18.600000000000001" customHeight="1" x14ac:dyDescent="0.25">
      <c r="A107" s="522"/>
      <c r="B107" s="103"/>
      <c r="C107" s="269"/>
      <c r="D107" s="110"/>
      <c r="E107" s="412"/>
      <c r="F107" s="458"/>
      <c r="G107" s="435"/>
      <c r="H107" s="432">
        <f t="shared" si="2"/>
        <v>0</v>
      </c>
      <c r="I107" s="423"/>
    </row>
    <row r="108" spans="1:9" ht="21" customHeight="1" x14ac:dyDescent="0.25">
      <c r="A108" s="304"/>
      <c r="B108" s="103"/>
      <c r="C108" s="269"/>
      <c r="D108" s="110"/>
      <c r="E108" s="412"/>
      <c r="F108" s="458"/>
      <c r="G108" s="435"/>
      <c r="H108" s="432">
        <f t="shared" si="2"/>
        <v>0</v>
      </c>
      <c r="I108" s="423"/>
    </row>
    <row r="109" spans="1:9" ht="21" customHeight="1" x14ac:dyDescent="0.25">
      <c r="A109" s="119" t="s">
        <v>126</v>
      </c>
      <c r="B109" s="260" t="s">
        <v>140</v>
      </c>
      <c r="C109" s="268"/>
      <c r="D109" s="261">
        <f>SUM(D81:D108)</f>
        <v>135092.28000000003</v>
      </c>
      <c r="E109" s="414"/>
      <c r="F109" s="459"/>
      <c r="G109" s="460"/>
      <c r="H109" s="461">
        <f>+SUM(H81:H108)</f>
        <v>26635.040000000001</v>
      </c>
      <c r="I109" s="426"/>
    </row>
    <row r="110" spans="1:9" ht="21" customHeight="1" x14ac:dyDescent="0.25">
      <c r="B110" s="305"/>
      <c r="C110" s="306"/>
      <c r="D110" s="307"/>
      <c r="E110" s="84"/>
    </row>
    <row r="111" spans="1:9" ht="21" customHeight="1" x14ac:dyDescent="0.25">
      <c r="B111" s="104"/>
      <c r="C111" s="271"/>
      <c r="D111" s="274">
        <f>+SUM(D109+D80+D37)</f>
        <v>280912.67700000003</v>
      </c>
    </row>
  </sheetData>
  <sortState xmlns:xlrd2="http://schemas.microsoft.com/office/spreadsheetml/2017/richdata2" ref="B81:I108">
    <sortCondition ref="F81:F108"/>
  </sortState>
  <mergeCells count="7">
    <mergeCell ref="A81:A107"/>
    <mergeCell ref="A38:A80"/>
    <mergeCell ref="A2:A28"/>
    <mergeCell ref="K8:L8"/>
    <mergeCell ref="K10:L10"/>
    <mergeCell ref="K12:L12"/>
    <mergeCell ref="K15:M15"/>
  </mergeCells>
  <phoneticPr fontId="70" type="noConversion"/>
  <conditionalFormatting sqref="D81 C82:E82 C86:D87 C18:E18 D28:G34 B2:I2 B85:D85 B88:D88 B51:G52 B83:G84 H38:H55 B67:G67 B73:G76 B77:C77 B80:G80 D77:H78 I73:I78 C75:C78 B78 B79:I79 I3:I10 B3:H11 B19:G20 I12:I21 H12:H36 F12:F19 B12:E17 G12:G18 H57:H76 B70:G70 B94:I98 H100:H108 I100:I109 B100:G109 F84:F85 F85:G88 I82:I88 H81:H88 E85:E86 B89:I91">
    <cfRule type="expression" dxfId="839" priority="336">
      <formula>MOD(ROW(),2)=1</formula>
    </cfRule>
  </conditionalFormatting>
  <conditionalFormatting sqref="F2:G11">
    <cfRule type="timePeriod" dxfId="838" priority="331" timePeriod="yesterday">
      <formula>FLOOR(F2,1)=TODAY()-1</formula>
    </cfRule>
    <cfRule type="timePeriod" dxfId="837" priority="333" timePeriod="today">
      <formula>FLOOR(F2,1)=TODAY()</formula>
    </cfRule>
    <cfRule type="cellIs" dxfId="836" priority="334" operator="lessThan">
      <formula>_xludf.today()</formula>
    </cfRule>
  </conditionalFormatting>
  <conditionalFormatting sqref="F28:G34 F51:G52 F67:G67 F2:G21 F70:G70 F73:G80 F94:G98 F100:G109 F83:G91">
    <cfRule type="cellIs" dxfId="835" priority="326" operator="lessThan">
      <formula>TODAY()</formula>
    </cfRule>
    <cfRule type="timePeriod" dxfId="834" priority="327" timePeriod="last7Days">
      <formula>AND(TODAY()-FLOOR(F2,1)&lt;=6,FLOOR(F2,1)&lt;=TODAY())</formula>
    </cfRule>
    <cfRule type="timePeriod" dxfId="833" priority="328" timePeriod="yesterday">
      <formula>FLOOR(F2,1)=TODAY()-1</formula>
    </cfRule>
    <cfRule type="timePeriod" dxfId="832" priority="329" timePeriod="lastMonth">
      <formula>AND(MONTH(F2)=MONTH(EDATE(TODAY(),0-1)),YEAR(F2)=YEAR(EDATE(TODAY(),0-1)))</formula>
    </cfRule>
    <cfRule type="timePeriod" dxfId="831" priority="330" timePeriod="yesterday">
      <formula>FLOOR(F2,1)=TODAY()-1</formula>
    </cfRule>
    <cfRule type="timePeriod" dxfId="830" priority="332" timePeriod="today">
      <formula>FLOOR(F2,1)=TODAY()</formula>
    </cfRule>
  </conditionalFormatting>
  <conditionalFormatting sqref="B81:E81 B82 I81">
    <cfRule type="expression" dxfId="829" priority="324">
      <formula>MOD(ROW(),2)=1</formula>
    </cfRule>
  </conditionalFormatting>
  <conditionalFormatting sqref="F12:G12">
    <cfRule type="timePeriod" dxfId="828" priority="318" timePeriod="yesterday">
      <formula>FLOOR(F12,1)=TODAY()-1</formula>
    </cfRule>
    <cfRule type="timePeriod" dxfId="827" priority="319" timePeriod="today">
      <formula>FLOOR(F12,1)=TODAY()</formula>
    </cfRule>
    <cfRule type="cellIs" dxfId="826" priority="320" operator="lessThan">
      <formula>_xludf.today()</formula>
    </cfRule>
  </conditionalFormatting>
  <conditionalFormatting sqref="B21:C21 F21:G21">
    <cfRule type="expression" dxfId="825" priority="317">
      <formula>MOD(ROW(),2)=1</formula>
    </cfRule>
  </conditionalFormatting>
  <conditionalFormatting sqref="B22:G27 B28:C36">
    <cfRule type="expression" dxfId="824" priority="310">
      <formula>MOD(ROW(),2)=1</formula>
    </cfRule>
  </conditionalFormatting>
  <conditionalFormatting sqref="F22:G27">
    <cfRule type="cellIs" dxfId="823" priority="304" operator="lessThan">
      <formula>TODAY()</formula>
    </cfRule>
    <cfRule type="timePeriod" dxfId="822" priority="305" timePeriod="last7Days">
      <formula>AND(TODAY()-FLOOR(F22,1)&lt;=6,FLOOR(F22,1)&lt;=TODAY())</formula>
    </cfRule>
    <cfRule type="timePeriod" dxfId="821" priority="306" timePeriod="yesterday">
      <formula>FLOOR(F22,1)=TODAY()-1</formula>
    </cfRule>
    <cfRule type="timePeriod" dxfId="820" priority="307" timePeriod="lastMonth">
      <formula>AND(MONTH(F22)=MONTH(EDATE(TODAY(),0-1)),YEAR(F22)=YEAR(EDATE(TODAY(),0-1)))</formula>
    </cfRule>
    <cfRule type="timePeriod" dxfId="819" priority="308" timePeriod="yesterday">
      <formula>FLOOR(F22,1)=TODAY()-1</formula>
    </cfRule>
    <cfRule type="timePeriod" dxfId="818" priority="309" timePeriod="today">
      <formula>FLOOR(F22,1)=TODAY()</formula>
    </cfRule>
  </conditionalFormatting>
  <conditionalFormatting sqref="B86:B87">
    <cfRule type="expression" dxfId="817" priority="236">
      <formula>MOD(ROW(),2)=1</formula>
    </cfRule>
  </conditionalFormatting>
  <conditionalFormatting sqref="E87">
    <cfRule type="expression" dxfId="816" priority="235">
      <formula>MOD(ROW(),2)=1</formula>
    </cfRule>
  </conditionalFormatting>
  <conditionalFormatting sqref="F81:G82">
    <cfRule type="expression" dxfId="815" priority="233">
      <formula>MOD(ROW(),2)=1</formula>
    </cfRule>
  </conditionalFormatting>
  <conditionalFormatting sqref="F81:G82">
    <cfRule type="cellIs" dxfId="814" priority="227" operator="lessThan">
      <formula>TODAY()</formula>
    </cfRule>
    <cfRule type="timePeriod" dxfId="813" priority="228" timePeriod="last7Days">
      <formula>AND(TODAY()-FLOOR(F81,1)&lt;=6,FLOOR(F81,1)&lt;=TODAY())</formula>
    </cfRule>
    <cfRule type="timePeriod" dxfId="812" priority="229" timePeriod="yesterday">
      <formula>FLOOR(F81,1)=TODAY()-1</formula>
    </cfRule>
    <cfRule type="timePeriod" dxfId="811" priority="230" timePeriod="lastMonth">
      <formula>AND(MONTH(F81)=MONTH(EDATE(TODAY(),0-1)),YEAR(F81)=YEAR(EDATE(TODAY(),0-1)))</formula>
    </cfRule>
    <cfRule type="timePeriod" dxfId="810" priority="231" timePeriod="yesterday">
      <formula>FLOOR(F81,1)=TODAY()-1</formula>
    </cfRule>
    <cfRule type="timePeriod" dxfId="809" priority="232" timePeriod="today">
      <formula>FLOOR(F81,1)=TODAY()</formula>
    </cfRule>
  </conditionalFormatting>
  <conditionalFormatting sqref="F12:F13">
    <cfRule type="timePeriod" dxfId="808" priority="212" timePeriod="yesterday">
      <formula>FLOOR(F12,1)=TODAY()-1</formula>
    </cfRule>
    <cfRule type="timePeriod" dxfId="807" priority="213" timePeriod="today">
      <formula>FLOOR(F12,1)=TODAY()</formula>
    </cfRule>
    <cfRule type="cellIs" dxfId="806" priority="214" operator="lessThan">
      <formula>_xludf.today()</formula>
    </cfRule>
  </conditionalFormatting>
  <conditionalFormatting sqref="F14">
    <cfRule type="timePeriod" dxfId="805" priority="209" timePeriod="yesterday">
      <formula>FLOOR(F14,1)=TODAY()-1</formula>
    </cfRule>
    <cfRule type="timePeriod" dxfId="804" priority="210" timePeriod="today">
      <formula>FLOOR(F14,1)=TODAY()</formula>
    </cfRule>
    <cfRule type="cellIs" dxfId="803" priority="211" operator="lessThan">
      <formula>_xludf.today()</formula>
    </cfRule>
  </conditionalFormatting>
  <conditionalFormatting sqref="F17">
    <cfRule type="timePeriod" dxfId="802" priority="206" timePeriod="yesterday">
      <formula>FLOOR(F17,1)=TODAY()-1</formula>
    </cfRule>
    <cfRule type="timePeriod" dxfId="801" priority="207" timePeriod="today">
      <formula>FLOOR(F17,1)=TODAY()</formula>
    </cfRule>
    <cfRule type="cellIs" dxfId="800" priority="208" operator="lessThan">
      <formula>_xludf.today()</formula>
    </cfRule>
  </conditionalFormatting>
  <conditionalFormatting sqref="B18">
    <cfRule type="expression" dxfId="799" priority="205">
      <formula>MOD(ROW(),2)=1</formula>
    </cfRule>
  </conditionalFormatting>
  <conditionalFormatting sqref="B18">
    <cfRule type="expression" dxfId="798" priority="204">
      <formula>MOD(ROW(),2)=1</formula>
    </cfRule>
  </conditionalFormatting>
  <conditionalFormatting sqref="B19">
    <cfRule type="expression" dxfId="797" priority="203">
      <formula>MOD(ROW(),2)=1</formula>
    </cfRule>
  </conditionalFormatting>
  <conditionalFormatting sqref="I80">
    <cfRule type="expression" dxfId="796" priority="201">
      <formula>MOD(ROW(),2)=1</formula>
    </cfRule>
  </conditionalFormatting>
  <conditionalFormatting sqref="I80">
    <cfRule type="expression" dxfId="795" priority="200">
      <formula>MOD(ROW(),2)=1</formula>
    </cfRule>
  </conditionalFormatting>
  <conditionalFormatting sqref="H80">
    <cfRule type="expression" dxfId="794" priority="171">
      <formula>MOD(ROW(),2)=1</formula>
    </cfRule>
  </conditionalFormatting>
  <conditionalFormatting sqref="H109">
    <cfRule type="expression" dxfId="793" priority="170">
      <formula>MOD(ROW(),2)=1</formula>
    </cfRule>
  </conditionalFormatting>
  <conditionalFormatting sqref="I22:I26">
    <cfRule type="expression" dxfId="792" priority="157">
      <formula>MOD(ROW(),2)=1</formula>
    </cfRule>
  </conditionalFormatting>
  <conditionalFormatting sqref="I27">
    <cfRule type="expression" dxfId="791" priority="155">
      <formula>MOD(ROW(),2)=1</formula>
    </cfRule>
  </conditionalFormatting>
  <conditionalFormatting sqref="I11">
    <cfRule type="expression" dxfId="790" priority="153">
      <formula>MOD(ROW(),2)=1</formula>
    </cfRule>
  </conditionalFormatting>
  <conditionalFormatting sqref="I28:I34">
    <cfRule type="expression" dxfId="789" priority="142">
      <formula>MOD(ROW(),2)=1</formula>
    </cfRule>
  </conditionalFormatting>
  <conditionalFormatting sqref="D35:G36">
    <cfRule type="expression" dxfId="788" priority="134">
      <formula>MOD(ROW(),2)=1</formula>
    </cfRule>
  </conditionalFormatting>
  <conditionalFormatting sqref="F35:G36">
    <cfRule type="cellIs" dxfId="787" priority="128" operator="lessThan">
      <formula>TODAY()</formula>
    </cfRule>
    <cfRule type="timePeriod" dxfId="786" priority="129" timePeriod="last7Days">
      <formula>AND(TODAY()-FLOOR(F35,1)&lt;=6,FLOOR(F35,1)&lt;=TODAY())</formula>
    </cfRule>
    <cfRule type="timePeriod" dxfId="785" priority="130" timePeriod="yesterday">
      <formula>FLOOR(F35,1)=TODAY()-1</formula>
    </cfRule>
    <cfRule type="timePeriod" dxfId="784" priority="131" timePeriod="lastMonth">
      <formula>AND(MONTH(F35)=MONTH(EDATE(TODAY(),0-1)),YEAR(F35)=YEAR(EDATE(TODAY(),0-1)))</formula>
    </cfRule>
    <cfRule type="timePeriod" dxfId="783" priority="132" timePeriod="yesterday">
      <formula>FLOOR(F35,1)=TODAY()-1</formula>
    </cfRule>
    <cfRule type="timePeriod" dxfId="782" priority="133" timePeriod="today">
      <formula>FLOOR(F35,1)=TODAY()</formula>
    </cfRule>
  </conditionalFormatting>
  <conditionalFormatting sqref="I35">
    <cfRule type="expression" dxfId="781" priority="126">
      <formula>MOD(ROW(),2)=1</formula>
    </cfRule>
  </conditionalFormatting>
  <conditionalFormatting sqref="I36">
    <cfRule type="expression" dxfId="780" priority="124">
      <formula>MOD(ROW(),2)=1</formula>
    </cfRule>
  </conditionalFormatting>
  <conditionalFormatting sqref="D38:G38 D41:G42 D45:G46 D49:G50 D53:G54 D57:G58 D61:G62 D65:G66 D68:G69 D71:G71 D72:E72 G72">
    <cfRule type="expression" dxfId="779" priority="114">
      <formula>MOD(ROW(),2)=1</formula>
    </cfRule>
  </conditionalFormatting>
  <conditionalFormatting sqref="F38:G38 F41:G42 F45:G46 F49:G50 F53:G54 F57:G58 F61:G62 F65:G66 F68:G69 F71:G71 G72">
    <cfRule type="cellIs" dxfId="778" priority="108" operator="lessThan">
      <formula>TODAY()</formula>
    </cfRule>
    <cfRule type="timePeriod" dxfId="777" priority="109" timePeriod="last7Days">
      <formula>AND(TODAY()-FLOOR(F38,1)&lt;=6,FLOOR(F38,1)&lt;=TODAY())</formula>
    </cfRule>
    <cfRule type="timePeriod" dxfId="776" priority="110" timePeriod="yesterday">
      <formula>FLOOR(F38,1)=TODAY()-1</formula>
    </cfRule>
    <cfRule type="timePeriod" dxfId="775" priority="111" timePeriod="lastMonth">
      <formula>AND(MONTH(F38)=MONTH(EDATE(TODAY(),0-1)),YEAR(F38)=YEAR(EDATE(TODAY(),0-1)))</formula>
    </cfRule>
    <cfRule type="timePeriod" dxfId="774" priority="112" timePeriod="yesterday">
      <formula>FLOOR(F38,1)=TODAY()-1</formula>
    </cfRule>
    <cfRule type="timePeriod" dxfId="773" priority="113" timePeriod="today">
      <formula>FLOOR(F38,1)=TODAY()</formula>
    </cfRule>
  </conditionalFormatting>
  <conditionalFormatting sqref="B39:G40 B43:G44 B47:G48 B55:G55 B59:G60 B63:G64 B38:C38 B41:C42 B45:C46 B49:C50 B53:C54 B57:C58 B65:C66 B68:C69 B71:C72 B61:C62">
    <cfRule type="expression" dxfId="772" priority="107">
      <formula>MOD(ROW(),2)=1</formula>
    </cfRule>
  </conditionalFormatting>
  <conditionalFormatting sqref="F39:G40 F43:G44 F47:G48 F55:G55 F59:G60 F63:G64">
    <cfRule type="cellIs" dxfId="771" priority="101" operator="lessThan">
      <formula>TODAY()</formula>
    </cfRule>
    <cfRule type="timePeriod" dxfId="770" priority="102" timePeriod="last7Days">
      <formula>AND(TODAY()-FLOOR(F39,1)&lt;=6,FLOOR(F39,1)&lt;=TODAY())</formula>
    </cfRule>
    <cfRule type="timePeriod" dxfId="769" priority="103" timePeriod="yesterday">
      <formula>FLOOR(F39,1)=TODAY()-1</formula>
    </cfRule>
    <cfRule type="timePeriod" dxfId="768" priority="104" timePeriod="lastMonth">
      <formula>AND(MONTH(F39)=MONTH(EDATE(TODAY(),0-1)),YEAR(F39)=YEAR(EDATE(TODAY(),0-1)))</formula>
    </cfRule>
    <cfRule type="timePeriod" dxfId="767" priority="105" timePeriod="yesterday">
      <formula>FLOOR(F39,1)=TODAY()-1</formula>
    </cfRule>
    <cfRule type="timePeriod" dxfId="766" priority="106" timePeriod="today">
      <formula>FLOOR(F39,1)=TODAY()</formula>
    </cfRule>
  </conditionalFormatting>
  <conditionalFormatting sqref="I39 I43 I47 I51 I55 I59 I63">
    <cfRule type="expression" dxfId="765" priority="99">
      <formula>MOD(ROW(),2)=1</formula>
    </cfRule>
  </conditionalFormatting>
  <conditionalFormatting sqref="I40 I44 I48 I52 I56 I60 I64 I67 I70">
    <cfRule type="expression" dxfId="764" priority="97">
      <formula>MOD(ROW(),2)=1</formula>
    </cfRule>
  </conditionalFormatting>
  <conditionalFormatting sqref="I38 I41:I42 I45:I46 I49:I50 I53:I54 I57:I58 I61:I62 I65:I66 I68:I69 I71:I72">
    <cfRule type="expression" dxfId="763" priority="95">
      <formula>MOD(ROW(),2)=1</formula>
    </cfRule>
  </conditionalFormatting>
  <conditionalFormatting sqref="E88">
    <cfRule type="expression" dxfId="762" priority="93">
      <formula>MOD(ROW(),2)=1</formula>
    </cfRule>
  </conditionalFormatting>
  <conditionalFormatting sqref="D21">
    <cfRule type="expression" dxfId="761" priority="83">
      <formula>MOD(ROW(),2)=1</formula>
    </cfRule>
  </conditionalFormatting>
  <conditionalFormatting sqref="E21">
    <cfRule type="expression" dxfId="760" priority="82">
      <formula>MOD(ROW(),2)=1</formula>
    </cfRule>
  </conditionalFormatting>
  <conditionalFormatting sqref="H56">
    <cfRule type="expression" dxfId="759" priority="72">
      <formula>MOD(ROW(),2)=1</formula>
    </cfRule>
  </conditionalFormatting>
  <conditionalFormatting sqref="B56:G56">
    <cfRule type="expression" dxfId="758" priority="71">
      <formula>MOD(ROW(),2)=1</formula>
    </cfRule>
  </conditionalFormatting>
  <conditionalFormatting sqref="F56:G56">
    <cfRule type="cellIs" dxfId="757" priority="65" operator="lessThan">
      <formula>TODAY()</formula>
    </cfRule>
    <cfRule type="timePeriod" dxfId="756" priority="66" timePeriod="last7Days">
      <formula>AND(TODAY()-FLOOR(F56,1)&lt;=6,FLOOR(F56,1)&lt;=TODAY())</formula>
    </cfRule>
    <cfRule type="timePeriod" dxfId="755" priority="67" timePeriod="yesterday">
      <formula>FLOOR(F56,1)=TODAY()-1</formula>
    </cfRule>
    <cfRule type="timePeriod" dxfId="754" priority="68" timePeriod="lastMonth">
      <formula>AND(MONTH(F56)=MONTH(EDATE(TODAY(),0-1)),YEAR(F56)=YEAR(EDATE(TODAY(),0-1)))</formula>
    </cfRule>
    <cfRule type="timePeriod" dxfId="753" priority="69" timePeriod="yesterday">
      <formula>FLOOR(F56,1)=TODAY()-1</formula>
    </cfRule>
    <cfRule type="timePeriod" dxfId="752" priority="70" timePeriod="today">
      <formula>FLOOR(F56,1)=TODAY()</formula>
    </cfRule>
  </conditionalFormatting>
  <conditionalFormatting sqref="F72">
    <cfRule type="expression" dxfId="751" priority="64">
      <formula>MOD(ROW(),2)=1</formula>
    </cfRule>
  </conditionalFormatting>
  <conditionalFormatting sqref="F72">
    <cfRule type="cellIs" dxfId="750" priority="58" operator="lessThan">
      <formula>TODAY()</formula>
    </cfRule>
    <cfRule type="timePeriod" dxfId="749" priority="59" timePeriod="last7Days">
      <formula>AND(TODAY()-FLOOR(F72,1)&lt;=6,FLOOR(F72,1)&lt;=TODAY())</formula>
    </cfRule>
    <cfRule type="timePeriod" dxfId="748" priority="60" timePeriod="yesterday">
      <formula>FLOOR(F72,1)=TODAY()-1</formula>
    </cfRule>
    <cfRule type="timePeriod" dxfId="747" priority="61" timePeriod="lastMonth">
      <formula>AND(MONTH(F72)=MONTH(EDATE(TODAY(),0-1)),YEAR(F72)=YEAR(EDATE(TODAY(),0-1)))</formula>
    </cfRule>
    <cfRule type="timePeriod" dxfId="746" priority="62" timePeriod="yesterday">
      <formula>FLOOR(F72,1)=TODAY()-1</formula>
    </cfRule>
    <cfRule type="timePeriod" dxfId="745" priority="63" timePeriod="today">
      <formula>FLOOR(F72,1)=TODAY()</formula>
    </cfRule>
  </conditionalFormatting>
  <conditionalFormatting sqref="B37:G37">
    <cfRule type="expression" dxfId="744" priority="38">
      <formula>MOD(ROW(),2)=1</formula>
    </cfRule>
  </conditionalFormatting>
  <conditionalFormatting sqref="F37:G37">
    <cfRule type="cellIs" dxfId="743" priority="32" operator="lessThan">
      <formula>TODAY()</formula>
    </cfRule>
    <cfRule type="timePeriod" dxfId="742" priority="33" timePeriod="last7Days">
      <formula>AND(TODAY()-FLOOR(F37,1)&lt;=6,FLOOR(F37,1)&lt;=TODAY())</formula>
    </cfRule>
    <cfRule type="timePeriod" dxfId="741" priority="34" timePeriod="yesterday">
      <formula>FLOOR(F37,1)=TODAY()-1</formula>
    </cfRule>
    <cfRule type="timePeriod" dxfId="740" priority="35" timePeriod="lastMonth">
      <formula>AND(MONTH(F37)=MONTH(EDATE(TODAY(),0-1)),YEAR(F37)=YEAR(EDATE(TODAY(),0-1)))</formula>
    </cfRule>
    <cfRule type="timePeriod" dxfId="739" priority="36" timePeriod="yesterday">
      <formula>FLOOR(F37,1)=TODAY()-1</formula>
    </cfRule>
    <cfRule type="timePeriod" dxfId="738" priority="37" timePeriod="today">
      <formula>FLOOR(F37,1)=TODAY()</formula>
    </cfRule>
  </conditionalFormatting>
  <conditionalFormatting sqref="I37">
    <cfRule type="expression" dxfId="737" priority="30">
      <formula>MOD(ROW(),2)=1</formula>
    </cfRule>
  </conditionalFormatting>
  <conditionalFormatting sqref="I37">
    <cfRule type="expression" dxfId="736" priority="29">
      <formula>MOD(ROW(),2)=1</formula>
    </cfRule>
  </conditionalFormatting>
  <conditionalFormatting sqref="H37">
    <cfRule type="expression" dxfId="735" priority="28">
      <formula>MOD(ROW(),2)=1</formula>
    </cfRule>
  </conditionalFormatting>
  <conditionalFormatting sqref="B92:D93 F92:I93">
    <cfRule type="expression" dxfId="734" priority="17">
      <formula>MOD(ROW(),2)=1</formula>
    </cfRule>
  </conditionalFormatting>
  <conditionalFormatting sqref="F92:G93">
    <cfRule type="cellIs" dxfId="733" priority="11" operator="lessThan">
      <formula>TODAY()</formula>
    </cfRule>
    <cfRule type="timePeriod" dxfId="732" priority="12" timePeriod="last7Days">
      <formula>AND(TODAY()-FLOOR(F92,1)&lt;=6,FLOOR(F92,1)&lt;=TODAY())</formula>
    </cfRule>
    <cfRule type="timePeriod" dxfId="731" priority="13" timePeriod="yesterday">
      <formula>FLOOR(F92,1)=TODAY()-1</formula>
    </cfRule>
    <cfRule type="timePeriod" dxfId="730" priority="14" timePeriod="lastMonth">
      <formula>AND(MONTH(F92)=MONTH(EDATE(TODAY(),0-1)),YEAR(F92)=YEAR(EDATE(TODAY(),0-1)))</formula>
    </cfRule>
    <cfRule type="timePeriod" dxfId="729" priority="15" timePeriod="yesterday">
      <formula>FLOOR(F92,1)=TODAY()-1</formula>
    </cfRule>
    <cfRule type="timePeriod" dxfId="728" priority="16" timePeriod="today">
      <formula>FLOOR(F92,1)=TODAY()</formula>
    </cfRule>
  </conditionalFormatting>
  <conditionalFormatting sqref="E92:E93">
    <cfRule type="expression" dxfId="727" priority="10">
      <formula>MOD(ROW(),2)=1</formula>
    </cfRule>
  </conditionalFormatting>
  <conditionalFormatting sqref="B99:I99">
    <cfRule type="expression" dxfId="726" priority="9">
      <formula>MOD(ROW(),2)=1</formula>
    </cfRule>
  </conditionalFormatting>
  <conditionalFormatting sqref="F99:G99">
    <cfRule type="cellIs" dxfId="725" priority="3" operator="lessThan">
      <formula>TODAY()</formula>
    </cfRule>
    <cfRule type="timePeriod" dxfId="724" priority="4" timePeriod="last7Days">
      <formula>AND(TODAY()-FLOOR(F99,1)&lt;=6,FLOOR(F99,1)&lt;=TODAY())</formula>
    </cfRule>
    <cfRule type="timePeriod" dxfId="723" priority="5" timePeriod="yesterday">
      <formula>FLOOR(F99,1)=TODAY()-1</formula>
    </cfRule>
    <cfRule type="timePeriod" dxfId="722" priority="6" timePeriod="lastMonth">
      <formula>AND(MONTH(F99)=MONTH(EDATE(TODAY(),0-1)),YEAR(F99)=YEAR(EDATE(TODAY(),0-1)))</formula>
    </cfRule>
    <cfRule type="timePeriod" dxfId="721" priority="7" timePeriod="yesterday">
      <formula>FLOOR(F99,1)=TODAY()-1</formula>
    </cfRule>
    <cfRule type="timePeriod" dxfId="720" priority="8" timePeriod="today">
      <formula>FLOOR(F99,1)=TODAY()</formula>
    </cfRule>
  </conditionalFormatting>
  <conditionalFormatting sqref="I99">
    <cfRule type="expression" dxfId="719" priority="1">
      <formula>MOD(ROW(),2)=1</formula>
    </cfRule>
  </conditionalFormatting>
  <printOptions horizontalCentered="1"/>
  <pageMargins left="0.25" right="0.25" top="0.75" bottom="0.75" header="0.3" footer="0.3"/>
  <pageSetup paperSize="9" scale="43" fitToHeight="0" orientation="portrait" r:id="rId1"/>
  <headerFooter>
    <oddHeader>&amp;C&amp;"+,Bold"&amp;12&amp;K04-047Bill Paying&amp;"+,Regular" - CHECKLIST</oddHeader>
    <oddFooter>&amp;C&amp;K04+000Page &amp;P of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37" id="{A58B2DFC-30FB-4735-BA58-47A0A48C758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335" id="{1CB11BAF-811B-485C-8CDE-8DF3631662C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I87</xm:sqref>
        </x14:conditionalFormatting>
        <x14:conditionalFormatting xmlns:xm="http://schemas.microsoft.com/office/excel/2006/main">
          <x14:cfRule type="iconSet" priority="338" id="{FAFBADAC-6A41-4CDA-BA97-9D56E61D1E8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A81 A38 A2</xm:sqref>
        </x14:conditionalFormatting>
        <x14:conditionalFormatting xmlns:xm="http://schemas.microsoft.com/office/excel/2006/main">
          <x14:cfRule type="iconSet" priority="325" id="{B6A19587-E34F-4A6F-813C-716DB7F5090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I81</xm:sqref>
        </x14:conditionalFormatting>
        <x14:conditionalFormatting xmlns:xm="http://schemas.microsoft.com/office/excel/2006/main">
          <x14:cfRule type="iconSet" priority="296" id="{38C23704-1449-4D35-A4DC-57BE882B64E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295" id="{A6F52627-12E9-47E7-9F9D-8E366BAE4FA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I6:I7</xm:sqref>
        </x14:conditionalFormatting>
        <x14:conditionalFormatting xmlns:xm="http://schemas.microsoft.com/office/excel/2006/main">
          <x14:cfRule type="iconSet" priority="294" id="{B25A7FE4-5639-4AEA-9A37-FA02E54604A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I10</xm:sqref>
        </x14:conditionalFormatting>
        <x14:conditionalFormatting xmlns:xm="http://schemas.microsoft.com/office/excel/2006/main">
          <x14:cfRule type="iconSet" priority="291" id="{31C153C0-5498-49B7-9700-4E3C16301AB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I13</xm:sqref>
        </x14:conditionalFormatting>
        <x14:conditionalFormatting xmlns:xm="http://schemas.microsoft.com/office/excel/2006/main">
          <x14:cfRule type="iconSet" priority="290" id="{896C6A7A-013E-463D-8D42-F924F9E083A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289" id="{FD2EADA9-EAB6-400C-B9CC-3FA6858A329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I18</xm:sqref>
        </x14:conditionalFormatting>
        <x14:conditionalFormatting xmlns:xm="http://schemas.microsoft.com/office/excel/2006/main">
          <x14:cfRule type="iconSet" priority="341" id="{D778C788-74E7-4A56-8090-EDA40DF4B00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I12 I3:I10</xm:sqref>
        </x14:conditionalFormatting>
        <x14:conditionalFormatting xmlns:xm="http://schemas.microsoft.com/office/excel/2006/main">
          <x14:cfRule type="iconSet" priority="158" id="{FCBD9C31-313F-476E-8DD7-A0DD19E94D0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I22:I26</xm:sqref>
        </x14:conditionalFormatting>
        <x14:conditionalFormatting xmlns:xm="http://schemas.microsoft.com/office/excel/2006/main">
          <x14:cfRule type="iconSet" priority="156" id="{70FE39CE-DB42-4A26-9127-82FE54783D4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I27</xm:sqref>
        </x14:conditionalFormatting>
        <x14:conditionalFormatting xmlns:xm="http://schemas.microsoft.com/office/excel/2006/main">
          <x14:cfRule type="iconSet" priority="154" id="{13A35F1D-7D47-4934-B03A-D84E1CAB32B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I11</xm:sqref>
        </x14:conditionalFormatting>
        <x14:conditionalFormatting xmlns:xm="http://schemas.microsoft.com/office/excel/2006/main">
          <x14:cfRule type="iconSet" priority="143" id="{5CB76D45-7F91-4F45-BE92-08EB426DC01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I28:I34</xm:sqref>
        </x14:conditionalFormatting>
        <x14:conditionalFormatting xmlns:xm="http://schemas.microsoft.com/office/excel/2006/main">
          <x14:cfRule type="iconSet" priority="1210" id="{769F121A-5BEE-439F-9909-D2926ADB16F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I3:I7</xm:sqref>
        </x14:conditionalFormatting>
        <x14:conditionalFormatting xmlns:xm="http://schemas.microsoft.com/office/excel/2006/main">
          <x14:cfRule type="iconSet" priority="1261" id="{9DA1129C-C709-459D-A996-1C93E15CF12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I94:I98 I88 I100:I109</xm:sqref>
        </x14:conditionalFormatting>
        <x14:conditionalFormatting xmlns:xm="http://schemas.microsoft.com/office/excel/2006/main">
          <x14:cfRule type="iconSet" priority="1316" id="{B2CBA595-5B20-482B-809E-4BDD8BFCDF0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I35</xm:sqref>
        </x14:conditionalFormatting>
        <x14:conditionalFormatting xmlns:xm="http://schemas.microsoft.com/office/excel/2006/main">
          <x14:cfRule type="iconSet" priority="1317" id="{CDAA8243-DFD0-4C46-A40C-8E7218EF482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I36</xm:sqref>
        </x14:conditionalFormatting>
        <x14:conditionalFormatting xmlns:xm="http://schemas.microsoft.com/office/excel/2006/main">
          <x14:cfRule type="iconSet" priority="1348" id="{6899C598-8BA9-43FD-BA4D-E16BF12ED90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I71:I76 I38 I41:I42 I45:I46 I49:I50 I53:I54 I57:I58 I61:I62 I65:I66 I68:I69</xm:sqref>
        </x14:conditionalFormatting>
        <x14:conditionalFormatting xmlns:xm="http://schemas.microsoft.com/office/excel/2006/main">
          <x14:cfRule type="iconSet" priority="1361" id="{6757DC79-A5BE-479E-8E9B-82DA28F5E1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I70 I40 I44 I48 I52 I56 I60 I64 I67</xm:sqref>
        </x14:conditionalFormatting>
        <x14:conditionalFormatting xmlns:xm="http://schemas.microsoft.com/office/excel/2006/main">
          <x14:cfRule type="iconSet" priority="31" id="{DCE7BE7D-233B-47B3-81C4-8CB2D9396C7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I37</xm:sqref>
        </x14:conditionalFormatting>
        <x14:conditionalFormatting xmlns:xm="http://schemas.microsoft.com/office/excel/2006/main">
          <x14:cfRule type="iconSet" priority="1555" id="{2B52C7FF-BAF6-42FA-B78D-95C9ACFEA46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I13:I21</xm:sqref>
        </x14:conditionalFormatting>
        <x14:conditionalFormatting xmlns:xm="http://schemas.microsoft.com/office/excel/2006/main">
          <x14:cfRule type="iconSet" priority="1558" id="{7CF26B88-44FA-4DE5-9B97-4F0B2183B51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I80</xm:sqref>
        </x14:conditionalFormatting>
        <x14:conditionalFormatting xmlns:xm="http://schemas.microsoft.com/office/excel/2006/main">
          <x14:cfRule type="iconSet" priority="18" id="{770B8A7B-DDFA-4916-A484-44ECCC3EDD2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I92:I93</xm:sqref>
        </x14:conditionalFormatting>
        <x14:conditionalFormatting xmlns:xm="http://schemas.microsoft.com/office/excel/2006/main">
          <x14:cfRule type="iconSet" priority="2" id="{5E9132E0-872A-48AC-A600-79FB2383155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I99</xm:sqref>
        </x14:conditionalFormatting>
        <x14:conditionalFormatting xmlns:xm="http://schemas.microsoft.com/office/excel/2006/main">
          <x14:cfRule type="iconSet" priority="1782" id="{FFF0020B-8952-499F-8AEE-80670E477C9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I39 I43 I47 I51 I55 I59 I63</xm:sqref>
        </x14:conditionalFormatting>
        <x14:conditionalFormatting xmlns:xm="http://schemas.microsoft.com/office/excel/2006/main">
          <x14:cfRule type="iconSet" priority="1848" id="{C4D3C0DB-2A16-4A3E-BC3E-B16794F4B35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I82:I87</xm:sqref>
        </x14:conditionalFormatting>
        <x14:conditionalFormatting xmlns:xm="http://schemas.microsoft.com/office/excel/2006/main">
          <x14:cfRule type="iconSet" priority="1889" id="{D18ECEA1-DBA2-4060-89B1-E9A5C0AED22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I89:I91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9770-80DE-47E0-AA81-9F1BBE7FE020}">
  <sheetPr>
    <tabColor rgb="FF002060"/>
    <pageSetUpPr autoPageBreaks="0" fitToPage="1"/>
  </sheetPr>
  <dimension ref="A1:M102"/>
  <sheetViews>
    <sheetView showGridLines="0" zoomScale="85" zoomScaleNormal="85" zoomScaleSheetLayoutView="85" zoomScalePageLayoutView="55" workbookViewId="0">
      <pane ySplit="1" topLeftCell="A74" activePane="bottomLeft" state="frozen"/>
      <selection activeCell="B91" sqref="B91:I94"/>
      <selection pane="bottomLeft" activeCell="B77" sqref="B77"/>
    </sheetView>
  </sheetViews>
  <sheetFormatPr baseColWidth="10" defaultColWidth="9.140625" defaultRowHeight="21" customHeight="1" x14ac:dyDescent="0.25"/>
  <cols>
    <col min="1" max="1" width="22.85546875" style="122" customWidth="1"/>
    <col min="2" max="2" width="30" style="105" customWidth="1"/>
    <col min="3" max="3" width="24.5703125" style="272" customWidth="1"/>
    <col min="4" max="4" width="24" style="123" customWidth="1"/>
    <col min="5" max="5" width="45.7109375" style="83" customWidth="1"/>
    <col min="6" max="6" width="20.42578125" style="120" customWidth="1"/>
    <col min="7" max="7" width="20.42578125" style="287" customWidth="1"/>
    <col min="8" max="8" width="21" style="83" customWidth="1"/>
    <col min="9" max="9" width="19.85546875" style="121" customWidth="1"/>
    <col min="10" max="11" width="9.140625" style="58"/>
    <col min="12" max="12" width="11.42578125" style="58" bestFit="1" customWidth="1"/>
    <col min="13" max="16384" width="9.140625" style="58"/>
  </cols>
  <sheetData>
    <row r="1" spans="1:13" s="163" customFormat="1" ht="24" customHeight="1" x14ac:dyDescent="0.25">
      <c r="A1" s="99" t="s">
        <v>101</v>
      </c>
      <c r="B1" s="99" t="s">
        <v>143</v>
      </c>
      <c r="C1" s="264" t="s">
        <v>142</v>
      </c>
      <c r="D1" s="99" t="s">
        <v>148</v>
      </c>
      <c r="E1" s="99" t="s">
        <v>141</v>
      </c>
      <c r="F1" s="99" t="s">
        <v>103</v>
      </c>
      <c r="G1" s="279" t="s">
        <v>487</v>
      </c>
      <c r="H1" s="99" t="s">
        <v>494</v>
      </c>
      <c r="I1" s="107" t="s">
        <v>105</v>
      </c>
    </row>
    <row r="2" spans="1:13" ht="18.600000000000001" customHeight="1" x14ac:dyDescent="0.3">
      <c r="A2" s="526" t="s">
        <v>720</v>
      </c>
      <c r="B2" s="129" t="s">
        <v>174</v>
      </c>
      <c r="C2" s="62" t="s">
        <v>571</v>
      </c>
      <c r="D2" s="139">
        <v>7951.31</v>
      </c>
      <c r="E2" s="96" t="s">
        <v>188</v>
      </c>
      <c r="F2" s="64">
        <v>44696</v>
      </c>
      <c r="G2" s="280">
        <v>7951.31</v>
      </c>
      <c r="H2" s="277">
        <f t="shared" ref="H2:H34" si="0">D2-G2</f>
        <v>0</v>
      </c>
      <c r="I2" s="109"/>
      <c r="K2" s="76"/>
    </row>
    <row r="3" spans="1:13" ht="18.600000000000001" customHeight="1" x14ac:dyDescent="0.3">
      <c r="A3" s="527"/>
      <c r="B3" s="129" t="s">
        <v>174</v>
      </c>
      <c r="C3" s="65" t="s">
        <v>604</v>
      </c>
      <c r="D3" s="303">
        <v>-735.71</v>
      </c>
      <c r="E3" s="89" t="s">
        <v>188</v>
      </c>
      <c r="F3" s="64">
        <v>44696</v>
      </c>
      <c r="G3" s="280">
        <v>-735.71</v>
      </c>
      <c r="H3" s="277">
        <f t="shared" si="0"/>
        <v>0</v>
      </c>
      <c r="I3" s="109"/>
      <c r="K3" s="502">
        <f>D100</f>
        <v>120037.74</v>
      </c>
      <c r="L3" s="502"/>
    </row>
    <row r="4" spans="1:13" ht="18.600000000000001" customHeight="1" x14ac:dyDescent="0.3">
      <c r="A4" s="527"/>
      <c r="B4" s="129" t="s">
        <v>374</v>
      </c>
      <c r="C4" s="65" t="s">
        <v>700</v>
      </c>
      <c r="D4" s="138">
        <v>729.6</v>
      </c>
      <c r="E4" s="149" t="s">
        <v>188</v>
      </c>
      <c r="F4" s="67">
        <v>44712</v>
      </c>
      <c r="G4" s="280">
        <v>729.6</v>
      </c>
      <c r="H4" s="277">
        <f t="shared" si="0"/>
        <v>0</v>
      </c>
      <c r="I4" s="288"/>
      <c r="K4" s="502">
        <f>D36</f>
        <v>67503.26999999999</v>
      </c>
      <c r="L4" s="502"/>
    </row>
    <row r="5" spans="1:13" ht="18.600000000000001" customHeight="1" x14ac:dyDescent="0.3">
      <c r="A5" s="527"/>
      <c r="B5" s="129" t="s">
        <v>357</v>
      </c>
      <c r="C5" s="65" t="s">
        <v>705</v>
      </c>
      <c r="D5" s="138">
        <v>5869.68</v>
      </c>
      <c r="E5" s="149" t="s">
        <v>419</v>
      </c>
      <c r="F5" s="67">
        <v>44712</v>
      </c>
      <c r="G5" s="280">
        <v>5869.68</v>
      </c>
      <c r="H5" s="277">
        <f t="shared" si="0"/>
        <v>0</v>
      </c>
      <c r="I5" s="288"/>
    </row>
    <row r="6" spans="1:13" ht="18.600000000000001" customHeight="1" x14ac:dyDescent="0.3">
      <c r="A6" s="527"/>
      <c r="B6" s="130" t="s">
        <v>357</v>
      </c>
      <c r="C6" s="65" t="s">
        <v>706</v>
      </c>
      <c r="D6" s="138">
        <v>32.99</v>
      </c>
      <c r="E6" s="89" t="s">
        <v>225</v>
      </c>
      <c r="F6" s="67">
        <v>44712</v>
      </c>
      <c r="G6" s="280">
        <v>32.99</v>
      </c>
      <c r="H6" s="277">
        <f t="shared" si="0"/>
        <v>0</v>
      </c>
      <c r="I6" s="288"/>
      <c r="K6" s="76" t="s">
        <v>495</v>
      </c>
    </row>
    <row r="7" spans="1:13" ht="18.600000000000001" customHeight="1" x14ac:dyDescent="0.3">
      <c r="A7" s="527"/>
      <c r="B7" s="130" t="s">
        <v>357</v>
      </c>
      <c r="C7" s="65" t="s">
        <v>706</v>
      </c>
      <c r="D7" s="138">
        <v>375.55</v>
      </c>
      <c r="E7" s="89"/>
      <c r="F7" s="67">
        <v>44712</v>
      </c>
      <c r="G7" s="280">
        <v>375.55</v>
      </c>
      <c r="H7" s="277">
        <f t="shared" si="0"/>
        <v>0</v>
      </c>
      <c r="I7" s="288"/>
      <c r="K7" s="502">
        <f>+D100</f>
        <v>120037.74</v>
      </c>
      <c r="L7" s="502"/>
    </row>
    <row r="8" spans="1:13" ht="18.600000000000001" customHeight="1" x14ac:dyDescent="0.3">
      <c r="A8" s="527"/>
      <c r="B8" s="148" t="s">
        <v>221</v>
      </c>
      <c r="C8" s="144" t="s">
        <v>610</v>
      </c>
      <c r="D8" s="145">
        <v>-673.2</v>
      </c>
      <c r="E8" s="146"/>
      <c r="F8" s="147">
        <v>44712</v>
      </c>
      <c r="G8" s="281"/>
      <c r="H8" s="277">
        <f t="shared" si="0"/>
        <v>-673.2</v>
      </c>
      <c r="I8" s="288"/>
    </row>
    <row r="9" spans="1:13" ht="18.600000000000001" customHeight="1" x14ac:dyDescent="0.3">
      <c r="A9" s="527"/>
      <c r="B9" s="130" t="s">
        <v>514</v>
      </c>
      <c r="C9" s="65" t="s">
        <v>707</v>
      </c>
      <c r="D9" s="138">
        <v>451.3</v>
      </c>
      <c r="E9" s="89"/>
      <c r="F9" s="67">
        <v>44712</v>
      </c>
      <c r="G9" s="281">
        <v>451.3</v>
      </c>
      <c r="H9" s="277">
        <f t="shared" si="0"/>
        <v>0</v>
      </c>
      <c r="I9" s="288"/>
      <c r="K9" s="76" t="s">
        <v>482</v>
      </c>
    </row>
    <row r="10" spans="1:13" ht="18.600000000000001" customHeight="1" x14ac:dyDescent="0.3">
      <c r="A10" s="527"/>
      <c r="B10" s="130" t="s">
        <v>231</v>
      </c>
      <c r="C10" s="65" t="s">
        <v>709</v>
      </c>
      <c r="D10" s="138">
        <v>822.05</v>
      </c>
      <c r="E10" s="89"/>
      <c r="F10" s="67">
        <v>44712</v>
      </c>
      <c r="G10" s="281">
        <v>822.05</v>
      </c>
      <c r="H10" s="277">
        <f t="shared" si="0"/>
        <v>0</v>
      </c>
      <c r="I10" s="288"/>
      <c r="K10" s="503">
        <f>K4+K3</f>
        <v>187541.01</v>
      </c>
      <c r="L10" s="503"/>
      <c r="M10" s="503"/>
    </row>
    <row r="11" spans="1:13" ht="18.600000000000001" customHeight="1" x14ac:dyDescent="0.3">
      <c r="A11" s="527"/>
      <c r="B11" s="130" t="s">
        <v>243</v>
      </c>
      <c r="C11" s="65" t="s">
        <v>714</v>
      </c>
      <c r="D11" s="140">
        <v>2911.96</v>
      </c>
      <c r="E11" s="127" t="s">
        <v>239</v>
      </c>
      <c r="F11" s="67">
        <v>44712</v>
      </c>
      <c r="G11" s="281">
        <v>2911.96</v>
      </c>
      <c r="H11" s="277">
        <f t="shared" si="0"/>
        <v>0</v>
      </c>
      <c r="I11" s="288"/>
    </row>
    <row r="12" spans="1:13" ht="18.600000000000001" customHeight="1" x14ac:dyDescent="0.3">
      <c r="A12" s="527"/>
      <c r="B12" s="130" t="s">
        <v>243</v>
      </c>
      <c r="C12" s="65" t="s">
        <v>715</v>
      </c>
      <c r="D12" s="138">
        <v>5699.74</v>
      </c>
      <c r="E12" s="89" t="s">
        <v>624</v>
      </c>
      <c r="F12" s="67">
        <v>44712</v>
      </c>
      <c r="G12" s="281">
        <v>5699.74</v>
      </c>
      <c r="H12" s="277">
        <f t="shared" si="0"/>
        <v>0</v>
      </c>
      <c r="I12" s="288"/>
    </row>
    <row r="13" spans="1:13" ht="18.600000000000001" customHeight="1" x14ac:dyDescent="0.3">
      <c r="A13" s="527"/>
      <c r="B13" s="130" t="s">
        <v>258</v>
      </c>
      <c r="C13" s="65" t="s">
        <v>716</v>
      </c>
      <c r="D13" s="138">
        <v>6695.69</v>
      </c>
      <c r="E13" s="89" t="s">
        <v>239</v>
      </c>
      <c r="F13" s="67">
        <v>44712</v>
      </c>
      <c r="G13" s="281">
        <v>6695.69</v>
      </c>
      <c r="H13" s="277">
        <f t="shared" si="0"/>
        <v>0</v>
      </c>
      <c r="I13" s="288"/>
    </row>
    <row r="14" spans="1:13" ht="18.600000000000001" customHeight="1" x14ac:dyDescent="0.3">
      <c r="A14" s="527"/>
      <c r="B14" s="130" t="s">
        <v>258</v>
      </c>
      <c r="C14" s="65" t="s">
        <v>717</v>
      </c>
      <c r="D14" s="138">
        <v>629.70000000000005</v>
      </c>
      <c r="E14" s="171"/>
      <c r="F14" s="67">
        <v>44712</v>
      </c>
      <c r="G14" s="281">
        <v>629.70000000000005</v>
      </c>
      <c r="H14" s="277">
        <f t="shared" si="0"/>
        <v>0</v>
      </c>
      <c r="I14" s="288"/>
    </row>
    <row r="15" spans="1:13" ht="18.600000000000001" customHeight="1" x14ac:dyDescent="0.3">
      <c r="A15" s="527"/>
      <c r="B15" s="130" t="s">
        <v>258</v>
      </c>
      <c r="C15" s="65" t="s">
        <v>718</v>
      </c>
      <c r="D15" s="138">
        <v>5610.32</v>
      </c>
      <c r="E15" s="89" t="s">
        <v>188</v>
      </c>
      <c r="F15" s="67">
        <v>44712</v>
      </c>
      <c r="G15" s="281">
        <v>5610.32</v>
      </c>
      <c r="H15" s="277">
        <f t="shared" si="0"/>
        <v>0</v>
      </c>
      <c r="I15" s="288"/>
    </row>
    <row r="16" spans="1:13" ht="18.600000000000001" customHeight="1" x14ac:dyDescent="0.3">
      <c r="A16" s="527"/>
      <c r="B16" s="130" t="s">
        <v>258</v>
      </c>
      <c r="C16" s="65" t="s">
        <v>719</v>
      </c>
      <c r="D16" s="138">
        <v>1430.53</v>
      </c>
      <c r="E16" s="171" t="s">
        <v>241</v>
      </c>
      <c r="F16" s="67">
        <v>44712</v>
      </c>
      <c r="G16" s="281">
        <v>1430.53</v>
      </c>
      <c r="H16" s="277">
        <f t="shared" si="0"/>
        <v>0</v>
      </c>
      <c r="I16" s="288"/>
    </row>
    <row r="17" spans="1:9" ht="18.600000000000001" customHeight="1" x14ac:dyDescent="0.3">
      <c r="A17" s="527"/>
      <c r="B17" s="130" t="s">
        <v>258</v>
      </c>
      <c r="C17" s="65"/>
      <c r="D17" s="138">
        <v>-646.79999999999995</v>
      </c>
      <c r="E17" s="171" t="s">
        <v>326</v>
      </c>
      <c r="F17" s="67">
        <v>44712</v>
      </c>
      <c r="G17" s="281">
        <v>-646.79999999999995</v>
      </c>
      <c r="H17" s="277">
        <f t="shared" si="0"/>
        <v>0</v>
      </c>
      <c r="I17" s="288"/>
    </row>
    <row r="18" spans="1:9" ht="18.600000000000001" customHeight="1" x14ac:dyDescent="0.25">
      <c r="A18" s="527"/>
      <c r="B18" s="289" t="s">
        <v>640</v>
      </c>
      <c r="C18" s="265" t="s">
        <v>729</v>
      </c>
      <c r="D18" s="110">
        <v>2034.65</v>
      </c>
      <c r="E18" s="89" t="s">
        <v>188</v>
      </c>
      <c r="F18" s="111">
        <v>44711</v>
      </c>
      <c r="G18" s="282">
        <v>2034.65</v>
      </c>
      <c r="H18" s="277">
        <f t="shared" si="0"/>
        <v>0</v>
      </c>
      <c r="I18" s="288"/>
    </row>
    <row r="19" spans="1:9" ht="18.600000000000001" customHeight="1" x14ac:dyDescent="0.25">
      <c r="A19" s="527"/>
      <c r="B19" s="289" t="s">
        <v>640</v>
      </c>
      <c r="C19" s="265" t="s">
        <v>730</v>
      </c>
      <c r="D19" s="110">
        <v>466.25</v>
      </c>
      <c r="E19" s="89" t="s">
        <v>188</v>
      </c>
      <c r="F19" s="111">
        <v>44711</v>
      </c>
      <c r="G19" s="282">
        <v>466.25</v>
      </c>
      <c r="H19" s="277">
        <f t="shared" si="0"/>
        <v>0</v>
      </c>
      <c r="I19" s="288"/>
    </row>
    <row r="20" spans="1:9" ht="18.600000000000001" customHeight="1" x14ac:dyDescent="0.25">
      <c r="A20" s="527"/>
      <c r="B20" s="289" t="s">
        <v>662</v>
      </c>
      <c r="C20" s="265" t="s">
        <v>731</v>
      </c>
      <c r="D20" s="110">
        <v>906.6</v>
      </c>
      <c r="E20" s="89"/>
      <c r="F20" s="111">
        <v>44712</v>
      </c>
      <c r="G20" s="282">
        <v>906.6</v>
      </c>
      <c r="H20" s="277">
        <f t="shared" si="0"/>
        <v>0</v>
      </c>
      <c r="I20" s="288"/>
    </row>
    <row r="21" spans="1:9" ht="18.600000000000001" customHeight="1" x14ac:dyDescent="0.25">
      <c r="A21" s="527"/>
      <c r="B21" s="289" t="s">
        <v>662</v>
      </c>
      <c r="C21" s="265" t="s">
        <v>732</v>
      </c>
      <c r="D21" s="110">
        <v>14185.92</v>
      </c>
      <c r="E21" s="89" t="s">
        <v>188</v>
      </c>
      <c r="F21" s="111">
        <v>44712</v>
      </c>
      <c r="G21" s="282">
        <v>14185.92</v>
      </c>
      <c r="H21" s="277">
        <f t="shared" si="0"/>
        <v>0</v>
      </c>
      <c r="I21" s="288"/>
    </row>
    <row r="22" spans="1:9" ht="18.600000000000001" customHeight="1" x14ac:dyDescent="0.25">
      <c r="A22" s="527"/>
      <c r="B22" s="289" t="s">
        <v>662</v>
      </c>
      <c r="C22" s="265" t="s">
        <v>733</v>
      </c>
      <c r="D22" s="110">
        <v>2524.92</v>
      </c>
      <c r="E22" s="89" t="s">
        <v>239</v>
      </c>
      <c r="F22" s="111">
        <v>44712</v>
      </c>
      <c r="G22" s="282">
        <v>2524.92</v>
      </c>
      <c r="H22" s="277">
        <f t="shared" si="0"/>
        <v>0</v>
      </c>
      <c r="I22" s="288"/>
    </row>
    <row r="23" spans="1:9" ht="18.600000000000001" customHeight="1" x14ac:dyDescent="0.25">
      <c r="A23" s="527"/>
      <c r="B23" s="289" t="s">
        <v>662</v>
      </c>
      <c r="C23" s="265" t="s">
        <v>734</v>
      </c>
      <c r="D23" s="114">
        <v>768.36</v>
      </c>
      <c r="E23" s="97"/>
      <c r="F23" s="115">
        <v>44712</v>
      </c>
      <c r="G23" s="283">
        <v>768.36</v>
      </c>
      <c r="H23" s="277">
        <f t="shared" si="0"/>
        <v>0</v>
      </c>
      <c r="I23" s="288"/>
    </row>
    <row r="24" spans="1:9" ht="18.600000000000001" customHeight="1" x14ac:dyDescent="0.25">
      <c r="A24" s="527"/>
      <c r="B24" s="289" t="s">
        <v>154</v>
      </c>
      <c r="C24" s="265" t="s">
        <v>735</v>
      </c>
      <c r="D24" s="114">
        <v>1286</v>
      </c>
      <c r="E24" s="97"/>
      <c r="F24" s="115">
        <v>44712</v>
      </c>
      <c r="G24" s="283">
        <v>1286</v>
      </c>
      <c r="H24" s="277">
        <f t="shared" si="0"/>
        <v>0</v>
      </c>
      <c r="I24" s="288"/>
    </row>
    <row r="25" spans="1:9" ht="18.600000000000001" customHeight="1" x14ac:dyDescent="0.25">
      <c r="A25" s="527"/>
      <c r="B25" s="289" t="s">
        <v>412</v>
      </c>
      <c r="C25" s="265" t="s">
        <v>736</v>
      </c>
      <c r="D25" s="114">
        <v>3128.16</v>
      </c>
      <c r="E25" s="97"/>
      <c r="F25" s="115">
        <v>44712</v>
      </c>
      <c r="G25" s="283">
        <v>3128.16</v>
      </c>
      <c r="H25" s="277">
        <f t="shared" si="0"/>
        <v>0</v>
      </c>
      <c r="I25" s="288"/>
    </row>
    <row r="26" spans="1:9" ht="18.600000000000001" customHeight="1" x14ac:dyDescent="0.25">
      <c r="A26" s="527"/>
      <c r="B26" s="289" t="s">
        <v>412</v>
      </c>
      <c r="C26" s="265" t="s">
        <v>737</v>
      </c>
      <c r="D26" s="114">
        <v>520.38</v>
      </c>
      <c r="E26" s="97" t="s">
        <v>419</v>
      </c>
      <c r="F26" s="115">
        <v>44712</v>
      </c>
      <c r="G26" s="283">
        <v>520.38</v>
      </c>
      <c r="H26" s="277">
        <f t="shared" si="0"/>
        <v>0</v>
      </c>
      <c r="I26" s="288"/>
    </row>
    <row r="27" spans="1:9" ht="18.600000000000001" customHeight="1" x14ac:dyDescent="0.25">
      <c r="A27" s="527"/>
      <c r="B27" s="289" t="s">
        <v>412</v>
      </c>
      <c r="C27" s="265" t="s">
        <v>738</v>
      </c>
      <c r="D27" s="114">
        <v>1532.78</v>
      </c>
      <c r="E27" s="97"/>
      <c r="F27" s="115">
        <v>44712</v>
      </c>
      <c r="G27" s="283">
        <v>1532.78</v>
      </c>
      <c r="H27" s="277">
        <f t="shared" si="0"/>
        <v>0</v>
      </c>
      <c r="I27" s="288"/>
    </row>
    <row r="28" spans="1:9" ht="18.600000000000001" customHeight="1" x14ac:dyDescent="0.25">
      <c r="A28" s="527"/>
      <c r="B28" s="289" t="s">
        <v>412</v>
      </c>
      <c r="C28" s="265" t="s">
        <v>739</v>
      </c>
      <c r="D28" s="114">
        <v>86</v>
      </c>
      <c r="E28" s="97"/>
      <c r="F28" s="115">
        <v>44712</v>
      </c>
      <c r="G28" s="283">
        <v>86</v>
      </c>
      <c r="H28" s="277">
        <f t="shared" si="0"/>
        <v>0</v>
      </c>
      <c r="I28" s="288"/>
    </row>
    <row r="29" spans="1:9" ht="18.600000000000001" customHeight="1" x14ac:dyDescent="0.25">
      <c r="A29" s="527"/>
      <c r="B29" s="289" t="s">
        <v>412</v>
      </c>
      <c r="C29" s="265" t="s">
        <v>740</v>
      </c>
      <c r="D29" s="114">
        <v>2359.56</v>
      </c>
      <c r="E29" s="97" t="s">
        <v>741</v>
      </c>
      <c r="F29" s="115">
        <v>44712</v>
      </c>
      <c r="G29" s="283">
        <v>2359.56</v>
      </c>
      <c r="H29" s="277">
        <f t="shared" si="0"/>
        <v>0</v>
      </c>
      <c r="I29" s="288"/>
    </row>
    <row r="30" spans="1:9" ht="18.600000000000001" customHeight="1" x14ac:dyDescent="0.25">
      <c r="A30" s="527"/>
      <c r="B30" s="289" t="s">
        <v>412</v>
      </c>
      <c r="C30" s="265" t="s">
        <v>326</v>
      </c>
      <c r="D30" s="114">
        <v>2385.73</v>
      </c>
      <c r="E30" s="97"/>
      <c r="F30" s="115">
        <v>44712</v>
      </c>
      <c r="G30" s="283">
        <v>2385.73</v>
      </c>
      <c r="H30" s="277">
        <f t="shared" si="0"/>
        <v>0</v>
      </c>
      <c r="I30" s="288"/>
    </row>
    <row r="31" spans="1:9" ht="18.600000000000001" customHeight="1" x14ac:dyDescent="0.25">
      <c r="A31" s="527"/>
      <c r="B31" s="289" t="s">
        <v>412</v>
      </c>
      <c r="C31" s="265" t="s">
        <v>635</v>
      </c>
      <c r="D31" s="365">
        <v>-1080.42</v>
      </c>
      <c r="E31" s="89"/>
      <c r="F31" s="111">
        <v>44681</v>
      </c>
      <c r="G31" s="283">
        <v>-1080.42</v>
      </c>
      <c r="H31" s="277">
        <f t="shared" si="0"/>
        <v>0</v>
      </c>
      <c r="I31" s="288"/>
    </row>
    <row r="32" spans="1:9" ht="18.600000000000001" customHeight="1" x14ac:dyDescent="0.25">
      <c r="A32" s="527"/>
      <c r="B32" s="289" t="s">
        <v>412</v>
      </c>
      <c r="C32" s="265" t="s">
        <v>688</v>
      </c>
      <c r="D32" s="365">
        <v>-1305.31</v>
      </c>
      <c r="E32" s="89" t="s">
        <v>689</v>
      </c>
      <c r="F32" s="111">
        <v>44681</v>
      </c>
      <c r="G32" s="283">
        <v>-1305.31</v>
      </c>
      <c r="H32" s="277">
        <f t="shared" si="0"/>
        <v>0</v>
      </c>
      <c r="I32" s="288"/>
    </row>
    <row r="33" spans="1:9" ht="18.600000000000001" customHeight="1" x14ac:dyDescent="0.25">
      <c r="A33" s="527"/>
      <c r="B33" s="289" t="s">
        <v>645</v>
      </c>
      <c r="C33" s="265" t="s">
        <v>749</v>
      </c>
      <c r="D33" s="114">
        <v>122.5</v>
      </c>
      <c r="E33" s="97" t="s">
        <v>193</v>
      </c>
      <c r="F33" s="115">
        <v>44711</v>
      </c>
      <c r="G33" s="283">
        <v>122.5</v>
      </c>
      <c r="H33" s="277">
        <f t="shared" si="0"/>
        <v>0</v>
      </c>
      <c r="I33" s="288"/>
    </row>
    <row r="34" spans="1:9" ht="18.600000000000001" customHeight="1" x14ac:dyDescent="0.25">
      <c r="A34" s="527"/>
      <c r="B34" s="289" t="s">
        <v>229</v>
      </c>
      <c r="C34" s="265" t="s">
        <v>750</v>
      </c>
      <c r="D34" s="114">
        <v>426.48</v>
      </c>
      <c r="E34" s="97" t="s">
        <v>631</v>
      </c>
      <c r="F34" s="115"/>
      <c r="G34" s="283">
        <v>426.48</v>
      </c>
      <c r="H34" s="277">
        <f t="shared" si="0"/>
        <v>0</v>
      </c>
      <c r="I34" s="288"/>
    </row>
    <row r="35" spans="1:9" ht="18.600000000000001" customHeight="1" x14ac:dyDescent="0.25">
      <c r="A35" s="527"/>
      <c r="B35" s="289"/>
      <c r="C35" s="265"/>
      <c r="D35" s="110"/>
      <c r="E35" s="89"/>
      <c r="F35" s="111"/>
      <c r="G35" s="282"/>
      <c r="H35" s="277"/>
      <c r="I35" s="288"/>
    </row>
    <row r="36" spans="1:9" ht="18.600000000000001" customHeight="1" thickBot="1" x14ac:dyDescent="0.3">
      <c r="A36" s="527"/>
      <c r="B36" s="374" t="s">
        <v>140</v>
      </c>
      <c r="C36" s="380"/>
      <c r="D36" s="375">
        <f>+SUM(D2:D35)</f>
        <v>67503.26999999999</v>
      </c>
      <c r="E36" s="376"/>
      <c r="F36" s="377"/>
      <c r="G36" s="378"/>
      <c r="H36" s="373">
        <f>+SUM(H2:H35)</f>
        <v>-673.2</v>
      </c>
      <c r="I36" s="379"/>
    </row>
    <row r="37" spans="1:9" ht="18.600000000000001" customHeight="1" thickTop="1" x14ac:dyDescent="0.25">
      <c r="A37" s="525" t="s">
        <v>123</v>
      </c>
      <c r="B37" s="289" t="s">
        <v>723</v>
      </c>
      <c r="C37" s="265"/>
      <c r="D37" s="114">
        <v>17.989999999999998</v>
      </c>
      <c r="E37" s="97" t="s">
        <v>724</v>
      </c>
      <c r="F37" s="115">
        <v>44683</v>
      </c>
      <c r="G37" s="283">
        <v>17.989999999999998</v>
      </c>
      <c r="H37" s="277">
        <f t="shared" ref="H37:H76" si="1">D37-G37</f>
        <v>0</v>
      </c>
      <c r="I37" s="288"/>
    </row>
    <row r="38" spans="1:9" ht="18.600000000000001" customHeight="1" x14ac:dyDescent="0.25">
      <c r="A38" s="525"/>
      <c r="B38" s="289" t="s">
        <v>587</v>
      </c>
      <c r="C38" s="265" t="s">
        <v>567</v>
      </c>
      <c r="D38" s="114">
        <v>891.47</v>
      </c>
      <c r="E38" s="97"/>
      <c r="F38" s="115">
        <v>44684</v>
      </c>
      <c r="G38" s="283">
        <v>891.47</v>
      </c>
      <c r="H38" s="277">
        <f t="shared" si="1"/>
        <v>0</v>
      </c>
      <c r="I38" s="288"/>
    </row>
    <row r="39" spans="1:9" ht="18.600000000000001" customHeight="1" x14ac:dyDescent="0.25">
      <c r="A39" s="525"/>
      <c r="B39" s="289" t="s">
        <v>277</v>
      </c>
      <c r="C39" s="265"/>
      <c r="D39" s="110">
        <v>5.31</v>
      </c>
      <c r="E39" s="89"/>
      <c r="F39" s="111">
        <v>44686</v>
      </c>
      <c r="G39" s="282">
        <v>5.31</v>
      </c>
      <c r="H39" s="277">
        <f t="shared" si="1"/>
        <v>0</v>
      </c>
      <c r="I39" s="288"/>
    </row>
    <row r="40" spans="1:9" ht="18.600000000000001" customHeight="1" x14ac:dyDescent="0.25">
      <c r="A40" s="525"/>
      <c r="B40" s="289" t="s">
        <v>307</v>
      </c>
      <c r="C40" s="265"/>
      <c r="D40" s="110">
        <v>3203.09</v>
      </c>
      <c r="E40" s="89" t="s">
        <v>395</v>
      </c>
      <c r="F40" s="111">
        <v>44686</v>
      </c>
      <c r="G40" s="282">
        <v>3203.09</v>
      </c>
      <c r="H40" s="277">
        <f t="shared" si="1"/>
        <v>0</v>
      </c>
      <c r="I40" s="288"/>
    </row>
    <row r="41" spans="1:9" ht="18.600000000000001" customHeight="1" x14ac:dyDescent="0.25">
      <c r="A41" s="525"/>
      <c r="B41" s="289" t="s">
        <v>196</v>
      </c>
      <c r="C41" s="265" t="s">
        <v>201</v>
      </c>
      <c r="D41" s="114">
        <v>127.11</v>
      </c>
      <c r="E41" s="97" t="s">
        <v>200</v>
      </c>
      <c r="F41" s="111">
        <v>44686</v>
      </c>
      <c r="G41" s="283">
        <v>127.11</v>
      </c>
      <c r="H41" s="277">
        <f t="shared" si="1"/>
        <v>0</v>
      </c>
      <c r="I41" s="288"/>
    </row>
    <row r="42" spans="1:9" ht="18.600000000000001" customHeight="1" x14ac:dyDescent="0.25">
      <c r="A42" s="525"/>
      <c r="B42" s="289" t="s">
        <v>196</v>
      </c>
      <c r="C42" s="265" t="s">
        <v>297</v>
      </c>
      <c r="D42" s="110">
        <v>100.82</v>
      </c>
      <c r="E42" s="89"/>
      <c r="F42" s="111">
        <v>44686</v>
      </c>
      <c r="G42" s="282">
        <v>100.82</v>
      </c>
      <c r="H42" s="277">
        <f t="shared" si="1"/>
        <v>0</v>
      </c>
      <c r="I42" s="288"/>
    </row>
    <row r="43" spans="1:9" ht="18.600000000000001" customHeight="1" x14ac:dyDescent="0.25">
      <c r="A43" s="525"/>
      <c r="B43" s="289" t="s">
        <v>196</v>
      </c>
      <c r="C43" s="265" t="s">
        <v>298</v>
      </c>
      <c r="D43" s="110">
        <v>104.12</v>
      </c>
      <c r="E43" s="89"/>
      <c r="F43" s="111">
        <v>44686</v>
      </c>
      <c r="G43" s="282">
        <v>104.12</v>
      </c>
      <c r="H43" s="277">
        <f t="shared" si="1"/>
        <v>0</v>
      </c>
      <c r="I43" s="288"/>
    </row>
    <row r="44" spans="1:9" ht="18.600000000000001" customHeight="1" x14ac:dyDescent="0.25">
      <c r="A44" s="525"/>
      <c r="B44" s="289" t="s">
        <v>196</v>
      </c>
      <c r="C44" s="265" t="s">
        <v>299</v>
      </c>
      <c r="D44" s="110">
        <v>71.319999999999993</v>
      </c>
      <c r="E44" s="89"/>
      <c r="F44" s="111">
        <v>44686</v>
      </c>
      <c r="G44" s="282">
        <v>71.319999999999993</v>
      </c>
      <c r="H44" s="277">
        <f t="shared" si="1"/>
        <v>0</v>
      </c>
      <c r="I44" s="288"/>
    </row>
    <row r="45" spans="1:9" ht="18.600000000000001" customHeight="1" x14ac:dyDescent="0.25">
      <c r="A45" s="525"/>
      <c r="B45" s="289" t="s">
        <v>196</v>
      </c>
      <c r="C45" s="265" t="s">
        <v>300</v>
      </c>
      <c r="D45" s="114">
        <v>89.4</v>
      </c>
      <c r="E45" s="97"/>
      <c r="F45" s="111">
        <v>44686</v>
      </c>
      <c r="G45" s="283">
        <v>89.4</v>
      </c>
      <c r="H45" s="277">
        <f t="shared" si="1"/>
        <v>0</v>
      </c>
      <c r="I45" s="288"/>
    </row>
    <row r="46" spans="1:9" ht="18.600000000000001" customHeight="1" x14ac:dyDescent="0.25">
      <c r="A46" s="525"/>
      <c r="B46" s="289" t="s">
        <v>196</v>
      </c>
      <c r="C46" s="265" t="s">
        <v>199</v>
      </c>
      <c r="D46" s="110">
        <v>99.97</v>
      </c>
      <c r="E46" s="89" t="s">
        <v>200</v>
      </c>
      <c r="F46" s="111">
        <v>44686</v>
      </c>
      <c r="G46" s="282">
        <v>99.97</v>
      </c>
      <c r="H46" s="277">
        <f t="shared" si="1"/>
        <v>0</v>
      </c>
      <c r="I46" s="288"/>
    </row>
    <row r="47" spans="1:9" ht="18.600000000000001" customHeight="1" x14ac:dyDescent="0.25">
      <c r="A47" s="525"/>
      <c r="B47" s="289" t="s">
        <v>533</v>
      </c>
      <c r="C47" s="265"/>
      <c r="D47" s="110">
        <v>53.88</v>
      </c>
      <c r="E47" s="89"/>
      <c r="F47" s="111">
        <v>44686</v>
      </c>
      <c r="G47" s="282">
        <v>53.88</v>
      </c>
      <c r="H47" s="277">
        <f t="shared" si="1"/>
        <v>0</v>
      </c>
      <c r="I47" s="288"/>
    </row>
    <row r="48" spans="1:9" ht="18.600000000000001" customHeight="1" x14ac:dyDescent="0.25">
      <c r="A48" s="525"/>
      <c r="B48" s="289" t="s">
        <v>282</v>
      </c>
      <c r="C48" s="265"/>
      <c r="D48" s="110">
        <v>50</v>
      </c>
      <c r="E48" s="89" t="s">
        <v>287</v>
      </c>
      <c r="F48" s="111">
        <v>44687</v>
      </c>
      <c r="G48" s="282">
        <v>50</v>
      </c>
      <c r="H48" s="277">
        <f t="shared" si="1"/>
        <v>0</v>
      </c>
      <c r="I48" s="288"/>
    </row>
    <row r="49" spans="1:9" ht="18.600000000000001" customHeight="1" x14ac:dyDescent="0.25">
      <c r="A49" s="525"/>
      <c r="B49" s="289" t="s">
        <v>288</v>
      </c>
      <c r="C49" s="265" t="s">
        <v>532</v>
      </c>
      <c r="D49" s="114">
        <f>15.95*2</f>
        <v>31.9</v>
      </c>
      <c r="E49" s="97" t="s">
        <v>677</v>
      </c>
      <c r="F49" s="115">
        <v>44691</v>
      </c>
      <c r="G49" s="283">
        <v>31.9</v>
      </c>
      <c r="H49" s="277">
        <f t="shared" si="1"/>
        <v>0</v>
      </c>
      <c r="I49" s="288"/>
    </row>
    <row r="50" spans="1:9" ht="18.600000000000001" customHeight="1" x14ac:dyDescent="0.25">
      <c r="A50" s="525"/>
      <c r="B50" s="289" t="s">
        <v>437</v>
      </c>
      <c r="C50" s="265" t="s">
        <v>438</v>
      </c>
      <c r="D50" s="110">
        <v>315.08</v>
      </c>
      <c r="E50" s="89" t="s">
        <v>239</v>
      </c>
      <c r="F50" s="111">
        <v>44691</v>
      </c>
      <c r="G50" s="282">
        <v>315.08</v>
      </c>
      <c r="H50" s="277">
        <f t="shared" si="1"/>
        <v>0</v>
      </c>
      <c r="I50" s="288"/>
    </row>
    <row r="51" spans="1:9" ht="18.600000000000001" customHeight="1" x14ac:dyDescent="0.25">
      <c r="A51" s="525"/>
      <c r="B51" s="289" t="s">
        <v>140</v>
      </c>
      <c r="C51" s="265" t="s">
        <v>607</v>
      </c>
      <c r="D51" s="110">
        <v>2377.7199999999998</v>
      </c>
      <c r="E51" s="89"/>
      <c r="F51" s="111">
        <v>44691</v>
      </c>
      <c r="G51" s="282">
        <v>2377.7199999999998</v>
      </c>
      <c r="H51" s="277">
        <f t="shared" si="1"/>
        <v>0</v>
      </c>
      <c r="I51" s="288"/>
    </row>
    <row r="52" spans="1:9" ht="18.600000000000001" customHeight="1" x14ac:dyDescent="0.25">
      <c r="A52" s="525"/>
      <c r="B52" s="289" t="s">
        <v>318</v>
      </c>
      <c r="C52" s="265" t="s">
        <v>685</v>
      </c>
      <c r="D52" s="110">
        <v>224.93</v>
      </c>
      <c r="E52" s="89" t="s">
        <v>725</v>
      </c>
      <c r="F52" s="111">
        <v>44691</v>
      </c>
      <c r="G52" s="282">
        <v>224.93</v>
      </c>
      <c r="H52" s="277">
        <f t="shared" si="1"/>
        <v>0</v>
      </c>
      <c r="I52" s="288"/>
    </row>
    <row r="53" spans="1:9" ht="18.600000000000001" customHeight="1" x14ac:dyDescent="0.25">
      <c r="A53" s="525"/>
      <c r="B53" s="289" t="s">
        <v>659</v>
      </c>
      <c r="C53" s="265" t="s">
        <v>742</v>
      </c>
      <c r="D53" s="114">
        <v>1393.52</v>
      </c>
      <c r="E53" s="97" t="s">
        <v>743</v>
      </c>
      <c r="F53" s="115">
        <v>44693</v>
      </c>
      <c r="G53" s="283">
        <v>1393.52</v>
      </c>
      <c r="H53" s="277">
        <f t="shared" si="1"/>
        <v>0</v>
      </c>
      <c r="I53" s="288"/>
    </row>
    <row r="54" spans="1:9" ht="18.600000000000001" customHeight="1" x14ac:dyDescent="0.25">
      <c r="A54" s="525"/>
      <c r="B54" s="289" t="s">
        <v>530</v>
      </c>
      <c r="C54" s="265"/>
      <c r="D54" s="110">
        <v>16.989999999999998</v>
      </c>
      <c r="E54" s="89" t="s">
        <v>531</v>
      </c>
      <c r="F54" s="111">
        <v>44692</v>
      </c>
      <c r="G54" s="282">
        <v>16.989999999999998</v>
      </c>
      <c r="H54" s="277">
        <f t="shared" si="1"/>
        <v>0</v>
      </c>
      <c r="I54" s="288"/>
    </row>
    <row r="55" spans="1:9" ht="18.600000000000001" customHeight="1" x14ac:dyDescent="0.25">
      <c r="A55" s="525"/>
      <c r="B55" s="388" t="s">
        <v>291</v>
      </c>
      <c r="C55" s="389"/>
      <c r="D55" s="390">
        <v>10494</v>
      </c>
      <c r="E55" s="391" t="s">
        <v>312</v>
      </c>
      <c r="F55" s="392">
        <v>44696</v>
      </c>
      <c r="G55" s="393">
        <v>10494</v>
      </c>
      <c r="H55" s="394">
        <f t="shared" si="1"/>
        <v>0</v>
      </c>
      <c r="I55" s="328"/>
    </row>
    <row r="56" spans="1:9" ht="18.600000000000001" customHeight="1" x14ac:dyDescent="0.25">
      <c r="A56" s="525"/>
      <c r="B56" s="289" t="s">
        <v>318</v>
      </c>
      <c r="C56" s="265" t="s">
        <v>710</v>
      </c>
      <c r="D56" s="110">
        <v>25.28</v>
      </c>
      <c r="E56" s="89" t="s">
        <v>711</v>
      </c>
      <c r="F56" s="111">
        <v>44697</v>
      </c>
      <c r="G56" s="282">
        <v>25.28</v>
      </c>
      <c r="H56" s="277">
        <f t="shared" si="1"/>
        <v>0</v>
      </c>
      <c r="I56" s="288"/>
    </row>
    <row r="57" spans="1:9" ht="18.600000000000001" customHeight="1" x14ac:dyDescent="0.25">
      <c r="A57" s="525"/>
      <c r="B57" s="289" t="s">
        <v>196</v>
      </c>
      <c r="C57" s="265" t="s">
        <v>197</v>
      </c>
      <c r="D57" s="110">
        <v>15.24</v>
      </c>
      <c r="E57" s="89" t="s">
        <v>198</v>
      </c>
      <c r="F57" s="108">
        <v>44700</v>
      </c>
      <c r="G57" s="280">
        <v>15.24</v>
      </c>
      <c r="H57" s="277">
        <f t="shared" si="1"/>
        <v>0</v>
      </c>
      <c r="I57" s="288"/>
    </row>
    <row r="58" spans="1:9" ht="18.600000000000001" customHeight="1" x14ac:dyDescent="0.25">
      <c r="A58" s="525"/>
      <c r="B58" s="289" t="s">
        <v>196</v>
      </c>
      <c r="C58" s="265" t="s">
        <v>313</v>
      </c>
      <c r="D58" s="110">
        <v>93.87</v>
      </c>
      <c r="E58" s="89"/>
      <c r="F58" s="111">
        <v>44700</v>
      </c>
      <c r="G58" s="282">
        <v>93.87</v>
      </c>
      <c r="H58" s="277">
        <f t="shared" si="1"/>
        <v>0</v>
      </c>
      <c r="I58" s="288"/>
    </row>
    <row r="59" spans="1:9" ht="18.600000000000001" customHeight="1" x14ac:dyDescent="0.25">
      <c r="A59" s="525"/>
      <c r="B59" s="289" t="s">
        <v>344</v>
      </c>
      <c r="C59" s="265" t="s">
        <v>572</v>
      </c>
      <c r="D59" s="114">
        <v>588</v>
      </c>
      <c r="E59" s="97" t="s">
        <v>687</v>
      </c>
      <c r="F59" s="115">
        <v>44701</v>
      </c>
      <c r="G59" s="283">
        <v>588</v>
      </c>
      <c r="H59" s="277">
        <f t="shared" si="1"/>
        <v>0</v>
      </c>
      <c r="I59" s="288"/>
    </row>
    <row r="60" spans="1:9" ht="18.600000000000001" customHeight="1" x14ac:dyDescent="0.25">
      <c r="A60" s="525"/>
      <c r="B60" s="289" t="s">
        <v>92</v>
      </c>
      <c r="C60" s="265" t="s">
        <v>643</v>
      </c>
      <c r="D60" s="365">
        <v>-117.6</v>
      </c>
      <c r="E60" s="368" t="s">
        <v>644</v>
      </c>
      <c r="F60" s="111">
        <v>44701</v>
      </c>
      <c r="G60" s="282">
        <v>-117.6</v>
      </c>
      <c r="H60" s="277">
        <f t="shared" si="1"/>
        <v>0</v>
      </c>
      <c r="I60" s="288"/>
    </row>
    <row r="61" spans="1:9" ht="18.600000000000001" customHeight="1" x14ac:dyDescent="0.25">
      <c r="A61" s="525"/>
      <c r="B61" s="289" t="s">
        <v>92</v>
      </c>
      <c r="C61" s="265" t="s">
        <v>678</v>
      </c>
      <c r="D61" s="110">
        <v>83</v>
      </c>
      <c r="E61" s="89" t="s">
        <v>726</v>
      </c>
      <c r="F61" s="111">
        <v>44701</v>
      </c>
      <c r="G61" s="282">
        <v>83</v>
      </c>
      <c r="H61" s="277">
        <f t="shared" si="1"/>
        <v>0</v>
      </c>
      <c r="I61" s="288"/>
    </row>
    <row r="62" spans="1:9" ht="18.600000000000001" customHeight="1" x14ac:dyDescent="0.25">
      <c r="A62" s="525"/>
      <c r="B62" s="388" t="s">
        <v>292</v>
      </c>
      <c r="C62" s="395" t="s">
        <v>293</v>
      </c>
      <c r="D62" s="390">
        <v>6112</v>
      </c>
      <c r="E62" s="391" t="s">
        <v>588</v>
      </c>
      <c r="F62" s="392">
        <v>44702</v>
      </c>
      <c r="G62" s="393">
        <v>6112</v>
      </c>
      <c r="H62" s="394">
        <f t="shared" si="1"/>
        <v>0</v>
      </c>
      <c r="I62" s="328"/>
    </row>
    <row r="63" spans="1:9" ht="18.600000000000001" customHeight="1" x14ac:dyDescent="0.25">
      <c r="A63" s="525"/>
      <c r="B63" s="322" t="s">
        <v>721</v>
      </c>
      <c r="C63" s="389"/>
      <c r="D63" s="396">
        <v>1659.59</v>
      </c>
      <c r="E63" s="397"/>
      <c r="F63" s="398">
        <v>44702</v>
      </c>
      <c r="G63" s="399">
        <v>1659.59</v>
      </c>
      <c r="H63" s="394">
        <f t="shared" si="1"/>
        <v>0</v>
      </c>
      <c r="I63" s="328"/>
    </row>
    <row r="64" spans="1:9" ht="18.600000000000001" customHeight="1" x14ac:dyDescent="0.25">
      <c r="A64" s="525"/>
      <c r="B64" s="289" t="s">
        <v>282</v>
      </c>
      <c r="C64" s="265"/>
      <c r="D64" s="110">
        <v>38</v>
      </c>
      <c r="E64" s="89"/>
      <c r="F64" s="111">
        <v>44702</v>
      </c>
      <c r="G64" s="282">
        <v>38</v>
      </c>
      <c r="H64" s="277">
        <f t="shared" si="1"/>
        <v>0</v>
      </c>
      <c r="I64" s="288"/>
    </row>
    <row r="65" spans="1:9" ht="18.600000000000001" customHeight="1" x14ac:dyDescent="0.25">
      <c r="A65" s="525"/>
      <c r="B65" s="289" t="s">
        <v>282</v>
      </c>
      <c r="C65" s="265"/>
      <c r="D65" s="110">
        <v>31</v>
      </c>
      <c r="E65" s="89"/>
      <c r="F65" s="111">
        <v>44702</v>
      </c>
      <c r="G65" s="282">
        <v>31</v>
      </c>
      <c r="H65" s="277">
        <f t="shared" si="1"/>
        <v>0</v>
      </c>
      <c r="I65" s="288"/>
    </row>
    <row r="66" spans="1:9" ht="18.600000000000001" customHeight="1" x14ac:dyDescent="0.25">
      <c r="A66" s="525"/>
      <c r="B66" s="289" t="s">
        <v>282</v>
      </c>
      <c r="C66" s="265"/>
      <c r="D66" s="114">
        <v>31</v>
      </c>
      <c r="E66" s="97"/>
      <c r="F66" s="115">
        <v>44702</v>
      </c>
      <c r="G66" s="283">
        <v>31</v>
      </c>
      <c r="H66" s="277">
        <f t="shared" si="1"/>
        <v>0</v>
      </c>
      <c r="I66" s="288"/>
    </row>
    <row r="67" spans="1:9" ht="18.600000000000001" customHeight="1" x14ac:dyDescent="0.25">
      <c r="A67" s="525"/>
      <c r="B67" s="289" t="s">
        <v>282</v>
      </c>
      <c r="C67" s="265" t="s">
        <v>328</v>
      </c>
      <c r="D67" s="110">
        <v>35.19</v>
      </c>
      <c r="E67" s="89" t="s">
        <v>327</v>
      </c>
      <c r="F67" s="111">
        <v>44702</v>
      </c>
      <c r="G67" s="282">
        <v>35.19</v>
      </c>
      <c r="H67" s="277">
        <f t="shared" si="1"/>
        <v>0</v>
      </c>
      <c r="I67" s="288"/>
    </row>
    <row r="68" spans="1:9" ht="18.600000000000001" customHeight="1" x14ac:dyDescent="0.25">
      <c r="A68" s="525"/>
      <c r="B68" s="322" t="s">
        <v>722</v>
      </c>
      <c r="C68" s="395"/>
      <c r="D68" s="390">
        <v>2054.4899999999998</v>
      </c>
      <c r="E68" s="391" t="s">
        <v>697</v>
      </c>
      <c r="F68" s="392">
        <v>44706</v>
      </c>
      <c r="G68" s="393">
        <v>2054.4899999999998</v>
      </c>
      <c r="H68" s="394">
        <f t="shared" si="1"/>
        <v>0</v>
      </c>
      <c r="I68" s="328"/>
    </row>
    <row r="69" spans="1:9" ht="18.600000000000001" customHeight="1" x14ac:dyDescent="0.25">
      <c r="A69" s="525"/>
      <c r="B69" s="289" t="s">
        <v>430</v>
      </c>
      <c r="C69" s="265" t="s">
        <v>431</v>
      </c>
      <c r="D69" s="114">
        <v>1260</v>
      </c>
      <c r="E69" s="97" t="s">
        <v>432</v>
      </c>
      <c r="F69" s="111">
        <v>44706</v>
      </c>
      <c r="G69" s="283">
        <v>1260</v>
      </c>
      <c r="H69" s="277">
        <f t="shared" si="1"/>
        <v>0</v>
      </c>
      <c r="I69" s="288"/>
    </row>
    <row r="70" spans="1:9" ht="18.600000000000001" customHeight="1" x14ac:dyDescent="0.25">
      <c r="A70" s="525"/>
      <c r="B70" s="291" t="s">
        <v>140</v>
      </c>
      <c r="C70" s="265" t="s">
        <v>566</v>
      </c>
      <c r="D70" s="371">
        <v>2029.45</v>
      </c>
      <c r="E70" s="97"/>
      <c r="F70" s="115">
        <v>44706</v>
      </c>
      <c r="G70" s="283">
        <v>2029.45</v>
      </c>
      <c r="H70" s="370">
        <f t="shared" si="1"/>
        <v>0</v>
      </c>
      <c r="I70" s="372"/>
    </row>
    <row r="71" spans="1:9" ht="18.600000000000001" customHeight="1" x14ac:dyDescent="0.25">
      <c r="A71" s="525"/>
      <c r="B71" s="291" t="s">
        <v>693</v>
      </c>
      <c r="C71" s="265" t="s">
        <v>694</v>
      </c>
      <c r="D71" s="371">
        <v>34.619999999999997</v>
      </c>
      <c r="E71" s="97" t="s">
        <v>698</v>
      </c>
      <c r="F71" s="115">
        <v>44706</v>
      </c>
      <c r="G71" s="283">
        <v>34.619999999999997</v>
      </c>
      <c r="H71" s="370">
        <f t="shared" si="1"/>
        <v>0</v>
      </c>
      <c r="I71" s="400"/>
    </row>
    <row r="72" spans="1:9" ht="18.600000000000001" customHeight="1" x14ac:dyDescent="0.25">
      <c r="A72" s="525"/>
      <c r="B72" s="289" t="s">
        <v>285</v>
      </c>
      <c r="C72" s="265" t="s">
        <v>286</v>
      </c>
      <c r="D72" s="110">
        <v>5283.09</v>
      </c>
      <c r="E72" s="89"/>
      <c r="F72" s="111">
        <v>44707</v>
      </c>
      <c r="G72" s="282">
        <v>5283.09</v>
      </c>
      <c r="H72" s="277">
        <f t="shared" si="1"/>
        <v>0</v>
      </c>
      <c r="I72" s="288"/>
    </row>
    <row r="73" spans="1:9" ht="18.600000000000001" customHeight="1" x14ac:dyDescent="0.25">
      <c r="A73" s="525"/>
      <c r="B73" s="291" t="s">
        <v>423</v>
      </c>
      <c r="C73" s="265"/>
      <c r="D73" s="371">
        <v>919.8</v>
      </c>
      <c r="E73" s="97" t="s">
        <v>701</v>
      </c>
      <c r="F73" s="115">
        <v>44712</v>
      </c>
      <c r="G73" s="283">
        <v>919.8</v>
      </c>
      <c r="H73" s="277">
        <f t="shared" si="1"/>
        <v>0</v>
      </c>
      <c r="I73" s="372"/>
    </row>
    <row r="74" spans="1:9" ht="18.600000000000001" customHeight="1" x14ac:dyDescent="0.25">
      <c r="A74" s="525"/>
      <c r="B74" s="291" t="s">
        <v>751</v>
      </c>
      <c r="C74" s="265" t="s">
        <v>752</v>
      </c>
      <c r="D74" s="401">
        <v>-186.77</v>
      </c>
      <c r="E74" s="97" t="s">
        <v>188</v>
      </c>
      <c r="F74" s="115">
        <v>44712</v>
      </c>
      <c r="G74" s="283">
        <v>-186.77</v>
      </c>
      <c r="H74" s="277">
        <f t="shared" si="1"/>
        <v>0</v>
      </c>
      <c r="I74" s="372"/>
    </row>
    <row r="75" spans="1:9" ht="18.600000000000001" customHeight="1" x14ac:dyDescent="0.25">
      <c r="A75" s="525"/>
      <c r="B75" s="291" t="s">
        <v>751</v>
      </c>
      <c r="C75" s="265" t="s">
        <v>753</v>
      </c>
      <c r="D75" s="371">
        <v>255.53</v>
      </c>
      <c r="E75" s="97" t="s">
        <v>188</v>
      </c>
      <c r="F75" s="115">
        <v>44712</v>
      </c>
      <c r="G75" s="283">
        <v>255.53</v>
      </c>
      <c r="H75" s="277">
        <f t="shared" si="1"/>
        <v>0</v>
      </c>
      <c r="I75" s="372"/>
    </row>
    <row r="76" spans="1:9" ht="18.600000000000001" customHeight="1" x14ac:dyDescent="0.25">
      <c r="A76" s="525"/>
      <c r="B76" s="291" t="s">
        <v>335</v>
      </c>
      <c r="C76" s="265" t="s">
        <v>768</v>
      </c>
      <c r="D76" s="371">
        <v>307.8</v>
      </c>
      <c r="E76" s="97" t="s">
        <v>769</v>
      </c>
      <c r="F76" s="115">
        <v>44706</v>
      </c>
      <c r="G76" s="283">
        <v>307.8</v>
      </c>
      <c r="H76" s="277">
        <f t="shared" si="1"/>
        <v>0</v>
      </c>
      <c r="I76" s="372"/>
    </row>
    <row r="77" spans="1:9" ht="18.600000000000001" customHeight="1" x14ac:dyDescent="0.25">
      <c r="A77" s="525"/>
      <c r="B77" s="291"/>
      <c r="C77" s="265"/>
      <c r="D77" s="371"/>
      <c r="E77" s="97"/>
      <c r="F77" s="115"/>
      <c r="G77" s="283"/>
      <c r="H77" s="370"/>
      <c r="I77" s="372"/>
    </row>
    <row r="78" spans="1:9" ht="18.600000000000001" customHeight="1" x14ac:dyDescent="0.25">
      <c r="A78" s="525"/>
      <c r="B78" s="291"/>
      <c r="C78" s="265"/>
      <c r="D78" s="371"/>
      <c r="E78" s="97"/>
      <c r="F78" s="115"/>
      <c r="G78" s="283"/>
      <c r="H78" s="370"/>
      <c r="I78" s="372"/>
    </row>
    <row r="79" spans="1:9" ht="18.600000000000001" customHeight="1" x14ac:dyDescent="0.25">
      <c r="A79" s="525"/>
      <c r="B79" s="291"/>
      <c r="C79" s="265"/>
      <c r="D79" s="371"/>
      <c r="E79" s="97"/>
      <c r="F79" s="115"/>
      <c r="G79" s="283"/>
      <c r="H79" s="370"/>
      <c r="I79" s="288"/>
    </row>
    <row r="80" spans="1:9" ht="18.600000000000001" customHeight="1" thickBot="1" x14ac:dyDescent="0.3">
      <c r="A80" s="525"/>
      <c r="B80" s="374" t="s">
        <v>140</v>
      </c>
      <c r="C80" s="380"/>
      <c r="D80" s="375">
        <f>SUM(D37:D70)</f>
        <v>33607.129999999997</v>
      </c>
      <c r="E80" s="376"/>
      <c r="F80" s="377"/>
      <c r="G80" s="378"/>
      <c r="H80" s="373">
        <f>+SUM(H37:H79)</f>
        <v>0</v>
      </c>
      <c r="I80" s="379"/>
    </row>
    <row r="81" spans="1:9" ht="18.600000000000001" customHeight="1" thickTop="1" x14ac:dyDescent="0.25">
      <c r="A81" s="522" t="s">
        <v>124</v>
      </c>
      <c r="B81" s="289" t="s">
        <v>536</v>
      </c>
      <c r="C81" s="265"/>
      <c r="D81" s="110">
        <v>1100</v>
      </c>
      <c r="E81" s="89" t="s">
        <v>537</v>
      </c>
      <c r="F81" s="111">
        <v>44657</v>
      </c>
      <c r="G81" s="282">
        <v>1100</v>
      </c>
      <c r="H81" s="277">
        <f t="shared" ref="H81:H99" si="2">D81-G81</f>
        <v>0</v>
      </c>
      <c r="I81" s="288"/>
    </row>
    <row r="82" spans="1:9" ht="18.600000000000001" customHeight="1" x14ac:dyDescent="0.25">
      <c r="A82" s="522"/>
      <c r="B82" s="289" t="s">
        <v>545</v>
      </c>
      <c r="C82" s="265"/>
      <c r="D82" s="110">
        <v>500</v>
      </c>
      <c r="E82" s="89" t="s">
        <v>394</v>
      </c>
      <c r="F82" s="111">
        <v>44657</v>
      </c>
      <c r="G82" s="282">
        <v>500</v>
      </c>
      <c r="H82" s="277">
        <f t="shared" si="2"/>
        <v>0</v>
      </c>
      <c r="I82" s="288"/>
    </row>
    <row r="83" spans="1:9" ht="18.600000000000001" customHeight="1" x14ac:dyDescent="0.25">
      <c r="A83" s="522"/>
      <c r="B83" s="289" t="s">
        <v>592</v>
      </c>
      <c r="C83" s="265" t="s">
        <v>593</v>
      </c>
      <c r="D83" s="110">
        <v>2100</v>
      </c>
      <c r="E83" s="89" t="s">
        <v>594</v>
      </c>
      <c r="F83" s="111">
        <v>44657</v>
      </c>
      <c r="G83" s="282">
        <v>2100</v>
      </c>
      <c r="H83" s="277">
        <f t="shared" si="2"/>
        <v>0</v>
      </c>
      <c r="I83" s="288"/>
    </row>
    <row r="84" spans="1:9" ht="18.600000000000001" customHeight="1" x14ac:dyDescent="0.25">
      <c r="A84" s="522"/>
      <c r="B84" s="289" t="s">
        <v>509</v>
      </c>
      <c r="C84" s="265"/>
      <c r="D84" s="110">
        <v>600</v>
      </c>
      <c r="E84" s="89" t="s">
        <v>508</v>
      </c>
      <c r="F84" s="111"/>
      <c r="G84" s="282">
        <v>600</v>
      </c>
      <c r="H84" s="277">
        <f t="shared" si="2"/>
        <v>0</v>
      </c>
      <c r="I84" s="288"/>
    </row>
    <row r="85" spans="1:9" ht="19.5" customHeight="1" x14ac:dyDescent="0.25">
      <c r="A85" s="522"/>
      <c r="B85" s="402" t="s">
        <v>202</v>
      </c>
      <c r="C85" s="403" t="s">
        <v>569</v>
      </c>
      <c r="D85" s="275">
        <v>5641.44</v>
      </c>
      <c r="E85" s="143" t="s">
        <v>553</v>
      </c>
      <c r="F85" s="469">
        <v>44712</v>
      </c>
      <c r="G85" s="470"/>
      <c r="H85" s="471">
        <f t="shared" si="2"/>
        <v>5641.44</v>
      </c>
      <c r="I85" s="472"/>
    </row>
    <row r="86" spans="1:9" ht="19.5" customHeight="1" x14ac:dyDescent="0.25">
      <c r="A86" s="522"/>
      <c r="B86" s="402" t="s">
        <v>202</v>
      </c>
      <c r="C86" s="403" t="s">
        <v>570</v>
      </c>
      <c r="D86" s="275">
        <v>44111</v>
      </c>
      <c r="E86" s="143" t="s">
        <v>757</v>
      </c>
      <c r="F86" s="469">
        <v>44712</v>
      </c>
      <c r="G86" s="470"/>
      <c r="H86" s="471">
        <f t="shared" si="2"/>
        <v>44111</v>
      </c>
      <c r="I86" s="472"/>
    </row>
    <row r="87" spans="1:9" ht="19.5" customHeight="1" x14ac:dyDescent="0.25">
      <c r="A87" s="522"/>
      <c r="B87" s="402" t="s">
        <v>202</v>
      </c>
      <c r="C87" s="403" t="s">
        <v>638</v>
      </c>
      <c r="D87" s="275">
        <v>3348.48</v>
      </c>
      <c r="E87" s="143" t="s">
        <v>553</v>
      </c>
      <c r="F87" s="469">
        <v>44712</v>
      </c>
      <c r="G87" s="470"/>
      <c r="H87" s="471">
        <f t="shared" si="2"/>
        <v>3348.48</v>
      </c>
      <c r="I87" s="472"/>
    </row>
    <row r="88" spans="1:9" ht="19.5" customHeight="1" x14ac:dyDescent="0.25">
      <c r="A88" s="522"/>
      <c r="B88" s="402" t="s">
        <v>202</v>
      </c>
      <c r="C88" s="403" t="s">
        <v>639</v>
      </c>
      <c r="D88" s="275">
        <v>25117.02</v>
      </c>
      <c r="E88" s="143" t="s">
        <v>704</v>
      </c>
      <c r="F88" s="469">
        <v>44712</v>
      </c>
      <c r="G88" s="470"/>
      <c r="H88" s="471">
        <f t="shared" si="2"/>
        <v>25117.02</v>
      </c>
      <c r="I88" s="472"/>
    </row>
    <row r="89" spans="1:9" ht="18.600000000000001" customHeight="1" x14ac:dyDescent="0.25">
      <c r="A89" s="522"/>
      <c r="B89" s="289" t="s">
        <v>159</v>
      </c>
      <c r="C89" s="265" t="s">
        <v>699</v>
      </c>
      <c r="D89" s="110">
        <v>3000</v>
      </c>
      <c r="E89" s="89" t="s">
        <v>553</v>
      </c>
      <c r="F89" s="111">
        <v>44712</v>
      </c>
      <c r="G89" s="282">
        <v>3000</v>
      </c>
      <c r="H89" s="277">
        <f t="shared" si="2"/>
        <v>0</v>
      </c>
      <c r="I89" s="288"/>
    </row>
    <row r="90" spans="1:9" ht="18.600000000000001" customHeight="1" x14ac:dyDescent="0.25">
      <c r="A90" s="522"/>
      <c r="B90" s="289" t="s">
        <v>702</v>
      </c>
      <c r="C90" s="265" t="s">
        <v>703</v>
      </c>
      <c r="D90" s="110">
        <v>675</v>
      </c>
      <c r="E90" s="89" t="s">
        <v>553</v>
      </c>
      <c r="F90" s="111">
        <v>44691</v>
      </c>
      <c r="G90" s="282">
        <v>675</v>
      </c>
      <c r="H90" s="277">
        <f t="shared" si="2"/>
        <v>0</v>
      </c>
      <c r="I90" s="288"/>
    </row>
    <row r="91" spans="1:9" ht="18.600000000000001" customHeight="1" x14ac:dyDescent="0.25">
      <c r="A91" s="522"/>
      <c r="B91" s="289" t="s">
        <v>455</v>
      </c>
      <c r="C91" s="265" t="s">
        <v>708</v>
      </c>
      <c r="D91" s="110">
        <v>808.2</v>
      </c>
      <c r="E91" s="89"/>
      <c r="F91" s="111">
        <v>44696</v>
      </c>
      <c r="G91" s="282"/>
      <c r="H91" s="277">
        <f t="shared" si="2"/>
        <v>808.2</v>
      </c>
      <c r="I91" s="288"/>
    </row>
    <row r="92" spans="1:9" ht="20.25" customHeight="1" x14ac:dyDescent="0.25">
      <c r="A92" s="522"/>
      <c r="B92" s="289" t="s">
        <v>267</v>
      </c>
      <c r="C92" s="265" t="s">
        <v>747</v>
      </c>
      <c r="D92" s="110">
        <v>1371.92</v>
      </c>
      <c r="E92" s="89" t="s">
        <v>727</v>
      </c>
      <c r="F92" s="111">
        <v>44711</v>
      </c>
      <c r="G92" s="468">
        <v>1371.92</v>
      </c>
      <c r="H92" s="277">
        <f t="shared" si="2"/>
        <v>0</v>
      </c>
      <c r="I92" s="288"/>
    </row>
    <row r="93" spans="1:9" ht="20.25" customHeight="1" x14ac:dyDescent="0.25">
      <c r="A93" s="522"/>
      <c r="B93" s="289" t="s">
        <v>577</v>
      </c>
      <c r="C93" s="265" t="s">
        <v>728</v>
      </c>
      <c r="D93" s="110">
        <v>2400</v>
      </c>
      <c r="E93" s="89" t="s">
        <v>271</v>
      </c>
      <c r="F93" s="111">
        <v>44711</v>
      </c>
      <c r="G93" s="282">
        <v>2400</v>
      </c>
      <c r="H93" s="277">
        <f t="shared" si="2"/>
        <v>0</v>
      </c>
      <c r="I93" s="288"/>
    </row>
    <row r="94" spans="1:9" ht="20.25" customHeight="1" x14ac:dyDescent="0.25">
      <c r="A94" s="522"/>
      <c r="B94" s="289" t="s">
        <v>744</v>
      </c>
      <c r="C94" s="269" t="s">
        <v>745</v>
      </c>
      <c r="D94" s="110">
        <v>577.79999999999995</v>
      </c>
      <c r="E94" s="89" t="s">
        <v>746</v>
      </c>
      <c r="F94" s="117">
        <v>44670</v>
      </c>
      <c r="G94" s="282">
        <v>577.79999999999995</v>
      </c>
      <c r="H94" s="277">
        <f t="shared" si="2"/>
        <v>0</v>
      </c>
      <c r="I94" s="112"/>
    </row>
    <row r="95" spans="1:9" ht="20.25" customHeight="1" x14ac:dyDescent="0.25">
      <c r="A95" s="522"/>
      <c r="B95" s="289" t="s">
        <v>371</v>
      </c>
      <c r="C95" s="269" t="s">
        <v>748</v>
      </c>
      <c r="D95" s="110">
        <v>28686.880000000001</v>
      </c>
      <c r="E95" s="89" t="s">
        <v>591</v>
      </c>
      <c r="F95" s="117">
        <v>44696</v>
      </c>
      <c r="G95" s="282">
        <v>28686.880000000001</v>
      </c>
      <c r="H95" s="277">
        <f t="shared" si="2"/>
        <v>0</v>
      </c>
      <c r="I95" s="112"/>
    </row>
    <row r="96" spans="1:9" ht="20.25" customHeight="1" x14ac:dyDescent="0.25">
      <c r="A96" s="522"/>
      <c r="B96" s="289"/>
      <c r="C96" s="265"/>
      <c r="D96" s="110"/>
      <c r="E96" s="89"/>
      <c r="F96" s="111"/>
      <c r="G96" s="282"/>
      <c r="H96" s="277">
        <f t="shared" si="2"/>
        <v>0</v>
      </c>
      <c r="I96" s="313"/>
    </row>
    <row r="97" spans="1:9" ht="20.25" customHeight="1" x14ac:dyDescent="0.25">
      <c r="A97" s="522"/>
      <c r="B97" s="103"/>
      <c r="C97" s="269"/>
      <c r="D97" s="110"/>
      <c r="E97" s="89"/>
      <c r="F97" s="117"/>
      <c r="G97" s="282"/>
      <c r="H97" s="277">
        <f t="shared" si="2"/>
        <v>0</v>
      </c>
      <c r="I97" s="112"/>
    </row>
    <row r="98" spans="1:9" ht="20.25" customHeight="1" x14ac:dyDescent="0.25">
      <c r="A98" s="522"/>
      <c r="B98" s="103"/>
      <c r="C98" s="269"/>
      <c r="D98" s="110"/>
      <c r="E98" s="101"/>
      <c r="F98" s="117"/>
      <c r="G98" s="282"/>
      <c r="H98" s="277">
        <f t="shared" si="2"/>
        <v>0</v>
      </c>
      <c r="I98" s="112"/>
    </row>
    <row r="99" spans="1:9" ht="20.25" customHeight="1" x14ac:dyDescent="0.25">
      <c r="A99" s="522"/>
      <c r="B99" s="103"/>
      <c r="C99" s="269"/>
      <c r="D99" s="110"/>
      <c r="E99" s="101"/>
      <c r="F99" s="117"/>
      <c r="G99" s="282"/>
      <c r="H99" s="277">
        <f t="shared" si="2"/>
        <v>0</v>
      </c>
      <c r="I99" s="112"/>
    </row>
    <row r="100" spans="1:9" ht="18.600000000000001" customHeight="1" x14ac:dyDescent="0.25">
      <c r="A100" s="522"/>
      <c r="B100" s="260" t="s">
        <v>140</v>
      </c>
      <c r="C100" s="268"/>
      <c r="D100" s="261">
        <f>SUM(D81:D99)</f>
        <v>120037.74</v>
      </c>
      <c r="E100" s="262"/>
      <c r="F100" s="263"/>
      <c r="G100" s="286"/>
      <c r="H100" s="300">
        <f>+SUM(H81:H96)</f>
        <v>79026.14</v>
      </c>
      <c r="I100" s="255"/>
    </row>
    <row r="101" spans="1:9" ht="21" customHeight="1" x14ac:dyDescent="0.25">
      <c r="A101" s="304"/>
      <c r="B101" s="305"/>
      <c r="C101" s="306"/>
      <c r="D101" s="307"/>
      <c r="E101" s="84"/>
    </row>
    <row r="102" spans="1:9" ht="21" customHeight="1" x14ac:dyDescent="0.25">
      <c r="A102" s="119" t="s">
        <v>126</v>
      </c>
      <c r="B102" s="104"/>
      <c r="C102" s="271"/>
      <c r="D102" s="274">
        <f>+SUM(D100+D80+D36)</f>
        <v>221148.13999999998</v>
      </c>
    </row>
  </sheetData>
  <sortState xmlns:xlrd2="http://schemas.microsoft.com/office/spreadsheetml/2017/richdata2" ref="B37:I75">
    <sortCondition ref="F37:F75"/>
  </sortState>
  <mergeCells count="7">
    <mergeCell ref="A81:A100"/>
    <mergeCell ref="A2:A36"/>
    <mergeCell ref="A37:A80"/>
    <mergeCell ref="K3:L3"/>
    <mergeCell ref="K4:L4"/>
    <mergeCell ref="K7:L7"/>
    <mergeCell ref="K10:M10"/>
  </mergeCells>
  <phoneticPr fontId="70" type="noConversion"/>
  <conditionalFormatting sqref="B50:G51 F94:G95 B64:G64 I56:I57 B70:I70 B67:G67 B80:G93 B56:G57 B59:G59 I59 G41 B41:E41 I41 F41:F46 B94:D95 I2:I4 G2:G12 B2:F17 B98:G100 I81:I100 H81:H99 H37:H69 B97:D97 F97:G97 G96 I6:I20 D22:G34 H2:H35 B21:C35 I22:I34">
    <cfRule type="expression" dxfId="718" priority="336">
      <formula>MOD(ROW(),2)=1</formula>
    </cfRule>
  </conditionalFormatting>
  <conditionalFormatting sqref="G2:G5">
    <cfRule type="timePeriod" dxfId="717" priority="331" timePeriod="yesterday">
      <formula>FLOOR(G2,1)=TODAY()-1</formula>
    </cfRule>
    <cfRule type="timePeriod" dxfId="716" priority="333" timePeriod="today">
      <formula>FLOOR(G2,1)=TODAY()</formula>
    </cfRule>
    <cfRule type="cellIs" dxfId="715" priority="334" operator="lessThan">
      <formula>_xludf.today()</formula>
    </cfRule>
  </conditionalFormatting>
  <conditionalFormatting sqref="F50:G51 F64:G64 F56:G57 F70:G70 F67:G67 F59:G59 G41 F41:F46 F2:F10 G2:G12 F80:G95 F97:G100 G96 F22:G34">
    <cfRule type="cellIs" dxfId="714" priority="326" operator="lessThan">
      <formula>TODAY()</formula>
    </cfRule>
    <cfRule type="timePeriod" dxfId="713" priority="327" timePeriod="last7Days">
      <formula>AND(TODAY()-FLOOR(F2,1)&lt;=6,FLOOR(F2,1)&lt;=TODAY())</formula>
    </cfRule>
    <cfRule type="timePeriod" dxfId="712" priority="328" timePeriod="yesterday">
      <formula>FLOOR(F2,1)=TODAY()-1</formula>
    </cfRule>
    <cfRule type="timePeriod" dxfId="711" priority="329" timePeriod="lastMonth">
      <formula>AND(MONTH(F2)=MONTH(EDATE(TODAY(),0-1)),YEAR(F2)=YEAR(EDATE(TODAY(),0-1)))</formula>
    </cfRule>
    <cfRule type="timePeriod" dxfId="710" priority="330" timePeriod="yesterday">
      <formula>FLOOR(F2,1)=TODAY()-1</formula>
    </cfRule>
    <cfRule type="timePeriod" dxfId="709" priority="332" timePeriod="today">
      <formula>FLOOR(F2,1)=TODAY()</formula>
    </cfRule>
  </conditionalFormatting>
  <conditionalFormatting sqref="G6">
    <cfRule type="timePeriod" dxfId="708" priority="321" timePeriod="yesterday">
      <formula>FLOOR(G6,1)=TODAY()-1</formula>
    </cfRule>
    <cfRule type="timePeriod" dxfId="707" priority="322" timePeriod="today">
      <formula>FLOOR(G6,1)=TODAY()</formula>
    </cfRule>
    <cfRule type="cellIs" dxfId="706" priority="323" operator="lessThan">
      <formula>_xludf.today()</formula>
    </cfRule>
  </conditionalFormatting>
  <conditionalFormatting sqref="G7">
    <cfRule type="timePeriod" dxfId="705" priority="318" timePeriod="yesterday">
      <formula>FLOOR(G7,1)=TODAY()-1</formula>
    </cfRule>
    <cfRule type="timePeriod" dxfId="704" priority="319" timePeriod="today">
      <formula>FLOOR(G7,1)=TODAY()</formula>
    </cfRule>
    <cfRule type="cellIs" dxfId="703" priority="320" operator="lessThan">
      <formula>_xludf.today()</formula>
    </cfRule>
  </conditionalFormatting>
  <conditionalFormatting sqref="G13:G17">
    <cfRule type="expression" dxfId="702" priority="317">
      <formula>MOD(ROW(),2)=1</formula>
    </cfRule>
  </conditionalFormatting>
  <conditionalFormatting sqref="G13:G17">
    <cfRule type="cellIs" dxfId="701" priority="311" operator="lessThan">
      <formula>TODAY()</formula>
    </cfRule>
    <cfRule type="timePeriod" dxfId="700" priority="312" timePeriod="last7Days">
      <formula>AND(TODAY()-FLOOR(G13,1)&lt;=6,FLOOR(G13,1)&lt;=TODAY())</formula>
    </cfRule>
    <cfRule type="timePeriod" dxfId="699" priority="313" timePeriod="yesterday">
      <formula>FLOOR(G13,1)=TODAY()-1</formula>
    </cfRule>
    <cfRule type="timePeriod" dxfId="698" priority="314" timePeriod="lastMonth">
      <formula>AND(MONTH(G13)=MONTH(EDATE(TODAY(),0-1)),YEAR(G13)=YEAR(EDATE(TODAY(),0-1)))</formula>
    </cfRule>
    <cfRule type="timePeriod" dxfId="697" priority="315" timePeriod="yesterday">
      <formula>FLOOR(G13,1)=TODAY()-1</formula>
    </cfRule>
    <cfRule type="timePeriod" dxfId="696" priority="316" timePeriod="today">
      <formula>FLOOR(G13,1)=TODAY()</formula>
    </cfRule>
  </conditionalFormatting>
  <conditionalFormatting sqref="B18:G20 D21:G21">
    <cfRule type="expression" dxfId="695" priority="310">
      <formula>MOD(ROW(),2)=1</formula>
    </cfRule>
  </conditionalFormatting>
  <conditionalFormatting sqref="F18:G21">
    <cfRule type="cellIs" dxfId="694" priority="304" operator="lessThan">
      <formula>TODAY()</formula>
    </cfRule>
    <cfRule type="timePeriod" dxfId="693" priority="305" timePeriod="last7Days">
      <formula>AND(TODAY()-FLOOR(F18,1)&lt;=6,FLOOR(F18,1)&lt;=TODAY())</formula>
    </cfRule>
    <cfRule type="timePeriod" dxfId="692" priority="306" timePeriod="yesterday">
      <formula>FLOOR(F18,1)=TODAY()-1</formula>
    </cfRule>
    <cfRule type="timePeriod" dxfId="691" priority="307" timePeriod="lastMonth">
      <formula>AND(MONTH(F18)=MONTH(EDATE(TODAY(),0-1)),YEAR(F18)=YEAR(EDATE(TODAY(),0-1)))</formula>
    </cfRule>
    <cfRule type="timePeriod" dxfId="690" priority="308" timePeriod="yesterday">
      <formula>FLOOR(F18,1)=TODAY()-1</formula>
    </cfRule>
    <cfRule type="timePeriod" dxfId="689" priority="309" timePeriod="today">
      <formula>FLOOR(F18,1)=TODAY()</formula>
    </cfRule>
  </conditionalFormatting>
  <conditionalFormatting sqref="I80">
    <cfRule type="expression" dxfId="688" priority="273">
      <formula>MOD(ROW(),2)=1</formula>
    </cfRule>
  </conditionalFormatting>
  <conditionalFormatting sqref="I80">
    <cfRule type="expression" dxfId="687" priority="272">
      <formula>MOD(ROW(),2)=1</formula>
    </cfRule>
  </conditionalFormatting>
  <conditionalFormatting sqref="H80">
    <cfRule type="expression" dxfId="686" priority="271">
      <formula>MOD(ROW(),2)=1</formula>
    </cfRule>
  </conditionalFormatting>
  <conditionalFormatting sqref="H100">
    <cfRule type="expression" dxfId="685" priority="270">
      <formula>MOD(ROW(),2)=1</formula>
    </cfRule>
  </conditionalFormatting>
  <conditionalFormatting sqref="I21">
    <cfRule type="expression" dxfId="684" priority="266">
      <formula>MOD(ROW(),2)=1</formula>
    </cfRule>
  </conditionalFormatting>
  <conditionalFormatting sqref="I5">
    <cfRule type="expression" dxfId="683" priority="264">
      <formula>MOD(ROW(),2)=1</formula>
    </cfRule>
  </conditionalFormatting>
  <conditionalFormatting sqref="D35:G35">
    <cfRule type="expression" dxfId="682" priority="254">
      <formula>MOD(ROW(),2)=1</formula>
    </cfRule>
  </conditionalFormatting>
  <conditionalFormatting sqref="F35:G35">
    <cfRule type="cellIs" dxfId="681" priority="248" operator="lessThan">
      <formula>TODAY()</formula>
    </cfRule>
    <cfRule type="timePeriod" dxfId="680" priority="249" timePeriod="last7Days">
      <formula>AND(TODAY()-FLOOR(F35,1)&lt;=6,FLOOR(F35,1)&lt;=TODAY())</formula>
    </cfRule>
    <cfRule type="timePeriod" dxfId="679" priority="250" timePeriod="yesterday">
      <formula>FLOOR(F35,1)=TODAY()-1</formula>
    </cfRule>
    <cfRule type="timePeriod" dxfId="678" priority="251" timePeriod="lastMonth">
      <formula>AND(MONTH(F35)=MONTH(EDATE(TODAY(),0-1)),YEAR(F35)=YEAR(EDATE(TODAY(),0-1)))</formula>
    </cfRule>
    <cfRule type="timePeriod" dxfId="677" priority="252" timePeriod="yesterday">
      <formula>FLOOR(F35,1)=TODAY()-1</formula>
    </cfRule>
    <cfRule type="timePeriod" dxfId="676" priority="253" timePeriod="today">
      <formula>FLOOR(F35,1)=TODAY()</formula>
    </cfRule>
  </conditionalFormatting>
  <conditionalFormatting sqref="I35">
    <cfRule type="expression" dxfId="675" priority="247">
      <formula>MOD(ROW(),2)=1</formula>
    </cfRule>
  </conditionalFormatting>
  <conditionalFormatting sqref="D37:G38 D44:E45 D48:G49 D52:G54 D62:G63 D65:G66 D68:G68 D69:E69 G69 G44:G45">
    <cfRule type="expression" dxfId="674" priority="243">
      <formula>MOD(ROW(),2)=1</formula>
    </cfRule>
  </conditionalFormatting>
  <conditionalFormatting sqref="F37:G38 G44:G45 F48:G49 F52:G54 F62:G63 F65:G66 F68:G68 G69">
    <cfRule type="cellIs" dxfId="673" priority="237" operator="lessThan">
      <formula>TODAY()</formula>
    </cfRule>
    <cfRule type="timePeriod" dxfId="672" priority="238" timePeriod="last7Days">
      <formula>AND(TODAY()-FLOOR(F37,1)&lt;=6,FLOOR(F37,1)&lt;=TODAY())</formula>
    </cfRule>
    <cfRule type="timePeriod" dxfId="671" priority="239" timePeriod="yesterday">
      <formula>FLOOR(F37,1)=TODAY()-1</formula>
    </cfRule>
    <cfRule type="timePeriod" dxfId="670" priority="240" timePeriod="lastMonth">
      <formula>AND(MONTH(F37)=MONTH(EDATE(TODAY(),0-1)),YEAR(F37)=YEAR(EDATE(TODAY(),0-1)))</formula>
    </cfRule>
    <cfRule type="timePeriod" dxfId="669" priority="241" timePeriod="yesterday">
      <formula>FLOOR(F37,1)=TODAY()-1</formula>
    </cfRule>
    <cfRule type="timePeriod" dxfId="668" priority="242" timePeriod="today">
      <formula>FLOOR(F37,1)=TODAY()</formula>
    </cfRule>
  </conditionalFormatting>
  <conditionalFormatting sqref="B39:G40 B42:E43 B47:G47 B55:G55 B60:G61 B37:C38 B44:C45 B48:C49 B52:C54 B62:C63 B65:C66 B68:C69 B46:E46 G46 G42:G43">
    <cfRule type="expression" dxfId="667" priority="236">
      <formula>MOD(ROW(),2)=1</formula>
    </cfRule>
  </conditionalFormatting>
  <conditionalFormatting sqref="F39:G40 G42:G43 F47:G47 F55:G55 F60:G61 G46">
    <cfRule type="cellIs" dxfId="666" priority="230" operator="lessThan">
      <formula>TODAY()</formula>
    </cfRule>
    <cfRule type="timePeriod" dxfId="665" priority="231" timePeriod="last7Days">
      <formula>AND(TODAY()-FLOOR(F39,1)&lt;=6,FLOOR(F39,1)&lt;=TODAY())</formula>
    </cfRule>
    <cfRule type="timePeriod" dxfId="664" priority="232" timePeriod="yesterday">
      <formula>FLOOR(F39,1)=TODAY()-1</formula>
    </cfRule>
    <cfRule type="timePeriod" dxfId="663" priority="233" timePeriod="lastMonth">
      <formula>AND(MONTH(F39)=MONTH(EDATE(TODAY(),0-1)),YEAR(F39)=YEAR(EDATE(TODAY(),0-1)))</formula>
    </cfRule>
    <cfRule type="timePeriod" dxfId="662" priority="234" timePeriod="yesterday">
      <formula>FLOOR(F39,1)=TODAY()-1</formula>
    </cfRule>
    <cfRule type="timePeriod" dxfId="661" priority="235" timePeriod="today">
      <formula>FLOOR(F39,1)=TODAY()</formula>
    </cfRule>
  </conditionalFormatting>
  <conditionalFormatting sqref="I39 I42 I46 I50 I55 I60">
    <cfRule type="expression" dxfId="660" priority="228">
      <formula>MOD(ROW(),2)=1</formula>
    </cfRule>
  </conditionalFormatting>
  <conditionalFormatting sqref="I40 I43 I47 I51 I61 I64 I67">
    <cfRule type="expression" dxfId="659" priority="227">
      <formula>MOD(ROW(),2)=1</formula>
    </cfRule>
  </conditionalFormatting>
  <conditionalFormatting sqref="I37:I38 I44:I45 I48:I49 I52:I54 I62:I63 I65:I66 I68:I69">
    <cfRule type="expression" dxfId="658" priority="226">
      <formula>MOD(ROW(),2)=1</formula>
    </cfRule>
  </conditionalFormatting>
  <conditionalFormatting sqref="E94:E95 E97">
    <cfRule type="expression" dxfId="657" priority="224">
      <formula>MOD(ROW(),2)=1</formula>
    </cfRule>
  </conditionalFormatting>
  <conditionalFormatting sqref="F69">
    <cfRule type="expression" dxfId="656" priority="213">
      <formula>MOD(ROW(),2)=1</formula>
    </cfRule>
  </conditionalFormatting>
  <conditionalFormatting sqref="F69">
    <cfRule type="cellIs" dxfId="655" priority="207" operator="lessThan">
      <formula>TODAY()</formula>
    </cfRule>
    <cfRule type="timePeriod" dxfId="654" priority="208" timePeriod="last7Days">
      <formula>AND(TODAY()-FLOOR(F69,1)&lt;=6,FLOOR(F69,1)&lt;=TODAY())</formula>
    </cfRule>
    <cfRule type="timePeriod" dxfId="653" priority="209" timePeriod="yesterday">
      <formula>FLOOR(F69,1)=TODAY()-1</formula>
    </cfRule>
    <cfRule type="timePeriod" dxfId="652" priority="210" timePeriod="lastMonth">
      <formula>AND(MONTH(F69)=MONTH(EDATE(TODAY(),0-1)),YEAR(F69)=YEAR(EDATE(TODAY(),0-1)))</formula>
    </cfRule>
    <cfRule type="timePeriod" dxfId="651" priority="211" timePeriod="yesterday">
      <formula>FLOOR(F69,1)=TODAY()-1</formula>
    </cfRule>
    <cfRule type="timePeriod" dxfId="650" priority="212" timePeriod="today">
      <formula>FLOOR(F69,1)=TODAY()</formula>
    </cfRule>
  </conditionalFormatting>
  <conditionalFormatting sqref="B36:G36">
    <cfRule type="expression" dxfId="649" priority="188">
      <formula>MOD(ROW(),2)=1</formula>
    </cfRule>
  </conditionalFormatting>
  <conditionalFormatting sqref="F36:G36">
    <cfRule type="cellIs" dxfId="648" priority="182" operator="lessThan">
      <formula>TODAY()</formula>
    </cfRule>
    <cfRule type="timePeriod" dxfId="647" priority="183" timePeriod="last7Days">
      <formula>AND(TODAY()-FLOOR(F36,1)&lt;=6,FLOOR(F36,1)&lt;=TODAY())</formula>
    </cfRule>
    <cfRule type="timePeriod" dxfId="646" priority="184" timePeriod="yesterday">
      <formula>FLOOR(F36,1)=TODAY()-1</formula>
    </cfRule>
    <cfRule type="timePeriod" dxfId="645" priority="185" timePeriod="lastMonth">
      <formula>AND(MONTH(F36)=MONTH(EDATE(TODAY(),0-1)),YEAR(F36)=YEAR(EDATE(TODAY(),0-1)))</formula>
    </cfRule>
    <cfRule type="timePeriod" dxfId="644" priority="186" timePeriod="yesterday">
      <formula>FLOOR(F36,1)=TODAY()-1</formula>
    </cfRule>
    <cfRule type="timePeriod" dxfId="643" priority="187" timePeriod="today">
      <formula>FLOOR(F36,1)=TODAY()</formula>
    </cfRule>
  </conditionalFormatting>
  <conditionalFormatting sqref="I36">
    <cfRule type="expression" dxfId="642" priority="180">
      <formula>MOD(ROW(),2)=1</formula>
    </cfRule>
  </conditionalFormatting>
  <conditionalFormatting sqref="I36">
    <cfRule type="expression" dxfId="641" priority="179">
      <formula>MOD(ROW(),2)=1</formula>
    </cfRule>
  </conditionalFormatting>
  <conditionalFormatting sqref="H36">
    <cfRule type="expression" dxfId="640" priority="178">
      <formula>MOD(ROW(),2)=1</formula>
    </cfRule>
  </conditionalFormatting>
  <conditionalFormatting sqref="F2:F3">
    <cfRule type="timePeriod" dxfId="639" priority="164" timePeriod="yesterday">
      <formula>FLOOR(F2,1)=TODAY()-1</formula>
    </cfRule>
    <cfRule type="timePeriod" dxfId="638" priority="166" timePeriod="today">
      <formula>FLOOR(F2,1)=TODAY()</formula>
    </cfRule>
    <cfRule type="cellIs" dxfId="637" priority="167" operator="lessThan">
      <formula>_xludf.today()</formula>
    </cfRule>
  </conditionalFormatting>
  <conditionalFormatting sqref="F11:F17">
    <cfRule type="cellIs" dxfId="636" priority="159" operator="lessThan">
      <formula>TODAY()</formula>
    </cfRule>
    <cfRule type="timePeriod" dxfId="635" priority="160" timePeriod="last7Days">
      <formula>AND(TODAY()-FLOOR(F11,1)&lt;=6,FLOOR(F11,1)&lt;=TODAY())</formula>
    </cfRule>
    <cfRule type="timePeriod" dxfId="634" priority="161" timePeriod="yesterday">
      <formula>FLOOR(F11,1)=TODAY()-1</formula>
    </cfRule>
    <cfRule type="timePeriod" dxfId="633" priority="162" timePeriod="lastMonth">
      <formula>AND(MONTH(F11)=MONTH(EDATE(TODAY(),0-1)),YEAR(F11)=YEAR(EDATE(TODAY(),0-1)))</formula>
    </cfRule>
    <cfRule type="timePeriod" dxfId="632" priority="163" timePeriod="yesterday">
      <formula>FLOOR(F11,1)=TODAY()-1</formula>
    </cfRule>
    <cfRule type="timePeriod" dxfId="631" priority="165" timePeriod="today">
      <formula>FLOOR(F11,1)=TODAY()</formula>
    </cfRule>
  </conditionalFormatting>
  <conditionalFormatting sqref="F31:F32">
    <cfRule type="expression" dxfId="630" priority="152">
      <formula>MOD(ROW(),2)=1</formula>
    </cfRule>
  </conditionalFormatting>
  <conditionalFormatting sqref="F31:F32">
    <cfRule type="cellIs" dxfId="629" priority="146" operator="lessThan">
      <formula>TODAY()</formula>
    </cfRule>
    <cfRule type="timePeriod" dxfId="628" priority="147" timePeriod="last7Days">
      <formula>AND(TODAY()-FLOOR(F31,1)&lt;=6,FLOOR(F31,1)&lt;=TODAY())</formula>
    </cfRule>
    <cfRule type="timePeriod" dxfId="627" priority="148" timePeriod="yesterday">
      <formula>FLOOR(F31,1)=TODAY()-1</formula>
    </cfRule>
    <cfRule type="timePeriod" dxfId="626" priority="149" timePeriod="lastMonth">
      <formula>AND(MONTH(F31)=MONTH(EDATE(TODAY(),0-1)),YEAR(F31)=YEAR(EDATE(TODAY(),0-1)))</formula>
    </cfRule>
    <cfRule type="timePeriod" dxfId="625" priority="150" timePeriod="yesterday">
      <formula>FLOOR(F31,1)=TODAY()-1</formula>
    </cfRule>
    <cfRule type="timePeriod" dxfId="624" priority="151" timePeriod="today">
      <formula>FLOOR(F31,1)=TODAY()</formula>
    </cfRule>
  </conditionalFormatting>
  <conditionalFormatting sqref="B31:F32">
    <cfRule type="expression" dxfId="623" priority="145">
      <formula>MOD(ROW(),2)=1</formula>
    </cfRule>
  </conditionalFormatting>
  <conditionalFormatting sqref="F31:F32">
    <cfRule type="cellIs" dxfId="622" priority="139" operator="lessThan">
      <formula>TODAY()</formula>
    </cfRule>
    <cfRule type="timePeriod" dxfId="621" priority="140" timePeriod="last7Days">
      <formula>AND(TODAY()-FLOOR(F31,1)&lt;=6,FLOOR(F31,1)&lt;=TODAY())</formula>
    </cfRule>
    <cfRule type="timePeriod" dxfId="620" priority="141" timePeriod="yesterday">
      <formula>FLOOR(F31,1)=TODAY()-1</formula>
    </cfRule>
    <cfRule type="timePeriod" dxfId="619" priority="142" timePeriod="lastMonth">
      <formula>AND(MONTH(F31)=MONTH(EDATE(TODAY(),0-1)),YEAR(F31)=YEAR(EDATE(TODAY(),0-1)))</formula>
    </cfRule>
    <cfRule type="timePeriod" dxfId="618" priority="143" timePeriod="yesterday">
      <formula>FLOOR(F31,1)=TODAY()-1</formula>
    </cfRule>
    <cfRule type="timePeriod" dxfId="617" priority="144" timePeriod="today">
      <formula>FLOOR(F31,1)=TODAY()</formula>
    </cfRule>
  </conditionalFormatting>
  <conditionalFormatting sqref="B31:B32">
    <cfRule type="expression" dxfId="616" priority="138">
      <formula>MOD(ROW(),2)=1</formula>
    </cfRule>
  </conditionalFormatting>
  <conditionalFormatting sqref="H79 B71:I71 B75:G78 I75:I78">
    <cfRule type="expression" dxfId="615" priority="101">
      <formula>MOD(ROW(),2)=1</formula>
    </cfRule>
  </conditionalFormatting>
  <conditionalFormatting sqref="F71:G71 F75:G78">
    <cfRule type="cellIs" dxfId="614" priority="95" operator="lessThan">
      <formula>TODAY()</formula>
    </cfRule>
    <cfRule type="timePeriod" dxfId="613" priority="96" timePeriod="last7Days">
      <formula>AND(TODAY()-FLOOR(F71,1)&lt;=6,FLOOR(F71,1)&lt;=TODAY())</formula>
    </cfRule>
    <cfRule type="timePeriod" dxfId="612" priority="97" timePeriod="yesterday">
      <formula>FLOOR(F71,1)=TODAY()-1</formula>
    </cfRule>
    <cfRule type="timePeriod" dxfId="611" priority="98" timePeriod="lastMonth">
      <formula>AND(MONTH(F71)=MONTH(EDATE(TODAY(),0-1)),YEAR(F71)=YEAR(EDATE(TODAY(),0-1)))</formula>
    </cfRule>
    <cfRule type="timePeriod" dxfId="610" priority="99" timePeriod="yesterday">
      <formula>FLOOR(F71,1)=TODAY()-1</formula>
    </cfRule>
    <cfRule type="timePeriod" dxfId="609" priority="100" timePeriod="today">
      <formula>FLOOR(F71,1)=TODAY()</formula>
    </cfRule>
  </conditionalFormatting>
  <conditionalFormatting sqref="B79:G79">
    <cfRule type="expression" dxfId="608" priority="94">
      <formula>MOD(ROW(),2)=1</formula>
    </cfRule>
  </conditionalFormatting>
  <conditionalFormatting sqref="F79:G79">
    <cfRule type="cellIs" dxfId="607" priority="88" operator="lessThan">
      <formula>TODAY()</formula>
    </cfRule>
    <cfRule type="timePeriod" dxfId="606" priority="89" timePeriod="last7Days">
      <formula>AND(TODAY()-FLOOR(F79,1)&lt;=6,FLOOR(F79,1)&lt;=TODAY())</formula>
    </cfRule>
    <cfRule type="timePeriod" dxfId="605" priority="90" timePeriod="yesterday">
      <formula>FLOOR(F79,1)=TODAY()-1</formula>
    </cfRule>
    <cfRule type="timePeriod" dxfId="604" priority="91" timePeriod="lastMonth">
      <formula>AND(MONTH(F79)=MONTH(EDATE(TODAY(),0-1)),YEAR(F79)=YEAR(EDATE(TODAY(),0-1)))</formula>
    </cfRule>
    <cfRule type="timePeriod" dxfId="603" priority="92" timePeriod="yesterday">
      <formula>FLOOR(F79,1)=TODAY()-1</formula>
    </cfRule>
    <cfRule type="timePeriod" dxfId="602" priority="93" timePeriod="today">
      <formula>FLOOR(F79,1)=TODAY()</formula>
    </cfRule>
  </conditionalFormatting>
  <conditionalFormatting sqref="I79">
    <cfRule type="expression" dxfId="601" priority="86">
      <formula>MOD(ROW(),2)=1</formula>
    </cfRule>
  </conditionalFormatting>
  <conditionalFormatting sqref="B57:G57 I57">
    <cfRule type="expression" dxfId="600" priority="62">
      <formula>MOD(ROW(),2)=1</formula>
    </cfRule>
  </conditionalFormatting>
  <conditionalFormatting sqref="F57:G57">
    <cfRule type="cellIs" dxfId="599" priority="56" operator="lessThan">
      <formula>TODAY()</formula>
    </cfRule>
    <cfRule type="timePeriod" dxfId="598" priority="57" timePeriod="last7Days">
      <formula>AND(TODAY()-FLOOR(F57,1)&lt;=6,FLOOR(F57,1)&lt;=TODAY())</formula>
    </cfRule>
    <cfRule type="timePeriod" dxfId="597" priority="58" timePeriod="yesterday">
      <formula>FLOOR(F57,1)=TODAY()-1</formula>
    </cfRule>
    <cfRule type="timePeriod" dxfId="596" priority="59" timePeriod="lastMonth">
      <formula>AND(MONTH(F57)=MONTH(EDATE(TODAY(),0-1)),YEAR(F57)=YEAR(EDATE(TODAY(),0-1)))</formula>
    </cfRule>
    <cfRule type="timePeriod" dxfId="595" priority="60" timePeriod="yesterday">
      <formula>FLOOR(F57,1)=TODAY()-1</formula>
    </cfRule>
    <cfRule type="timePeriod" dxfId="594" priority="61" timePeriod="today">
      <formula>FLOOR(F57,1)=TODAY()</formula>
    </cfRule>
  </conditionalFormatting>
  <conditionalFormatting sqref="F57:G57">
    <cfRule type="timePeriod" dxfId="593" priority="53" timePeriod="yesterday">
      <formula>FLOOR(F57,1)=TODAY()-1</formula>
    </cfRule>
    <cfRule type="timePeriod" dxfId="592" priority="54" timePeriod="today">
      <formula>FLOOR(F57,1)=TODAY()</formula>
    </cfRule>
    <cfRule type="cellIs" dxfId="591" priority="55" operator="lessThan">
      <formula>_xludf.today()</formula>
    </cfRule>
  </conditionalFormatting>
  <conditionalFormatting sqref="B58:G58 I58">
    <cfRule type="expression" dxfId="590" priority="25">
      <formula>MOD(ROW(),2)=1</formula>
    </cfRule>
  </conditionalFormatting>
  <conditionalFormatting sqref="F58:G58">
    <cfRule type="cellIs" dxfId="589" priority="19" operator="lessThan">
      <formula>TODAY()</formula>
    </cfRule>
    <cfRule type="timePeriod" dxfId="588" priority="20" timePeriod="last7Days">
      <formula>AND(TODAY()-FLOOR(F58,1)&lt;=6,FLOOR(F58,1)&lt;=TODAY())</formula>
    </cfRule>
    <cfRule type="timePeriod" dxfId="587" priority="21" timePeriod="yesterday">
      <formula>FLOOR(F58,1)=TODAY()-1</formula>
    </cfRule>
    <cfRule type="timePeriod" dxfId="586" priority="22" timePeriod="lastMonth">
      <formula>AND(MONTH(F58)=MONTH(EDATE(TODAY(),0-1)),YEAR(F58)=YEAR(EDATE(TODAY(),0-1)))</formula>
    </cfRule>
    <cfRule type="timePeriod" dxfId="585" priority="23" timePeriod="yesterday">
      <formula>FLOOR(F58,1)=TODAY()-1</formula>
    </cfRule>
    <cfRule type="timePeriod" dxfId="584" priority="24" timePeriod="today">
      <formula>FLOOR(F58,1)=TODAY()</formula>
    </cfRule>
  </conditionalFormatting>
  <conditionalFormatting sqref="H72:H78">
    <cfRule type="expression" dxfId="583" priority="18">
      <formula>MOD(ROW(),2)=1</formula>
    </cfRule>
  </conditionalFormatting>
  <conditionalFormatting sqref="B72:C74">
    <cfRule type="expression" dxfId="582" priority="17">
      <formula>MOD(ROW(),2)=1</formula>
    </cfRule>
  </conditionalFormatting>
  <conditionalFormatting sqref="D72:G74">
    <cfRule type="expression" dxfId="581" priority="16">
      <formula>MOD(ROW(),2)=1</formula>
    </cfRule>
  </conditionalFormatting>
  <conditionalFormatting sqref="F72:G74">
    <cfRule type="cellIs" dxfId="580" priority="10" operator="lessThan">
      <formula>TODAY()</formula>
    </cfRule>
    <cfRule type="timePeriod" dxfId="579" priority="11" timePeriod="last7Days">
      <formula>AND(TODAY()-FLOOR(F72,1)&lt;=6,FLOOR(F72,1)&lt;=TODAY())</formula>
    </cfRule>
    <cfRule type="timePeriod" dxfId="578" priority="12" timePeriod="yesterday">
      <formula>FLOOR(F72,1)=TODAY()-1</formula>
    </cfRule>
    <cfRule type="timePeriod" dxfId="577" priority="13" timePeriod="lastMonth">
      <formula>AND(MONTH(F72)=MONTH(EDATE(TODAY(),0-1)),YEAR(F72)=YEAR(EDATE(TODAY(),0-1)))</formula>
    </cfRule>
    <cfRule type="timePeriod" dxfId="576" priority="14" timePeriod="yesterday">
      <formula>FLOOR(F72,1)=TODAY()-1</formula>
    </cfRule>
    <cfRule type="timePeriod" dxfId="575" priority="15" timePeriod="today">
      <formula>FLOOR(F72,1)=TODAY()</formula>
    </cfRule>
  </conditionalFormatting>
  <conditionalFormatting sqref="I72:I74">
    <cfRule type="expression" dxfId="574" priority="8">
      <formula>MOD(ROW(),2)=1</formula>
    </cfRule>
  </conditionalFormatting>
  <conditionalFormatting sqref="B96:F96">
    <cfRule type="expression" dxfId="573" priority="7">
      <formula>MOD(ROW(),2)=1</formula>
    </cfRule>
  </conditionalFormatting>
  <conditionalFormatting sqref="F96">
    <cfRule type="cellIs" dxfId="572" priority="1" operator="lessThan">
      <formula>TODAY()</formula>
    </cfRule>
    <cfRule type="timePeriod" dxfId="571" priority="2" timePeriod="last7Days">
      <formula>AND(TODAY()-FLOOR(F96,1)&lt;=6,FLOOR(F96,1)&lt;=TODAY())</formula>
    </cfRule>
    <cfRule type="timePeriod" dxfId="570" priority="3" timePeriod="yesterday">
      <formula>FLOOR(F96,1)=TODAY()-1</formula>
    </cfRule>
    <cfRule type="timePeriod" dxfId="569" priority="4" timePeriod="lastMonth">
      <formula>AND(MONTH(F96)=MONTH(EDATE(TODAY(),0-1)),YEAR(F96)=YEAR(EDATE(TODAY(),0-1)))</formula>
    </cfRule>
    <cfRule type="timePeriod" dxfId="568" priority="5" timePeriod="yesterday">
      <formula>FLOOR(F96,1)=TODAY()-1</formula>
    </cfRule>
    <cfRule type="timePeriod" dxfId="567" priority="6" timePeriod="today">
      <formula>FLOOR(F96,1)=TODAY()</formula>
    </cfRule>
  </conditionalFormatting>
  <printOptions horizontalCentered="1"/>
  <pageMargins left="0.25" right="0.25" top="0.75" bottom="0.75" header="0.3" footer="0.3"/>
  <pageSetup paperSize="9" scale="41" fitToHeight="0" orientation="portrait" r:id="rId1"/>
  <headerFooter>
    <oddHeader>&amp;C&amp;"+,Bold"&amp;12&amp;K04-047Bill Paying&amp;"+,Regular" - CHECKLIST</oddHeader>
    <oddFooter>&amp;C&amp;K04+000Page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37" id="{06924A31-8F5C-458C-BDA4-675660D4300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301" id="{D5AF131B-2BED-432C-996F-1DF82E37036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</xm:sqref>
        </x14:conditionalFormatting>
        <x14:conditionalFormatting xmlns:xm="http://schemas.microsoft.com/office/excel/2006/main">
          <x14:cfRule type="iconSet" priority="298" id="{A3DCE630-539B-4869-99B0-09CBDC06EF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</xm:sqref>
        </x14:conditionalFormatting>
        <x14:conditionalFormatting xmlns:xm="http://schemas.microsoft.com/office/excel/2006/main">
          <x14:cfRule type="iconSet" priority="297" id="{CEF2F4F1-1C13-4C0B-BEA6-FC15712048E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</xm:sqref>
        </x14:conditionalFormatting>
        <x14:conditionalFormatting xmlns:xm="http://schemas.microsoft.com/office/excel/2006/main">
          <x14:cfRule type="iconSet" priority="296" id="{4D180524-D859-41BF-8C7D-A02321617CE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I12</xm:sqref>
        </x14:conditionalFormatting>
        <x14:conditionalFormatting xmlns:xm="http://schemas.microsoft.com/office/excel/2006/main">
          <x14:cfRule type="iconSet" priority="339" id="{076C0AFB-2391-4CD5-8E0A-0CCC6ABCD8A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I6:I7 I2:I4</xm:sqref>
        </x14:conditionalFormatting>
        <x14:conditionalFormatting xmlns:xm="http://schemas.microsoft.com/office/excel/2006/main">
          <x14:cfRule type="iconSet" priority="267" id="{F997CB31-FD06-48DE-9CC5-2A012AB001A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I21</xm:sqref>
        </x14:conditionalFormatting>
        <x14:conditionalFormatting xmlns:xm="http://schemas.microsoft.com/office/excel/2006/main">
          <x14:cfRule type="iconSet" priority="265" id="{B9ED4163-5B5F-4C49-89A1-19D77EC91F5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343" id="{7ECAACB3-51CF-46BA-A57D-51E68B48606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I35</xm:sqref>
        </x14:conditionalFormatting>
        <x14:conditionalFormatting xmlns:xm="http://schemas.microsoft.com/office/excel/2006/main">
          <x14:cfRule type="iconSet" priority="346" id="{6E10DC8A-766E-4EBA-84F0-98A236EC778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I67 I61 I40 I43 I47 I51 I64</xm:sqref>
        </x14:conditionalFormatting>
        <x14:conditionalFormatting xmlns:xm="http://schemas.microsoft.com/office/excel/2006/main">
          <x14:cfRule type="iconSet" priority="181" id="{EDBC0AE5-D9CD-4174-91BD-85D2277CB4A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I36</xm:sqref>
        </x14:conditionalFormatting>
        <x14:conditionalFormatting xmlns:xm="http://schemas.microsoft.com/office/excel/2006/main">
          <x14:cfRule type="iconSet" priority="1542" id="{66EA6B3B-0426-4462-BD0F-A946C78CF17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A37</xm:sqref>
        </x14:conditionalFormatting>
        <x14:conditionalFormatting xmlns:xm="http://schemas.microsoft.com/office/excel/2006/main">
          <x14:cfRule type="iconSet" priority="102" id="{65B28808-2B93-4BE2-9E24-87AA90D07E8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I71</xm:sqref>
        </x14:conditionalFormatting>
        <x14:conditionalFormatting xmlns:xm="http://schemas.microsoft.com/office/excel/2006/main">
          <x14:cfRule type="iconSet" priority="87" id="{3980B8E9-168D-40D2-BF15-9AE98FE4079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I79</xm:sqref>
        </x14:conditionalFormatting>
        <x14:conditionalFormatting xmlns:xm="http://schemas.microsoft.com/office/excel/2006/main">
          <x14:cfRule type="iconSet" priority="1565" id="{494D743C-2D60-4A5A-83C9-A088AC27ECF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I80</xm:sqref>
        </x14:conditionalFormatting>
        <x14:conditionalFormatting xmlns:xm="http://schemas.microsoft.com/office/excel/2006/main">
          <x14:cfRule type="iconSet" priority="63" id="{EB210A67-536D-4169-B765-E678A017E99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I57</xm:sqref>
        </x14:conditionalFormatting>
        <x14:conditionalFormatting xmlns:xm="http://schemas.microsoft.com/office/excel/2006/main">
          <x14:cfRule type="iconSet" priority="1609" id="{499A1FB5-FEAF-4AF5-97BE-BACDBDEBA95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I68:I69 I62:I63 I37:I38 I41 I44:I45 I48:I49 I52:I54 I56 I59 I65:I66</xm:sqref>
        </x14:conditionalFormatting>
        <x14:conditionalFormatting xmlns:xm="http://schemas.microsoft.com/office/excel/2006/main">
          <x14:cfRule type="iconSet" priority="1637" id="{234D9742-D2A7-40F3-837B-85CBFE237A3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I81:I93</xm:sqref>
        </x14:conditionalFormatting>
        <x14:conditionalFormatting xmlns:xm="http://schemas.microsoft.com/office/excel/2006/main">
          <x14:cfRule type="iconSet" priority="26" id="{53251D1D-516A-4C31-8F3F-F01454BF2C5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I58</xm:sqref>
        </x14:conditionalFormatting>
        <x14:conditionalFormatting xmlns:xm="http://schemas.microsoft.com/office/excel/2006/main">
          <x14:cfRule type="iconSet" priority="9" id="{8B93E381-480C-4BF6-826D-AC1C6BD7A3C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I72:I74</xm:sqref>
        </x14:conditionalFormatting>
        <x14:conditionalFormatting xmlns:xm="http://schemas.microsoft.com/office/excel/2006/main">
          <x14:cfRule type="iconSet" priority="1757" id="{9DF7BAEA-99F1-4D0F-9304-8FEA0D827FB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I55 I39 I42 I46 I50 I60</xm:sqref>
        </x14:conditionalFormatting>
        <x14:conditionalFormatting xmlns:xm="http://schemas.microsoft.com/office/excel/2006/main">
          <x14:cfRule type="iconSet" priority="1763" id="{93F55534-8962-41BC-89D8-4E8779B34AB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I94:I100</xm:sqref>
        </x14:conditionalFormatting>
        <x14:conditionalFormatting xmlns:xm="http://schemas.microsoft.com/office/excel/2006/main">
          <x14:cfRule type="iconSet" priority="1786" id="{1982409F-456C-4625-BDAE-A28B50709CF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I18:I20</xm:sqref>
        </x14:conditionalFormatting>
        <x14:conditionalFormatting xmlns:xm="http://schemas.microsoft.com/office/excel/2006/main">
          <x14:cfRule type="iconSet" priority="1802" id="{41A5F7F7-B4A6-44CD-8206-A821EDE33D4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I8:I17</xm:sqref>
        </x14:conditionalFormatting>
        <x14:conditionalFormatting xmlns:xm="http://schemas.microsoft.com/office/excel/2006/main">
          <x14:cfRule type="iconSet" priority="1823" id="{9D6F1B4A-F041-47DD-9189-9D2FD403BE6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I22:I34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63A12-295E-4446-8270-63294AF64F5A}">
  <sheetPr>
    <tabColor rgb="FF002060"/>
    <pageSetUpPr autoPageBreaks="0" fitToPage="1"/>
  </sheetPr>
  <dimension ref="A1:M99"/>
  <sheetViews>
    <sheetView showGridLines="0" zoomScale="85" zoomScaleNormal="85" zoomScaleSheetLayoutView="85" zoomScalePageLayoutView="55" workbookViewId="0">
      <pane ySplit="1" topLeftCell="A38" activePane="bottomLeft" state="frozen"/>
      <selection activeCell="D33" sqref="D33"/>
      <selection pane="bottomLeft" activeCell="B52" sqref="B52:E52"/>
    </sheetView>
  </sheetViews>
  <sheetFormatPr baseColWidth="10" defaultColWidth="9.140625" defaultRowHeight="21" customHeight="1" x14ac:dyDescent="0.25"/>
  <cols>
    <col min="1" max="1" width="22.85546875" style="122" customWidth="1"/>
    <col min="2" max="2" width="32.7109375" style="105" customWidth="1"/>
    <col min="3" max="3" width="24.5703125" style="272" customWidth="1"/>
    <col min="4" max="4" width="24" style="123" customWidth="1"/>
    <col min="5" max="5" width="45.7109375" style="83" customWidth="1"/>
    <col min="6" max="6" width="20.42578125" style="120" customWidth="1"/>
    <col min="7" max="7" width="20.42578125" style="287" customWidth="1"/>
    <col min="8" max="8" width="21" style="83" customWidth="1"/>
    <col min="9" max="9" width="19.85546875" style="121" customWidth="1"/>
    <col min="10" max="11" width="9.140625" style="58"/>
    <col min="12" max="12" width="11.42578125" style="58" bestFit="1" customWidth="1"/>
    <col min="13" max="16384" width="9.140625" style="58"/>
  </cols>
  <sheetData>
    <row r="1" spans="1:12" s="163" customFormat="1" ht="24" customHeight="1" x14ac:dyDescent="0.25">
      <c r="A1" s="99" t="s">
        <v>101</v>
      </c>
      <c r="B1" s="99" t="s">
        <v>143</v>
      </c>
      <c r="C1" s="264" t="s">
        <v>142</v>
      </c>
      <c r="D1" s="99" t="s">
        <v>148</v>
      </c>
      <c r="E1" s="99" t="s">
        <v>141</v>
      </c>
      <c r="F1" s="99" t="s">
        <v>103</v>
      </c>
      <c r="G1" s="279" t="s">
        <v>487</v>
      </c>
      <c r="H1" s="99" t="s">
        <v>494</v>
      </c>
      <c r="I1" s="107" t="s">
        <v>105</v>
      </c>
    </row>
    <row r="2" spans="1:12" ht="18.600000000000001" customHeight="1" x14ac:dyDescent="0.25">
      <c r="A2" s="523" t="s">
        <v>122</v>
      </c>
      <c r="B2" s="322" t="s">
        <v>640</v>
      </c>
      <c r="C2" s="265" t="s">
        <v>778</v>
      </c>
      <c r="D2" s="110">
        <v>860.57</v>
      </c>
      <c r="E2" s="89" t="s">
        <v>188</v>
      </c>
      <c r="F2" s="108">
        <v>44732</v>
      </c>
      <c r="G2" s="280">
        <v>860.57</v>
      </c>
      <c r="H2" s="277">
        <f t="shared" ref="H2:H26" si="0">D2-G2</f>
        <v>0</v>
      </c>
      <c r="I2" s="109"/>
    </row>
    <row r="3" spans="1:12" ht="18.600000000000001" customHeight="1" x14ac:dyDescent="0.25">
      <c r="A3" s="523"/>
      <c r="B3" s="289" t="s">
        <v>231</v>
      </c>
      <c r="C3" s="265" t="s">
        <v>771</v>
      </c>
      <c r="D3" s="365">
        <v>541.94000000000005</v>
      </c>
      <c r="E3" s="89"/>
      <c r="F3" s="108">
        <v>44742</v>
      </c>
      <c r="G3" s="280"/>
      <c r="H3" s="277">
        <f t="shared" si="0"/>
        <v>541.94000000000005</v>
      </c>
      <c r="I3" s="109"/>
    </row>
    <row r="4" spans="1:12" ht="18.600000000000001" customHeight="1" x14ac:dyDescent="0.3">
      <c r="A4" s="523"/>
      <c r="B4" s="289" t="s">
        <v>645</v>
      </c>
      <c r="C4" s="265" t="s">
        <v>772</v>
      </c>
      <c r="D4" s="110">
        <v>1102.9000000000001</v>
      </c>
      <c r="E4" s="89" t="s">
        <v>188</v>
      </c>
      <c r="F4" s="108">
        <v>44742</v>
      </c>
      <c r="G4" s="280">
        <v>1102.9000000000001</v>
      </c>
      <c r="H4" s="277">
        <f t="shared" si="0"/>
        <v>0</v>
      </c>
      <c r="I4" s="109"/>
      <c r="K4" s="249"/>
    </row>
    <row r="5" spans="1:12" ht="18.600000000000001" customHeight="1" x14ac:dyDescent="0.3">
      <c r="A5" s="523"/>
      <c r="B5" s="289" t="s">
        <v>645</v>
      </c>
      <c r="C5" s="265" t="s">
        <v>773</v>
      </c>
      <c r="D5" s="110">
        <v>3576.1</v>
      </c>
      <c r="E5" s="89" t="s">
        <v>188</v>
      </c>
      <c r="F5" s="108">
        <v>44742</v>
      </c>
      <c r="G5" s="280">
        <v>3576.1</v>
      </c>
      <c r="H5" s="277">
        <f t="shared" si="0"/>
        <v>0</v>
      </c>
      <c r="I5" s="109"/>
      <c r="K5" s="76"/>
    </row>
    <row r="6" spans="1:12" ht="18.600000000000001" customHeight="1" x14ac:dyDescent="0.3">
      <c r="A6" s="523"/>
      <c r="B6" s="289" t="s">
        <v>154</v>
      </c>
      <c r="C6" s="265" t="s">
        <v>774</v>
      </c>
      <c r="D6" s="110">
        <v>813.23</v>
      </c>
      <c r="E6" s="89"/>
      <c r="F6" s="108">
        <v>44742</v>
      </c>
      <c r="G6" s="280">
        <v>813.23</v>
      </c>
      <c r="H6" s="277">
        <f t="shared" si="0"/>
        <v>0</v>
      </c>
      <c r="I6" s="109"/>
      <c r="K6" s="76" t="s">
        <v>479</v>
      </c>
    </row>
    <row r="7" spans="1:12" ht="18.600000000000001" customHeight="1" x14ac:dyDescent="0.3">
      <c r="A7" s="523"/>
      <c r="B7" s="289" t="s">
        <v>154</v>
      </c>
      <c r="C7" s="265" t="s">
        <v>873</v>
      </c>
      <c r="D7" s="110">
        <v>4589.6400000000003</v>
      </c>
      <c r="E7" s="89"/>
      <c r="F7" s="108">
        <v>44742</v>
      </c>
      <c r="G7" s="280">
        <v>4589.6400000000003</v>
      </c>
      <c r="H7" s="277">
        <f t="shared" si="0"/>
        <v>0</v>
      </c>
      <c r="I7" s="109"/>
      <c r="K7" s="76"/>
    </row>
    <row r="8" spans="1:12" ht="18.600000000000001" customHeight="1" x14ac:dyDescent="0.3">
      <c r="A8" s="523"/>
      <c r="B8" s="289" t="s">
        <v>243</v>
      </c>
      <c r="C8" s="265" t="s">
        <v>775</v>
      </c>
      <c r="D8" s="110">
        <v>6977.2</v>
      </c>
      <c r="E8" s="89" t="s">
        <v>624</v>
      </c>
      <c r="F8" s="108">
        <v>44742</v>
      </c>
      <c r="G8" s="280">
        <v>6977.2</v>
      </c>
      <c r="H8" s="277">
        <f t="shared" si="0"/>
        <v>0</v>
      </c>
      <c r="I8" s="109"/>
      <c r="K8" s="76"/>
    </row>
    <row r="9" spans="1:12" ht="18.600000000000001" customHeight="1" x14ac:dyDescent="0.3">
      <c r="A9" s="523"/>
      <c r="B9" s="289" t="s">
        <v>243</v>
      </c>
      <c r="C9" s="265" t="s">
        <v>776</v>
      </c>
      <c r="D9" s="110">
        <v>3734.64</v>
      </c>
      <c r="E9" s="89" t="s">
        <v>777</v>
      </c>
      <c r="F9" s="108">
        <v>44742</v>
      </c>
      <c r="G9" s="280">
        <v>3734.64</v>
      </c>
      <c r="H9" s="277">
        <f t="shared" si="0"/>
        <v>0</v>
      </c>
      <c r="I9" s="109"/>
      <c r="K9" s="502">
        <f>D97</f>
        <v>124201.26</v>
      </c>
      <c r="L9" s="502"/>
    </row>
    <row r="10" spans="1:12" ht="18.600000000000001" customHeight="1" x14ac:dyDescent="0.3">
      <c r="A10" s="523"/>
      <c r="B10" s="289" t="s">
        <v>779</v>
      </c>
      <c r="C10" s="265" t="s">
        <v>780</v>
      </c>
      <c r="D10" s="110">
        <v>276.74</v>
      </c>
      <c r="E10" s="89" t="s">
        <v>419</v>
      </c>
      <c r="F10" s="108">
        <v>44742</v>
      </c>
      <c r="G10" s="280">
        <v>276.74</v>
      </c>
      <c r="H10" s="277">
        <f t="shared" si="0"/>
        <v>0</v>
      </c>
      <c r="I10" s="109"/>
      <c r="K10" s="76"/>
    </row>
    <row r="11" spans="1:12" ht="18.600000000000001" customHeight="1" x14ac:dyDescent="0.3">
      <c r="A11" s="523"/>
      <c r="B11" s="489" t="s">
        <v>779</v>
      </c>
      <c r="C11" s="490" t="s">
        <v>781</v>
      </c>
      <c r="D11" s="491">
        <v>1024.53</v>
      </c>
      <c r="E11" s="492"/>
      <c r="F11" s="493">
        <v>44742</v>
      </c>
      <c r="G11" s="494"/>
      <c r="H11" s="495">
        <f t="shared" si="0"/>
        <v>1024.53</v>
      </c>
      <c r="I11" s="496"/>
      <c r="K11" s="502">
        <f>D32</f>
        <v>63016.28</v>
      </c>
      <c r="L11" s="502"/>
    </row>
    <row r="12" spans="1:12" ht="18.600000000000001" customHeight="1" x14ac:dyDescent="0.25">
      <c r="A12" s="523"/>
      <c r="B12" s="289" t="s">
        <v>779</v>
      </c>
      <c r="C12" s="265" t="s">
        <v>782</v>
      </c>
      <c r="D12" s="110">
        <v>569.72</v>
      </c>
      <c r="E12" s="89" t="s">
        <v>188</v>
      </c>
      <c r="F12" s="108">
        <v>44742</v>
      </c>
      <c r="G12" s="280">
        <v>569.72</v>
      </c>
      <c r="H12" s="277">
        <f t="shared" si="0"/>
        <v>0</v>
      </c>
      <c r="I12" s="288"/>
    </row>
    <row r="13" spans="1:12" ht="18.600000000000001" customHeight="1" x14ac:dyDescent="0.3">
      <c r="A13" s="523"/>
      <c r="B13" s="289" t="s">
        <v>779</v>
      </c>
      <c r="C13" s="265" t="s">
        <v>783</v>
      </c>
      <c r="D13" s="110">
        <v>1250.2</v>
      </c>
      <c r="E13" s="368"/>
      <c r="F13" s="108">
        <v>44742</v>
      </c>
      <c r="G13" s="280">
        <v>1250.2</v>
      </c>
      <c r="H13" s="277">
        <f t="shared" si="0"/>
        <v>0</v>
      </c>
      <c r="I13" s="288"/>
      <c r="K13" s="76" t="s">
        <v>495</v>
      </c>
    </row>
    <row r="14" spans="1:12" ht="18.600000000000001" customHeight="1" x14ac:dyDescent="0.3">
      <c r="A14" s="523"/>
      <c r="B14" s="289" t="s">
        <v>779</v>
      </c>
      <c r="C14" s="265" t="s">
        <v>784</v>
      </c>
      <c r="D14" s="110">
        <v>237.18</v>
      </c>
      <c r="E14" s="89"/>
      <c r="F14" s="108">
        <v>44742</v>
      </c>
      <c r="G14" s="280">
        <v>237.18</v>
      </c>
      <c r="H14" s="277">
        <f t="shared" si="0"/>
        <v>0</v>
      </c>
      <c r="I14" s="288"/>
      <c r="K14" s="502">
        <f>+D97</f>
        <v>124201.26</v>
      </c>
      <c r="L14" s="502"/>
    </row>
    <row r="15" spans="1:12" ht="18.600000000000001" customHeight="1" x14ac:dyDescent="0.25">
      <c r="A15" s="523"/>
      <c r="B15" s="289" t="s">
        <v>258</v>
      </c>
      <c r="C15" s="265" t="s">
        <v>785</v>
      </c>
      <c r="D15" s="110">
        <v>453.6</v>
      </c>
      <c r="E15" s="89"/>
      <c r="F15" s="108">
        <v>44742</v>
      </c>
      <c r="G15" s="281">
        <v>453.6</v>
      </c>
      <c r="H15" s="277">
        <f t="shared" si="0"/>
        <v>0</v>
      </c>
      <c r="I15" s="288"/>
    </row>
    <row r="16" spans="1:12" ht="18.600000000000001" customHeight="1" x14ac:dyDescent="0.3">
      <c r="A16" s="523"/>
      <c r="B16" s="289" t="s">
        <v>258</v>
      </c>
      <c r="C16" s="265" t="s">
        <v>786</v>
      </c>
      <c r="D16" s="110">
        <v>70.8</v>
      </c>
      <c r="E16" s="89" t="s">
        <v>790</v>
      </c>
      <c r="F16" s="108">
        <v>44742</v>
      </c>
      <c r="G16" s="281">
        <v>70.8</v>
      </c>
      <c r="H16" s="277">
        <f t="shared" si="0"/>
        <v>0</v>
      </c>
      <c r="I16" s="288"/>
      <c r="K16" s="76" t="s">
        <v>482</v>
      </c>
    </row>
    <row r="17" spans="1:13" ht="18.600000000000001" customHeight="1" x14ac:dyDescent="0.3">
      <c r="A17" s="523"/>
      <c r="B17" s="289" t="s">
        <v>258</v>
      </c>
      <c r="C17" s="265" t="s">
        <v>787</v>
      </c>
      <c r="D17" s="110">
        <v>6966.44</v>
      </c>
      <c r="E17" s="89" t="s">
        <v>220</v>
      </c>
      <c r="F17" s="111">
        <v>44742</v>
      </c>
      <c r="G17" s="281">
        <v>6966.44</v>
      </c>
      <c r="H17" s="277">
        <f t="shared" si="0"/>
        <v>0</v>
      </c>
      <c r="I17" s="288"/>
      <c r="K17" s="503">
        <f>K11+K9</f>
        <v>187217.53999999998</v>
      </c>
      <c r="L17" s="503"/>
      <c r="M17" s="503"/>
    </row>
    <row r="18" spans="1:13" ht="18.600000000000001" customHeight="1" x14ac:dyDescent="0.25">
      <c r="A18" s="523"/>
      <c r="B18" s="289" t="s">
        <v>258</v>
      </c>
      <c r="C18" s="265" t="s">
        <v>788</v>
      </c>
      <c r="D18" s="110">
        <v>1933.7</v>
      </c>
      <c r="E18" s="89" t="s">
        <v>791</v>
      </c>
      <c r="F18" s="111">
        <v>44742</v>
      </c>
      <c r="G18" s="281">
        <v>1933.7</v>
      </c>
      <c r="H18" s="277">
        <f t="shared" si="0"/>
        <v>0</v>
      </c>
      <c r="I18" s="288"/>
    </row>
    <row r="19" spans="1:13" ht="18.600000000000001" customHeight="1" x14ac:dyDescent="0.25">
      <c r="A19" s="523"/>
      <c r="B19" s="289" t="s">
        <v>258</v>
      </c>
      <c r="C19" s="265" t="s">
        <v>789</v>
      </c>
      <c r="D19" s="110">
        <v>4256.03</v>
      </c>
      <c r="E19" s="89" t="s">
        <v>777</v>
      </c>
      <c r="F19" s="108">
        <v>44742</v>
      </c>
      <c r="G19" s="281">
        <v>4256.03</v>
      </c>
      <c r="H19" s="277">
        <f t="shared" si="0"/>
        <v>0</v>
      </c>
      <c r="I19" s="288"/>
    </row>
    <row r="20" spans="1:13" ht="18.600000000000001" customHeight="1" x14ac:dyDescent="0.25">
      <c r="A20" s="523"/>
      <c r="B20" s="289" t="s">
        <v>258</v>
      </c>
      <c r="C20" s="265" t="s">
        <v>792</v>
      </c>
      <c r="D20" s="110">
        <v>546</v>
      </c>
      <c r="E20" s="89" t="s">
        <v>793</v>
      </c>
      <c r="F20" s="111">
        <v>44742</v>
      </c>
      <c r="G20" s="281">
        <v>546</v>
      </c>
      <c r="H20" s="277">
        <f t="shared" si="0"/>
        <v>0</v>
      </c>
      <c r="I20" s="288"/>
    </row>
    <row r="21" spans="1:13" ht="18.600000000000001" customHeight="1" x14ac:dyDescent="0.25">
      <c r="A21" s="523"/>
      <c r="B21" s="289" t="s">
        <v>662</v>
      </c>
      <c r="C21" s="265" t="s">
        <v>804</v>
      </c>
      <c r="D21" s="110">
        <v>7242.84</v>
      </c>
      <c r="E21" s="89" t="s">
        <v>188</v>
      </c>
      <c r="F21" s="111">
        <v>44742</v>
      </c>
      <c r="G21" s="281">
        <v>7242.84</v>
      </c>
      <c r="H21" s="277">
        <f t="shared" si="0"/>
        <v>0</v>
      </c>
      <c r="I21" s="288"/>
    </row>
    <row r="22" spans="1:13" ht="18.600000000000001" customHeight="1" x14ac:dyDescent="0.25">
      <c r="A22" s="523"/>
      <c r="B22" s="289" t="s">
        <v>662</v>
      </c>
      <c r="C22" s="265" t="s">
        <v>805</v>
      </c>
      <c r="D22" s="110">
        <v>2299.3200000000002</v>
      </c>
      <c r="E22" s="89" t="s">
        <v>239</v>
      </c>
      <c r="F22" s="111">
        <v>44742</v>
      </c>
      <c r="G22" s="281">
        <v>2299.3200000000002</v>
      </c>
      <c r="H22" s="277">
        <f t="shared" si="0"/>
        <v>0</v>
      </c>
      <c r="I22" s="288"/>
    </row>
    <row r="23" spans="1:13" ht="18.600000000000001" customHeight="1" x14ac:dyDescent="0.25">
      <c r="A23" s="523"/>
      <c r="B23" s="289" t="s">
        <v>662</v>
      </c>
      <c r="C23" s="265" t="s">
        <v>806</v>
      </c>
      <c r="D23" s="110">
        <v>1316.88</v>
      </c>
      <c r="E23" s="89"/>
      <c r="F23" s="111">
        <v>44742</v>
      </c>
      <c r="G23" s="281">
        <v>1316.88</v>
      </c>
      <c r="H23" s="277">
        <f t="shared" si="0"/>
        <v>0</v>
      </c>
      <c r="I23" s="288"/>
    </row>
    <row r="24" spans="1:13" ht="18.600000000000001" customHeight="1" x14ac:dyDescent="0.25">
      <c r="A24" s="523"/>
      <c r="B24" s="289" t="s">
        <v>662</v>
      </c>
      <c r="C24" s="265" t="s">
        <v>807</v>
      </c>
      <c r="D24" s="110">
        <v>4394.3999999999996</v>
      </c>
      <c r="E24" s="89" t="s">
        <v>810</v>
      </c>
      <c r="F24" s="111">
        <v>44742</v>
      </c>
      <c r="G24" s="281">
        <v>4394.3999999999996</v>
      </c>
      <c r="H24" s="277">
        <f t="shared" si="0"/>
        <v>0</v>
      </c>
      <c r="I24" s="288"/>
    </row>
    <row r="25" spans="1:13" ht="18.600000000000001" customHeight="1" x14ac:dyDescent="0.25">
      <c r="A25" s="523"/>
      <c r="B25" s="289" t="s">
        <v>662</v>
      </c>
      <c r="C25" s="265" t="s">
        <v>808</v>
      </c>
      <c r="D25" s="110">
        <v>1437.36</v>
      </c>
      <c r="E25" s="89"/>
      <c r="F25" s="111">
        <v>44742</v>
      </c>
      <c r="G25" s="281">
        <v>1437.36</v>
      </c>
      <c r="H25" s="277">
        <f t="shared" si="0"/>
        <v>0</v>
      </c>
      <c r="I25" s="288"/>
    </row>
    <row r="26" spans="1:13" ht="18.600000000000001" customHeight="1" x14ac:dyDescent="0.25">
      <c r="A26" s="523"/>
      <c r="B26" s="289" t="s">
        <v>662</v>
      </c>
      <c r="C26" s="265" t="s">
        <v>809</v>
      </c>
      <c r="D26" s="110">
        <v>6544.32</v>
      </c>
      <c r="E26" s="89" t="s">
        <v>777</v>
      </c>
      <c r="F26" s="111">
        <v>44742</v>
      </c>
      <c r="G26" s="281">
        <v>6544.32</v>
      </c>
      <c r="H26" s="277">
        <f t="shared" si="0"/>
        <v>0</v>
      </c>
      <c r="I26" s="288"/>
    </row>
    <row r="27" spans="1:13" ht="18.600000000000001" customHeight="1" x14ac:dyDescent="0.25">
      <c r="A27" s="523"/>
      <c r="B27" s="289"/>
      <c r="C27" s="265"/>
      <c r="D27" s="365"/>
      <c r="E27" s="89"/>
      <c r="F27" s="111"/>
      <c r="G27" s="281"/>
      <c r="H27" s="277"/>
      <c r="I27" s="288"/>
    </row>
    <row r="28" spans="1:13" ht="18.600000000000001" customHeight="1" x14ac:dyDescent="0.25">
      <c r="A28" s="523"/>
      <c r="B28" s="289"/>
      <c r="C28" s="265"/>
      <c r="D28" s="365"/>
      <c r="E28" s="89"/>
      <c r="F28" s="111"/>
      <c r="G28" s="281"/>
      <c r="H28" s="277"/>
      <c r="I28" s="288"/>
    </row>
    <row r="29" spans="1:13" ht="18.600000000000001" customHeight="1" x14ac:dyDescent="0.25">
      <c r="A29" s="523"/>
      <c r="B29" s="289"/>
      <c r="C29" s="265"/>
      <c r="D29" s="110"/>
      <c r="E29" s="89"/>
      <c r="F29" s="111"/>
      <c r="G29" s="281"/>
      <c r="H29" s="277"/>
      <c r="I29" s="288"/>
    </row>
    <row r="30" spans="1:13" ht="18.600000000000001" customHeight="1" x14ac:dyDescent="0.25">
      <c r="A30" s="523"/>
      <c r="B30" s="289"/>
      <c r="C30" s="265"/>
      <c r="D30" s="365"/>
      <c r="E30" s="369"/>
      <c r="F30" s="111"/>
      <c r="G30" s="281"/>
      <c r="H30" s="277"/>
      <c r="I30" s="288"/>
    </row>
    <row r="31" spans="1:13" ht="18.600000000000001" customHeight="1" x14ac:dyDescent="0.25">
      <c r="A31" s="523"/>
      <c r="B31" s="289"/>
      <c r="C31" s="265"/>
      <c r="D31" s="110"/>
      <c r="E31" s="89"/>
      <c r="F31" s="111"/>
      <c r="G31" s="281"/>
      <c r="H31" s="277"/>
      <c r="I31" s="288"/>
    </row>
    <row r="32" spans="1:13" ht="18.600000000000001" customHeight="1" thickBot="1" x14ac:dyDescent="0.3">
      <c r="A32" s="113"/>
      <c r="B32" s="374" t="s">
        <v>140</v>
      </c>
      <c r="C32" s="380"/>
      <c r="D32" s="375">
        <f>+SUM(D2:D31)</f>
        <v>63016.28</v>
      </c>
      <c r="E32" s="376"/>
      <c r="F32" s="377"/>
      <c r="G32" s="378"/>
      <c r="H32" s="373">
        <f>+SUM(H2:H31)</f>
        <v>1566.47</v>
      </c>
      <c r="I32" s="379"/>
    </row>
    <row r="33" spans="1:9" ht="18.600000000000001" customHeight="1" thickTop="1" x14ac:dyDescent="0.25">
      <c r="A33" s="524" t="s">
        <v>123</v>
      </c>
      <c r="B33" s="289" t="s">
        <v>196</v>
      </c>
      <c r="C33" s="265" t="s">
        <v>197</v>
      </c>
      <c r="D33" s="114">
        <v>15.24</v>
      </c>
      <c r="E33" s="97" t="s">
        <v>198</v>
      </c>
      <c r="F33" s="115">
        <v>15.24</v>
      </c>
      <c r="G33" s="283">
        <v>15.24</v>
      </c>
      <c r="H33" s="277">
        <f t="shared" ref="H33:H65" si="1">D33-G33</f>
        <v>0</v>
      </c>
      <c r="I33" s="288"/>
    </row>
    <row r="34" spans="1:9" ht="18.600000000000001" customHeight="1" x14ac:dyDescent="0.25">
      <c r="A34" s="525"/>
      <c r="B34" s="289" t="s">
        <v>196</v>
      </c>
      <c r="C34" s="265" t="s">
        <v>201</v>
      </c>
      <c r="D34" s="110">
        <v>127.11</v>
      </c>
      <c r="E34" s="89" t="s">
        <v>200</v>
      </c>
      <c r="F34" s="111">
        <v>44686</v>
      </c>
      <c r="G34" s="282">
        <v>127.11</v>
      </c>
      <c r="H34" s="277">
        <f t="shared" si="1"/>
        <v>0</v>
      </c>
      <c r="I34" s="288"/>
    </row>
    <row r="35" spans="1:9" ht="18.600000000000001" customHeight="1" x14ac:dyDescent="0.25">
      <c r="A35" s="525"/>
      <c r="B35" s="289" t="s">
        <v>196</v>
      </c>
      <c r="C35" s="265" t="s">
        <v>298</v>
      </c>
      <c r="D35" s="110">
        <v>104.12</v>
      </c>
      <c r="E35" s="89"/>
      <c r="F35" s="111">
        <v>44686</v>
      </c>
      <c r="G35" s="282">
        <v>104.12</v>
      </c>
      <c r="H35" s="277">
        <f t="shared" si="1"/>
        <v>0</v>
      </c>
      <c r="I35" s="288"/>
    </row>
    <row r="36" spans="1:9" ht="18.600000000000001" customHeight="1" x14ac:dyDescent="0.25">
      <c r="A36" s="525"/>
      <c r="B36" s="289" t="s">
        <v>196</v>
      </c>
      <c r="C36" s="265" t="s">
        <v>299</v>
      </c>
      <c r="D36" s="110">
        <v>71.319999999999993</v>
      </c>
      <c r="E36" s="89"/>
      <c r="F36" s="111">
        <v>44686</v>
      </c>
      <c r="G36" s="282">
        <v>71.319999999999993</v>
      </c>
      <c r="H36" s="277">
        <f t="shared" si="1"/>
        <v>0</v>
      </c>
      <c r="I36" s="288"/>
    </row>
    <row r="37" spans="1:9" ht="18.600000000000001" customHeight="1" x14ac:dyDescent="0.25">
      <c r="A37" s="525"/>
      <c r="B37" s="289" t="s">
        <v>196</v>
      </c>
      <c r="C37" s="265" t="s">
        <v>300</v>
      </c>
      <c r="D37" s="114">
        <v>102.36</v>
      </c>
      <c r="E37" s="97"/>
      <c r="F37" s="111">
        <v>44686</v>
      </c>
      <c r="G37" s="283">
        <v>102.36</v>
      </c>
      <c r="H37" s="277">
        <f t="shared" si="1"/>
        <v>0</v>
      </c>
      <c r="I37" s="288"/>
    </row>
    <row r="38" spans="1:9" ht="18.600000000000001" customHeight="1" x14ac:dyDescent="0.25">
      <c r="A38" s="525"/>
      <c r="B38" s="289" t="s">
        <v>196</v>
      </c>
      <c r="C38" s="265" t="s">
        <v>199</v>
      </c>
      <c r="D38" s="110">
        <v>99.97</v>
      </c>
      <c r="E38" s="89" t="s">
        <v>200</v>
      </c>
      <c r="F38" s="111">
        <v>44686</v>
      </c>
      <c r="G38" s="282">
        <v>99.97</v>
      </c>
      <c r="H38" s="277">
        <f t="shared" si="1"/>
        <v>0</v>
      </c>
      <c r="I38" s="288"/>
    </row>
    <row r="39" spans="1:9" ht="18.600000000000001" customHeight="1" x14ac:dyDescent="0.25">
      <c r="A39" s="525"/>
      <c r="B39" s="289" t="s">
        <v>533</v>
      </c>
      <c r="C39" s="265"/>
      <c r="D39" s="110">
        <v>53.88</v>
      </c>
      <c r="E39" s="89"/>
      <c r="F39" s="111">
        <v>44686</v>
      </c>
      <c r="G39" s="282">
        <v>53.88</v>
      </c>
      <c r="H39" s="277">
        <f t="shared" si="1"/>
        <v>0</v>
      </c>
      <c r="I39" s="288"/>
    </row>
    <row r="40" spans="1:9" ht="18.600000000000001" customHeight="1" x14ac:dyDescent="0.25">
      <c r="A40" s="525"/>
      <c r="B40" s="289" t="s">
        <v>282</v>
      </c>
      <c r="C40" s="265"/>
      <c r="D40" s="110">
        <v>50</v>
      </c>
      <c r="E40" s="89" t="s">
        <v>287</v>
      </c>
      <c r="F40" s="111">
        <v>44687</v>
      </c>
      <c r="G40" s="282">
        <v>50</v>
      </c>
      <c r="H40" s="277">
        <f t="shared" si="1"/>
        <v>0</v>
      </c>
      <c r="I40" s="288"/>
    </row>
    <row r="41" spans="1:9" ht="18.600000000000001" customHeight="1" x14ac:dyDescent="0.25">
      <c r="A41" s="525"/>
      <c r="B41" s="289" t="s">
        <v>282</v>
      </c>
      <c r="C41" s="265"/>
      <c r="D41" s="114">
        <v>38</v>
      </c>
      <c r="E41" s="97"/>
      <c r="F41" s="111">
        <v>44702</v>
      </c>
      <c r="G41" s="283">
        <v>38</v>
      </c>
      <c r="H41" s="277">
        <f t="shared" si="1"/>
        <v>0</v>
      </c>
      <c r="I41" s="288"/>
    </row>
    <row r="42" spans="1:9" ht="18.600000000000001" customHeight="1" x14ac:dyDescent="0.25">
      <c r="A42" s="525"/>
      <c r="B42" s="289" t="s">
        <v>587</v>
      </c>
      <c r="C42" s="265" t="s">
        <v>763</v>
      </c>
      <c r="D42" s="110">
        <v>891.47</v>
      </c>
      <c r="E42" s="89"/>
      <c r="F42" s="111">
        <v>44713</v>
      </c>
      <c r="G42" s="282">
        <v>891.47</v>
      </c>
      <c r="H42" s="277">
        <f t="shared" si="1"/>
        <v>0</v>
      </c>
      <c r="I42" s="288"/>
    </row>
    <row r="43" spans="1:9" ht="18.600000000000001" customHeight="1" x14ac:dyDescent="0.25">
      <c r="A43" s="525"/>
      <c r="B43" s="289" t="s">
        <v>307</v>
      </c>
      <c r="C43" s="265"/>
      <c r="D43" s="110">
        <v>3203.09</v>
      </c>
      <c r="E43" s="89" t="s">
        <v>395</v>
      </c>
      <c r="F43" s="111">
        <v>44718</v>
      </c>
      <c r="G43" s="282">
        <v>3203.09</v>
      </c>
      <c r="H43" s="277">
        <f t="shared" si="1"/>
        <v>0</v>
      </c>
      <c r="I43" s="288"/>
    </row>
    <row r="44" spans="1:9" ht="18.600000000000001" customHeight="1" x14ac:dyDescent="0.25">
      <c r="A44" s="525"/>
      <c r="B44" s="289" t="s">
        <v>196</v>
      </c>
      <c r="C44" s="265" t="s">
        <v>297</v>
      </c>
      <c r="D44" s="110">
        <v>85.99</v>
      </c>
      <c r="E44" s="89"/>
      <c r="F44" s="111">
        <v>44718</v>
      </c>
      <c r="G44" s="282">
        <v>85.99</v>
      </c>
      <c r="H44" s="277">
        <f t="shared" si="1"/>
        <v>0</v>
      </c>
      <c r="I44" s="288"/>
    </row>
    <row r="45" spans="1:9" ht="18.600000000000001" customHeight="1" x14ac:dyDescent="0.25">
      <c r="A45" s="525"/>
      <c r="B45" s="289" t="s">
        <v>277</v>
      </c>
      <c r="C45" s="265"/>
      <c r="D45" s="110">
        <v>135.38</v>
      </c>
      <c r="E45" s="89"/>
      <c r="F45" s="111">
        <v>44721</v>
      </c>
      <c r="G45" s="282">
        <v>135.38</v>
      </c>
      <c r="H45" s="277">
        <f t="shared" si="1"/>
        <v>0</v>
      </c>
      <c r="I45" s="288"/>
    </row>
    <row r="46" spans="1:9" ht="18.600000000000001" customHeight="1" x14ac:dyDescent="0.25">
      <c r="A46" s="525"/>
      <c r="B46" s="289" t="s">
        <v>140</v>
      </c>
      <c r="C46" s="265" t="s">
        <v>762</v>
      </c>
      <c r="D46" s="110">
        <v>1944.5</v>
      </c>
      <c r="E46" s="89" t="s">
        <v>126</v>
      </c>
      <c r="F46" s="111">
        <v>44722</v>
      </c>
      <c r="G46" s="282">
        <v>1944.5</v>
      </c>
      <c r="H46" s="277">
        <f t="shared" si="1"/>
        <v>0</v>
      </c>
      <c r="I46" s="288"/>
    </row>
    <row r="47" spans="1:9" ht="18.600000000000001" customHeight="1" x14ac:dyDescent="0.25">
      <c r="A47" s="525"/>
      <c r="B47" s="289" t="s">
        <v>288</v>
      </c>
      <c r="C47" s="265" t="s">
        <v>532</v>
      </c>
      <c r="D47" s="114">
        <f>15.95*2</f>
        <v>31.9</v>
      </c>
      <c r="E47" s="97" t="s">
        <v>677</v>
      </c>
      <c r="F47" s="115">
        <v>44722</v>
      </c>
      <c r="G47" s="283">
        <v>31.9</v>
      </c>
      <c r="H47" s="277">
        <f t="shared" si="1"/>
        <v>0</v>
      </c>
      <c r="I47" s="288"/>
    </row>
    <row r="48" spans="1:9" ht="18.600000000000001" customHeight="1" x14ac:dyDescent="0.25">
      <c r="A48" s="525"/>
      <c r="B48" s="289" t="s">
        <v>530</v>
      </c>
      <c r="C48" s="265"/>
      <c r="D48" s="110">
        <v>16.989999999999998</v>
      </c>
      <c r="E48" s="97" t="s">
        <v>531</v>
      </c>
      <c r="F48" s="111">
        <v>44722</v>
      </c>
      <c r="G48" s="282">
        <v>16.989999999999998</v>
      </c>
      <c r="H48" s="277">
        <f t="shared" si="1"/>
        <v>0</v>
      </c>
      <c r="I48" s="288"/>
    </row>
    <row r="49" spans="1:9" ht="18.600000000000001" customHeight="1" x14ac:dyDescent="0.25">
      <c r="A49" s="525"/>
      <c r="B49" s="388" t="s">
        <v>291</v>
      </c>
      <c r="C49" s="389"/>
      <c r="D49" s="396">
        <v>11809</v>
      </c>
      <c r="E49" s="479">
        <v>44682</v>
      </c>
      <c r="F49" s="398">
        <v>44728</v>
      </c>
      <c r="G49" s="399">
        <v>11809</v>
      </c>
      <c r="H49" s="394">
        <f t="shared" si="1"/>
        <v>0</v>
      </c>
      <c r="I49" s="328"/>
    </row>
    <row r="50" spans="1:9" ht="18.600000000000001" customHeight="1" x14ac:dyDescent="0.25">
      <c r="A50" s="525"/>
      <c r="B50" s="289" t="s">
        <v>196</v>
      </c>
      <c r="C50" s="265" t="s">
        <v>313</v>
      </c>
      <c r="D50" s="110">
        <v>93.87</v>
      </c>
      <c r="E50" s="89"/>
      <c r="F50" s="111">
        <v>44728</v>
      </c>
      <c r="G50" s="282">
        <v>93.87</v>
      </c>
      <c r="H50" s="277">
        <f t="shared" si="1"/>
        <v>0</v>
      </c>
      <c r="I50" s="288"/>
    </row>
    <row r="51" spans="1:9" ht="18.600000000000001" customHeight="1" x14ac:dyDescent="0.25">
      <c r="A51" s="525"/>
      <c r="B51" s="388" t="s">
        <v>292</v>
      </c>
      <c r="C51" s="395" t="s">
        <v>293</v>
      </c>
      <c r="D51" s="390">
        <v>5467</v>
      </c>
      <c r="E51" s="391" t="s">
        <v>588</v>
      </c>
      <c r="F51" s="111">
        <v>44731</v>
      </c>
      <c r="G51" s="393">
        <v>5467</v>
      </c>
      <c r="H51" s="394">
        <f t="shared" si="1"/>
        <v>0</v>
      </c>
      <c r="I51" s="328"/>
    </row>
    <row r="52" spans="1:9" ht="18.600000000000001" customHeight="1" x14ac:dyDescent="0.25">
      <c r="A52" s="525"/>
      <c r="B52" s="497" t="s">
        <v>344</v>
      </c>
      <c r="C52" s="498" t="s">
        <v>572</v>
      </c>
      <c r="D52" s="114">
        <v>588</v>
      </c>
      <c r="E52" s="97" t="s">
        <v>687</v>
      </c>
      <c r="F52" s="111">
        <v>44732</v>
      </c>
      <c r="G52" s="283"/>
      <c r="H52" s="277">
        <f t="shared" si="1"/>
        <v>588</v>
      </c>
      <c r="I52" s="288"/>
    </row>
    <row r="53" spans="1:9" ht="18.600000000000001" customHeight="1" x14ac:dyDescent="0.25">
      <c r="A53" s="525"/>
      <c r="B53" s="289" t="s">
        <v>318</v>
      </c>
      <c r="C53" s="265" t="s">
        <v>710</v>
      </c>
      <c r="D53" s="110">
        <v>21.53</v>
      </c>
      <c r="E53" s="89" t="s">
        <v>711</v>
      </c>
      <c r="F53" s="111">
        <v>44732</v>
      </c>
      <c r="G53" s="282">
        <v>21.53</v>
      </c>
      <c r="H53" s="277">
        <f t="shared" si="1"/>
        <v>0</v>
      </c>
      <c r="I53" s="288"/>
    </row>
    <row r="54" spans="1:9" ht="18.600000000000001" customHeight="1" x14ac:dyDescent="0.25">
      <c r="A54" s="525"/>
      <c r="B54" s="102" t="s">
        <v>754</v>
      </c>
      <c r="C54" s="265" t="s">
        <v>755</v>
      </c>
      <c r="D54" s="110">
        <v>212.3</v>
      </c>
      <c r="E54" s="89" t="s">
        <v>193</v>
      </c>
      <c r="F54" s="111">
        <v>44732</v>
      </c>
      <c r="G54" s="282">
        <v>212.3</v>
      </c>
      <c r="H54" s="277">
        <f t="shared" si="1"/>
        <v>0</v>
      </c>
      <c r="I54" s="288"/>
    </row>
    <row r="55" spans="1:9" ht="18.600000000000001" customHeight="1" x14ac:dyDescent="0.25">
      <c r="A55" s="525"/>
      <c r="B55" s="102" t="s">
        <v>754</v>
      </c>
      <c r="C55" s="265" t="s">
        <v>756</v>
      </c>
      <c r="D55" s="110">
        <v>3364.85</v>
      </c>
      <c r="E55" s="89" t="s">
        <v>193</v>
      </c>
      <c r="F55" s="111">
        <v>44732</v>
      </c>
      <c r="G55" s="282">
        <v>3364.85</v>
      </c>
      <c r="H55" s="277">
        <f t="shared" si="1"/>
        <v>0</v>
      </c>
      <c r="I55" s="288"/>
    </row>
    <row r="56" spans="1:9" ht="18.600000000000001" customHeight="1" x14ac:dyDescent="0.25">
      <c r="A56" s="525"/>
      <c r="B56" s="289" t="s">
        <v>282</v>
      </c>
      <c r="C56" s="265" t="s">
        <v>816</v>
      </c>
      <c r="D56" s="114">
        <v>43</v>
      </c>
      <c r="E56" s="97" t="s">
        <v>817</v>
      </c>
      <c r="F56" s="111">
        <v>44732</v>
      </c>
      <c r="G56" s="283">
        <v>43</v>
      </c>
      <c r="H56" s="277">
        <f t="shared" si="1"/>
        <v>0</v>
      </c>
      <c r="I56" s="288"/>
    </row>
    <row r="57" spans="1:9" ht="18.600000000000001" customHeight="1" x14ac:dyDescent="0.25">
      <c r="A57" s="525"/>
      <c r="B57" s="322" t="s">
        <v>721</v>
      </c>
      <c r="C57" s="389"/>
      <c r="D57" s="390">
        <v>1809.12</v>
      </c>
      <c r="E57" s="391" t="s">
        <v>813</v>
      </c>
      <c r="F57" s="111">
        <v>44735</v>
      </c>
      <c r="G57" s="393">
        <v>1809.12</v>
      </c>
      <c r="H57" s="394">
        <f t="shared" si="1"/>
        <v>0</v>
      </c>
      <c r="I57" s="328"/>
    </row>
    <row r="58" spans="1:9" ht="18.600000000000001" customHeight="1" x14ac:dyDescent="0.25">
      <c r="A58" s="525"/>
      <c r="B58" s="289" t="s">
        <v>140</v>
      </c>
      <c r="C58" s="265" t="s">
        <v>566</v>
      </c>
      <c r="D58" s="114">
        <v>2344.6799999999998</v>
      </c>
      <c r="E58" s="97"/>
      <c r="F58" s="111">
        <v>44737</v>
      </c>
      <c r="G58" s="283">
        <v>2344.6799999999998</v>
      </c>
      <c r="H58" s="277">
        <f t="shared" si="1"/>
        <v>0</v>
      </c>
      <c r="I58" s="288"/>
    </row>
    <row r="59" spans="1:9" ht="18.600000000000001" customHeight="1" x14ac:dyDescent="0.25">
      <c r="A59" s="525"/>
      <c r="B59" s="322" t="s">
        <v>722</v>
      </c>
      <c r="C59" s="395"/>
      <c r="D59" s="390">
        <v>2202.9499999999998</v>
      </c>
      <c r="E59" s="391" t="s">
        <v>697</v>
      </c>
      <c r="F59" s="111">
        <v>44737</v>
      </c>
      <c r="G59" s="393">
        <v>2202.9499999999998</v>
      </c>
      <c r="H59" s="394">
        <f t="shared" si="1"/>
        <v>0</v>
      </c>
      <c r="I59" s="328"/>
    </row>
    <row r="60" spans="1:9" ht="18.600000000000001" customHeight="1" x14ac:dyDescent="0.25">
      <c r="A60" s="525"/>
      <c r="B60" s="289" t="s">
        <v>430</v>
      </c>
      <c r="C60" s="265" t="s">
        <v>431</v>
      </c>
      <c r="D60" s="110">
        <v>1224</v>
      </c>
      <c r="E60" s="89" t="s">
        <v>432</v>
      </c>
      <c r="F60" s="111">
        <v>44737</v>
      </c>
      <c r="G60" s="282">
        <v>1224</v>
      </c>
      <c r="H60" s="277">
        <f t="shared" si="1"/>
        <v>0</v>
      </c>
      <c r="I60" s="288"/>
    </row>
    <row r="61" spans="1:9" ht="18.600000000000001" customHeight="1" x14ac:dyDescent="0.25">
      <c r="A61" s="525"/>
      <c r="B61" s="289" t="s">
        <v>423</v>
      </c>
      <c r="C61" s="265" t="s">
        <v>815</v>
      </c>
      <c r="D61" s="114">
        <v>811.94</v>
      </c>
      <c r="E61" s="97" t="s">
        <v>701</v>
      </c>
      <c r="F61" s="111">
        <v>44742</v>
      </c>
      <c r="G61" s="283">
        <v>811.94</v>
      </c>
      <c r="H61" s="277">
        <f t="shared" si="1"/>
        <v>0</v>
      </c>
      <c r="I61" s="288"/>
    </row>
    <row r="62" spans="1:9" ht="18.600000000000001" customHeight="1" x14ac:dyDescent="0.25">
      <c r="A62" s="525"/>
      <c r="B62" s="291" t="s">
        <v>282</v>
      </c>
      <c r="C62" s="265"/>
      <c r="D62" s="371">
        <v>31</v>
      </c>
      <c r="E62" s="97"/>
      <c r="F62" s="111">
        <v>44742</v>
      </c>
      <c r="G62" s="283">
        <v>31</v>
      </c>
      <c r="H62" s="370">
        <f t="shared" si="1"/>
        <v>0</v>
      </c>
      <c r="I62" s="313"/>
    </row>
    <row r="63" spans="1:9" ht="18.600000000000001" customHeight="1" x14ac:dyDescent="0.25">
      <c r="A63" s="525"/>
      <c r="B63" s="291" t="s">
        <v>282</v>
      </c>
      <c r="C63" s="265" t="s">
        <v>328</v>
      </c>
      <c r="D63" s="371">
        <v>31</v>
      </c>
      <c r="E63" s="97" t="s">
        <v>327</v>
      </c>
      <c r="F63" s="111">
        <v>44742</v>
      </c>
      <c r="G63" s="283">
        <v>31</v>
      </c>
      <c r="H63" s="370">
        <f t="shared" si="1"/>
        <v>0</v>
      </c>
      <c r="I63" s="313"/>
    </row>
    <row r="64" spans="1:9" ht="18.600000000000001" customHeight="1" x14ac:dyDescent="0.25">
      <c r="A64" s="525"/>
      <c r="B64" s="291" t="s">
        <v>285</v>
      </c>
      <c r="C64" s="265" t="s">
        <v>286</v>
      </c>
      <c r="D64" s="371">
        <v>5283.09</v>
      </c>
      <c r="E64" s="97"/>
      <c r="F64" s="111">
        <v>44737</v>
      </c>
      <c r="G64" s="283">
        <v>5283.09</v>
      </c>
      <c r="H64" s="370">
        <f t="shared" si="1"/>
        <v>0</v>
      </c>
      <c r="I64" s="372"/>
    </row>
    <row r="65" spans="1:9" ht="18.600000000000001" customHeight="1" x14ac:dyDescent="0.25">
      <c r="A65" s="525"/>
      <c r="B65" s="291" t="s">
        <v>282</v>
      </c>
      <c r="C65" s="265" t="s">
        <v>857</v>
      </c>
      <c r="D65" s="371">
        <v>32</v>
      </c>
      <c r="E65" s="97" t="s">
        <v>698</v>
      </c>
      <c r="F65" s="115">
        <v>44729</v>
      </c>
      <c r="G65" s="283">
        <v>32</v>
      </c>
      <c r="H65" s="370">
        <f t="shared" si="1"/>
        <v>0</v>
      </c>
      <c r="I65" s="372"/>
    </row>
    <row r="66" spans="1:9" ht="18.600000000000001" customHeight="1" x14ac:dyDescent="0.25">
      <c r="A66" s="525"/>
      <c r="B66" s="291"/>
      <c r="C66" s="265"/>
      <c r="D66" s="371"/>
      <c r="E66" s="97"/>
      <c r="F66" s="111"/>
      <c r="G66" s="283"/>
      <c r="H66" s="370"/>
      <c r="I66" s="372"/>
    </row>
    <row r="67" spans="1:9" ht="18.600000000000001" customHeight="1" x14ac:dyDescent="0.25">
      <c r="A67" s="525"/>
      <c r="B67" s="291"/>
      <c r="C67" s="265"/>
      <c r="D67" s="371"/>
      <c r="E67" s="97"/>
      <c r="F67" s="115"/>
      <c r="G67" s="283"/>
      <c r="H67" s="370"/>
      <c r="I67" s="372"/>
    </row>
    <row r="68" spans="1:9" ht="18.600000000000001" customHeight="1" thickBot="1" x14ac:dyDescent="0.3">
      <c r="A68" s="525"/>
      <c r="B68" s="374" t="s">
        <v>140</v>
      </c>
      <c r="C68" s="380"/>
      <c r="D68" s="375">
        <f>SUM(D33:D65)</f>
        <v>42340.649999999994</v>
      </c>
      <c r="E68" s="376"/>
      <c r="F68" s="377"/>
      <c r="G68" s="378"/>
      <c r="H68" s="373">
        <f>+SUM(H33:H64)</f>
        <v>588</v>
      </c>
      <c r="I68" s="379"/>
    </row>
    <row r="69" spans="1:9" ht="18.600000000000001" customHeight="1" thickTop="1" x14ac:dyDescent="0.25">
      <c r="A69" s="522" t="s">
        <v>124</v>
      </c>
      <c r="B69" s="289" t="s">
        <v>536</v>
      </c>
      <c r="C69" s="265"/>
      <c r="D69" s="110">
        <v>1100</v>
      </c>
      <c r="E69" s="89" t="s">
        <v>537</v>
      </c>
      <c r="F69" s="111">
        <v>44657</v>
      </c>
      <c r="G69" s="282">
        <v>1100</v>
      </c>
      <c r="H69" s="277">
        <f t="shared" ref="H69:H91" si="2">D69-G69</f>
        <v>0</v>
      </c>
      <c r="I69" s="288"/>
    </row>
    <row r="70" spans="1:9" ht="18.600000000000001" customHeight="1" x14ac:dyDescent="0.25">
      <c r="A70" s="522"/>
      <c r="B70" s="289" t="s">
        <v>545</v>
      </c>
      <c r="C70" s="265"/>
      <c r="D70" s="110">
        <v>500</v>
      </c>
      <c r="E70" s="89" t="s">
        <v>394</v>
      </c>
      <c r="F70" s="111">
        <v>44657</v>
      </c>
      <c r="G70" s="282">
        <v>500</v>
      </c>
      <c r="H70" s="277">
        <f t="shared" si="2"/>
        <v>0</v>
      </c>
      <c r="I70" s="288"/>
    </row>
    <row r="71" spans="1:9" ht="18.600000000000001" customHeight="1" x14ac:dyDescent="0.25">
      <c r="A71" s="522"/>
      <c r="B71" s="289" t="s">
        <v>592</v>
      </c>
      <c r="C71" s="265" t="s">
        <v>593</v>
      </c>
      <c r="D71" s="110">
        <v>2100</v>
      </c>
      <c r="E71" s="89" t="s">
        <v>594</v>
      </c>
      <c r="F71" s="111">
        <v>44657</v>
      </c>
      <c r="G71" s="282">
        <v>2100</v>
      </c>
      <c r="H71" s="277">
        <f t="shared" si="2"/>
        <v>0</v>
      </c>
      <c r="I71" s="288"/>
    </row>
    <row r="72" spans="1:9" ht="18.600000000000001" customHeight="1" x14ac:dyDescent="0.25">
      <c r="A72" s="522"/>
      <c r="B72" s="102" t="s">
        <v>820</v>
      </c>
      <c r="C72" s="265" t="s">
        <v>821</v>
      </c>
      <c r="D72" s="110">
        <v>1957.22</v>
      </c>
      <c r="E72" s="385" t="s">
        <v>822</v>
      </c>
      <c r="F72" s="111">
        <v>44712</v>
      </c>
      <c r="G72" s="282">
        <v>1957.22</v>
      </c>
      <c r="H72" s="334">
        <f t="shared" si="2"/>
        <v>0</v>
      </c>
      <c r="I72" s="109"/>
    </row>
    <row r="73" spans="1:9" ht="18.600000000000001" customHeight="1" x14ac:dyDescent="0.25">
      <c r="A73" s="522"/>
      <c r="B73" s="102" t="s">
        <v>702</v>
      </c>
      <c r="C73" s="265" t="s">
        <v>766</v>
      </c>
      <c r="D73" s="110">
        <v>650</v>
      </c>
      <c r="E73" s="89" t="s">
        <v>704</v>
      </c>
      <c r="F73" s="111">
        <v>44722</v>
      </c>
      <c r="G73" s="282">
        <v>650</v>
      </c>
      <c r="H73" s="334">
        <f t="shared" si="2"/>
        <v>0</v>
      </c>
      <c r="I73" s="109"/>
    </row>
    <row r="74" spans="1:9" ht="18.600000000000001" customHeight="1" x14ac:dyDescent="0.25">
      <c r="A74" s="522"/>
      <c r="B74" s="102" t="s">
        <v>797</v>
      </c>
      <c r="C74" s="265" t="s">
        <v>803</v>
      </c>
      <c r="D74" s="110">
        <v>20000</v>
      </c>
      <c r="E74" s="89" t="s">
        <v>798</v>
      </c>
      <c r="F74" s="111">
        <v>44722</v>
      </c>
      <c r="G74" s="282">
        <v>20000</v>
      </c>
      <c r="H74" s="334">
        <f t="shared" si="2"/>
        <v>0</v>
      </c>
      <c r="I74" s="288"/>
    </row>
    <row r="75" spans="1:9" ht="18.600000000000001" customHeight="1" x14ac:dyDescent="0.25">
      <c r="A75" s="522"/>
      <c r="B75" s="102" t="s">
        <v>386</v>
      </c>
      <c r="C75" s="265" t="s">
        <v>811</v>
      </c>
      <c r="D75" s="110">
        <v>1642.38</v>
      </c>
      <c r="E75" s="385" t="s">
        <v>812</v>
      </c>
      <c r="F75" s="111">
        <v>44726</v>
      </c>
      <c r="G75" s="282">
        <v>1642.38</v>
      </c>
      <c r="H75" s="334">
        <f t="shared" si="2"/>
        <v>0</v>
      </c>
      <c r="I75" s="109"/>
    </row>
    <row r="76" spans="1:9" ht="18.600000000000001" customHeight="1" x14ac:dyDescent="0.25">
      <c r="A76" s="522"/>
      <c r="B76" s="102" t="s">
        <v>386</v>
      </c>
      <c r="C76" s="265" t="s">
        <v>814</v>
      </c>
      <c r="D76" s="110">
        <v>881.51</v>
      </c>
      <c r="E76" s="385" t="s">
        <v>388</v>
      </c>
      <c r="F76" s="111">
        <v>44726</v>
      </c>
      <c r="G76" s="282">
        <v>881.51</v>
      </c>
      <c r="H76" s="334">
        <f t="shared" si="2"/>
        <v>0</v>
      </c>
      <c r="I76" s="109"/>
    </row>
    <row r="77" spans="1:9" ht="18.600000000000001" customHeight="1" x14ac:dyDescent="0.25">
      <c r="A77" s="522"/>
      <c r="B77" s="289" t="s">
        <v>446</v>
      </c>
      <c r="C77" s="265"/>
      <c r="D77" s="110">
        <v>34735.760000000002</v>
      </c>
      <c r="E77" s="89"/>
      <c r="F77" s="111">
        <v>44727</v>
      </c>
      <c r="G77" s="282">
        <v>34735.760000000002</v>
      </c>
      <c r="H77" s="277">
        <f t="shared" si="2"/>
        <v>0</v>
      </c>
      <c r="I77" s="288"/>
    </row>
    <row r="78" spans="1:9" ht="18.600000000000001" customHeight="1" x14ac:dyDescent="0.25">
      <c r="A78" s="522"/>
      <c r="B78" s="102" t="s">
        <v>455</v>
      </c>
      <c r="C78" s="265" t="s">
        <v>770</v>
      </c>
      <c r="D78" s="110">
        <v>7083.6</v>
      </c>
      <c r="E78" s="89" t="s">
        <v>188</v>
      </c>
      <c r="F78" s="111">
        <v>44727</v>
      </c>
      <c r="G78" s="282"/>
      <c r="H78" s="334">
        <f t="shared" si="2"/>
        <v>7083.6</v>
      </c>
      <c r="I78" s="288"/>
    </row>
    <row r="79" spans="1:9" ht="18.600000000000001" customHeight="1" x14ac:dyDescent="0.25">
      <c r="A79" s="522"/>
      <c r="B79" s="102" t="s">
        <v>823</v>
      </c>
      <c r="C79" s="265" t="s">
        <v>824</v>
      </c>
      <c r="D79" s="110">
        <v>207.11</v>
      </c>
      <c r="E79" s="385"/>
      <c r="F79" s="111">
        <v>44728</v>
      </c>
      <c r="G79" s="282"/>
      <c r="H79" s="334">
        <f t="shared" si="2"/>
        <v>207.11</v>
      </c>
      <c r="I79" s="288"/>
    </row>
    <row r="80" spans="1:9" ht="18.600000000000001" customHeight="1" x14ac:dyDescent="0.25">
      <c r="A80" s="522"/>
      <c r="B80" s="482" t="s">
        <v>169</v>
      </c>
      <c r="C80" s="269" t="s">
        <v>764</v>
      </c>
      <c r="D80" s="110">
        <v>2400</v>
      </c>
      <c r="E80" s="89" t="s">
        <v>193</v>
      </c>
      <c r="F80" s="117">
        <v>44732</v>
      </c>
      <c r="G80" s="282">
        <v>2400</v>
      </c>
      <c r="H80" s="277">
        <f t="shared" si="2"/>
        <v>0</v>
      </c>
      <c r="I80" s="313"/>
    </row>
    <row r="81" spans="1:9" ht="18.600000000000001" customHeight="1" x14ac:dyDescent="0.25">
      <c r="A81" s="522"/>
      <c r="B81" s="103" t="s">
        <v>169</v>
      </c>
      <c r="C81" s="269" t="s">
        <v>765</v>
      </c>
      <c r="D81" s="110">
        <v>900</v>
      </c>
      <c r="E81" s="89" t="s">
        <v>490</v>
      </c>
      <c r="F81" s="117">
        <v>44732</v>
      </c>
      <c r="G81" s="282">
        <v>900</v>
      </c>
      <c r="H81" s="334">
        <f t="shared" si="2"/>
        <v>0</v>
      </c>
      <c r="I81" s="112"/>
    </row>
    <row r="82" spans="1:9" ht="18.600000000000001" customHeight="1" x14ac:dyDescent="0.25">
      <c r="A82" s="522"/>
      <c r="B82" s="482" t="s">
        <v>210</v>
      </c>
      <c r="C82" s="269" t="s">
        <v>767</v>
      </c>
      <c r="D82" s="110">
        <v>3000</v>
      </c>
      <c r="E82" s="89" t="s">
        <v>188</v>
      </c>
      <c r="F82" s="117">
        <v>44742</v>
      </c>
      <c r="G82" s="282">
        <v>3000</v>
      </c>
      <c r="H82" s="277">
        <f t="shared" si="2"/>
        <v>0</v>
      </c>
      <c r="I82" s="313"/>
    </row>
    <row r="83" spans="1:9" ht="18.600000000000001" customHeight="1" x14ac:dyDescent="0.25">
      <c r="A83" s="522"/>
      <c r="B83" s="481" t="s">
        <v>202</v>
      </c>
      <c r="C83" s="483" t="s">
        <v>758</v>
      </c>
      <c r="D83" s="462">
        <v>15984.76</v>
      </c>
      <c r="E83" s="463" t="s">
        <v>193</v>
      </c>
      <c r="F83" s="485">
        <v>44742</v>
      </c>
      <c r="G83" s="465">
        <v>15984.76</v>
      </c>
      <c r="H83" s="466">
        <f t="shared" si="2"/>
        <v>0</v>
      </c>
      <c r="I83" s="486"/>
    </row>
    <row r="84" spans="1:9" ht="20.25" customHeight="1" x14ac:dyDescent="0.25">
      <c r="A84" s="522"/>
      <c r="B84" s="481" t="s">
        <v>202</v>
      </c>
      <c r="C84" s="483" t="s">
        <v>759</v>
      </c>
      <c r="D84" s="462">
        <v>2555.9899999999998</v>
      </c>
      <c r="E84" s="463" t="s">
        <v>193</v>
      </c>
      <c r="F84" s="485">
        <v>44742</v>
      </c>
      <c r="G84" s="465">
        <v>2555.9899999999998</v>
      </c>
      <c r="H84" s="466">
        <f t="shared" si="2"/>
        <v>0</v>
      </c>
      <c r="I84" s="486"/>
    </row>
    <row r="85" spans="1:9" ht="20.25" customHeight="1" x14ac:dyDescent="0.25">
      <c r="A85" s="522"/>
      <c r="B85" s="481" t="s">
        <v>202</v>
      </c>
      <c r="C85" s="483" t="s">
        <v>760</v>
      </c>
      <c r="D85" s="462">
        <v>9580.06</v>
      </c>
      <c r="E85" s="484" t="s">
        <v>193</v>
      </c>
      <c r="F85" s="485">
        <v>44742</v>
      </c>
      <c r="G85" s="465">
        <v>9580.06</v>
      </c>
      <c r="H85" s="466">
        <f t="shared" si="2"/>
        <v>0</v>
      </c>
      <c r="I85" s="486"/>
    </row>
    <row r="86" spans="1:9" ht="20.25" customHeight="1" x14ac:dyDescent="0.25">
      <c r="A86" s="522"/>
      <c r="B86" s="481" t="s">
        <v>202</v>
      </c>
      <c r="C86" s="483" t="s">
        <v>761</v>
      </c>
      <c r="D86" s="462">
        <v>1958.87</v>
      </c>
      <c r="E86" s="463" t="s">
        <v>193</v>
      </c>
      <c r="F86" s="464">
        <v>44742</v>
      </c>
      <c r="G86" s="465">
        <v>1958.87</v>
      </c>
      <c r="H86" s="466">
        <f t="shared" si="2"/>
        <v>0</v>
      </c>
      <c r="I86" s="467"/>
    </row>
    <row r="87" spans="1:9" ht="20.25" customHeight="1" x14ac:dyDescent="0.25">
      <c r="A87" s="522"/>
      <c r="B87" s="103" t="s">
        <v>859</v>
      </c>
      <c r="C87" s="269" t="s">
        <v>795</v>
      </c>
      <c r="D87" s="110">
        <v>540</v>
      </c>
      <c r="E87" s="93" t="s">
        <v>796</v>
      </c>
      <c r="F87" s="117">
        <v>44742</v>
      </c>
      <c r="G87" s="282"/>
      <c r="H87" s="334">
        <f t="shared" si="2"/>
        <v>540</v>
      </c>
      <c r="I87" s="112"/>
    </row>
    <row r="88" spans="1:9" ht="20.25" customHeight="1" x14ac:dyDescent="0.25">
      <c r="A88" s="522"/>
      <c r="B88" s="103" t="s">
        <v>368</v>
      </c>
      <c r="C88" s="269" t="s">
        <v>799</v>
      </c>
      <c r="D88" s="110">
        <v>7686</v>
      </c>
      <c r="E88" s="101" t="s">
        <v>419</v>
      </c>
      <c r="F88" s="117">
        <v>44742</v>
      </c>
      <c r="G88" s="282"/>
      <c r="H88" s="334">
        <f t="shared" si="2"/>
        <v>7686</v>
      </c>
      <c r="I88" s="313"/>
    </row>
    <row r="89" spans="1:9" ht="20.25" customHeight="1" x14ac:dyDescent="0.25">
      <c r="A89" s="522"/>
      <c r="B89" s="103" t="s">
        <v>368</v>
      </c>
      <c r="C89" s="269" t="s">
        <v>800</v>
      </c>
      <c r="D89" s="110">
        <v>1950</v>
      </c>
      <c r="E89" s="93" t="s">
        <v>802</v>
      </c>
      <c r="F89" s="117">
        <v>44742</v>
      </c>
      <c r="G89" s="282"/>
      <c r="H89" s="334">
        <f t="shared" si="2"/>
        <v>1950</v>
      </c>
      <c r="I89" s="112"/>
    </row>
    <row r="90" spans="1:9" ht="20.25" customHeight="1" x14ac:dyDescent="0.25">
      <c r="A90" s="522"/>
      <c r="B90" s="103" t="s">
        <v>368</v>
      </c>
      <c r="C90" s="269" t="s">
        <v>801</v>
      </c>
      <c r="D90" s="110">
        <v>6188</v>
      </c>
      <c r="E90" s="93" t="s">
        <v>322</v>
      </c>
      <c r="F90" s="117">
        <v>44742</v>
      </c>
      <c r="G90" s="282"/>
      <c r="H90" s="334">
        <f t="shared" si="2"/>
        <v>6188</v>
      </c>
      <c r="I90" s="313"/>
    </row>
    <row r="91" spans="1:9" ht="20.25" customHeight="1" x14ac:dyDescent="0.25">
      <c r="A91" s="522"/>
      <c r="B91" s="482" t="s">
        <v>509</v>
      </c>
      <c r="C91" s="269"/>
      <c r="D91" s="110">
        <v>600</v>
      </c>
      <c r="E91" s="93" t="s">
        <v>508</v>
      </c>
      <c r="F91" s="117"/>
      <c r="G91" s="282">
        <v>600</v>
      </c>
      <c r="H91" s="277">
        <f t="shared" si="2"/>
        <v>0</v>
      </c>
      <c r="I91" s="313"/>
    </row>
    <row r="92" spans="1:9" ht="20.25" customHeight="1" x14ac:dyDescent="0.25">
      <c r="A92" s="522"/>
      <c r="B92" s="102"/>
      <c r="C92" s="265"/>
      <c r="D92" s="110"/>
      <c r="E92" s="89"/>
      <c r="F92" s="111"/>
      <c r="G92" s="282"/>
      <c r="H92" s="334">
        <f t="shared" ref="H92:H95" si="3">D92-G92</f>
        <v>0</v>
      </c>
      <c r="I92" s="109"/>
    </row>
    <row r="93" spans="1:9" ht="20.25" customHeight="1" x14ac:dyDescent="0.25">
      <c r="A93" s="522"/>
      <c r="B93" s="103"/>
      <c r="C93" s="269"/>
      <c r="D93" s="110"/>
      <c r="E93" s="93"/>
      <c r="F93" s="117"/>
      <c r="G93" s="282"/>
      <c r="H93" s="334">
        <f t="shared" si="3"/>
        <v>0</v>
      </c>
      <c r="I93" s="313"/>
    </row>
    <row r="94" spans="1:9" ht="20.25" customHeight="1" x14ac:dyDescent="0.25">
      <c r="A94" s="522"/>
      <c r="B94" s="103"/>
      <c r="C94" s="269"/>
      <c r="D94" s="110"/>
      <c r="E94" s="101"/>
      <c r="F94" s="117"/>
      <c r="G94" s="282"/>
      <c r="H94" s="334">
        <f t="shared" si="3"/>
        <v>0</v>
      </c>
      <c r="I94" s="112"/>
    </row>
    <row r="95" spans="1:9" ht="20.25" customHeight="1" x14ac:dyDescent="0.25">
      <c r="A95" s="522"/>
      <c r="B95" s="103"/>
      <c r="C95" s="269"/>
      <c r="D95" s="110"/>
      <c r="E95" s="101"/>
      <c r="F95" s="117"/>
      <c r="G95" s="282"/>
      <c r="H95" s="334">
        <f t="shared" si="3"/>
        <v>0</v>
      </c>
      <c r="I95" s="112"/>
    </row>
    <row r="96" spans="1:9" ht="20.25" customHeight="1" x14ac:dyDescent="0.25">
      <c r="A96" s="522"/>
      <c r="B96" s="103"/>
      <c r="C96" s="269"/>
      <c r="D96" s="110"/>
      <c r="E96" s="101"/>
      <c r="F96" s="117"/>
      <c r="G96" s="282"/>
      <c r="H96" s="277">
        <f>D96-G96</f>
        <v>0</v>
      </c>
      <c r="I96" s="112"/>
    </row>
    <row r="97" spans="1:9" ht="18.600000000000001" customHeight="1" x14ac:dyDescent="0.25">
      <c r="A97" s="522"/>
      <c r="B97" s="260" t="s">
        <v>140</v>
      </c>
      <c r="C97" s="268"/>
      <c r="D97" s="261">
        <f>SUM(D69:D96)</f>
        <v>124201.26</v>
      </c>
      <c r="E97" s="262"/>
      <c r="F97" s="263"/>
      <c r="G97" s="286"/>
      <c r="H97" s="300">
        <f>+SUM(H69:H88)</f>
        <v>15516.71</v>
      </c>
      <c r="I97" s="255"/>
    </row>
    <row r="98" spans="1:9" ht="21" customHeight="1" x14ac:dyDescent="0.25">
      <c r="A98" s="304"/>
      <c r="B98" s="305"/>
      <c r="C98" s="306"/>
      <c r="D98" s="307"/>
      <c r="E98" s="84"/>
    </row>
    <row r="99" spans="1:9" ht="21" customHeight="1" x14ac:dyDescent="0.25">
      <c r="A99" s="119" t="s">
        <v>126</v>
      </c>
      <c r="B99" s="104"/>
      <c r="C99" s="271"/>
      <c r="D99" s="274">
        <f>+SUM(D97+D68+D32)</f>
        <v>229558.18999999997</v>
      </c>
      <c r="H99" s="487">
        <f>H97+H68+H32</f>
        <v>17671.18</v>
      </c>
    </row>
  </sheetData>
  <sortState xmlns:xlrd2="http://schemas.microsoft.com/office/spreadsheetml/2017/richdata2" ref="B2:I26">
    <sortCondition ref="F2:F26"/>
  </sortState>
  <mergeCells count="7">
    <mergeCell ref="A69:A97"/>
    <mergeCell ref="A2:A31"/>
    <mergeCell ref="K9:L9"/>
    <mergeCell ref="K11:L11"/>
    <mergeCell ref="K14:L14"/>
    <mergeCell ref="K17:M17"/>
    <mergeCell ref="A33:A68"/>
  </mergeCells>
  <phoneticPr fontId="70" type="noConversion"/>
  <conditionalFormatting sqref="B29 I13:I14 B2:I2 B91:G97 B68:G68 F3:F29 G3:G25 I3:I11 B49:G49 I49 B3:E12 E13:E25 H69:I71 B75:G79 B47:I47 B51:G51 I51:I52 H75:I89 H2:H31 B13:D26 B52:E52 G52 I90:I97 H90:H96 H33:H46 H49:H61 G58 B58:E58 I58 B64:E65 G64:I65 F52:F65">
    <cfRule type="expression" dxfId="566" priority="289">
      <formula>MOD(ROW(),2)=1</formula>
    </cfRule>
  </conditionalFormatting>
  <conditionalFormatting sqref="F2:G12">
    <cfRule type="timePeriod" dxfId="565" priority="284" timePeriod="yesterday">
      <formula>FLOOR(F2,1)=TODAY()-1</formula>
    </cfRule>
    <cfRule type="timePeriod" dxfId="564" priority="286" timePeriod="today">
      <formula>FLOOR(F2,1)=TODAY()</formula>
    </cfRule>
    <cfRule type="cellIs" dxfId="563" priority="287" operator="lessThan">
      <formula>_xludf.today()</formula>
    </cfRule>
  </conditionalFormatting>
  <conditionalFormatting sqref="F26:F29 F2:G25 F68:G68 F49:G49 F75:G97 F47:G47 F51:G51 G52 G58 G64:G65 F52:F65">
    <cfRule type="cellIs" dxfId="562" priority="279" operator="lessThan">
      <formula>TODAY()</formula>
    </cfRule>
    <cfRule type="timePeriod" dxfId="561" priority="280" timePeriod="last7Days">
      <formula>AND(TODAY()-FLOOR(F2,1)&lt;=6,FLOOR(F2,1)&lt;=TODAY())</formula>
    </cfRule>
    <cfRule type="timePeriod" dxfId="560" priority="281" timePeriod="yesterday">
      <formula>FLOOR(F2,1)=TODAY()-1</formula>
    </cfRule>
    <cfRule type="timePeriod" dxfId="559" priority="282" timePeriod="lastMonth">
      <formula>AND(MONTH(F2)=MONTH(EDATE(TODAY(),0-1)),YEAR(F2)=YEAR(EDATE(TODAY(),0-1)))</formula>
    </cfRule>
    <cfRule type="timePeriod" dxfId="558" priority="283" timePeriod="yesterday">
      <formula>FLOOR(F2,1)=TODAY()-1</formula>
    </cfRule>
    <cfRule type="timePeriod" dxfId="557" priority="285" timePeriod="today">
      <formula>FLOOR(F2,1)=TODAY()</formula>
    </cfRule>
  </conditionalFormatting>
  <conditionalFormatting sqref="F13:G13">
    <cfRule type="timePeriod" dxfId="556" priority="274" timePeriod="yesterday">
      <formula>FLOOR(F13,1)=TODAY()-1</formula>
    </cfRule>
    <cfRule type="timePeriod" dxfId="555" priority="275" timePeriod="today">
      <formula>FLOOR(F13,1)=TODAY()</formula>
    </cfRule>
    <cfRule type="cellIs" dxfId="554" priority="276" operator="lessThan">
      <formula>_xludf.today()</formula>
    </cfRule>
  </conditionalFormatting>
  <conditionalFormatting sqref="F14:G14">
    <cfRule type="timePeriod" dxfId="553" priority="271" timePeriod="yesterday">
      <formula>FLOOR(F14,1)=TODAY()-1</formula>
    </cfRule>
    <cfRule type="timePeriod" dxfId="552" priority="272" timePeriod="today">
      <formula>FLOOR(F14,1)=TODAY()</formula>
    </cfRule>
    <cfRule type="cellIs" dxfId="551" priority="273" operator="lessThan">
      <formula>_xludf.today()</formula>
    </cfRule>
  </conditionalFormatting>
  <conditionalFormatting sqref="B27:G29 B30:C30 F30:G30 E26:G26">
    <cfRule type="expression" dxfId="550" priority="270">
      <formula>MOD(ROW(),2)=1</formula>
    </cfRule>
  </conditionalFormatting>
  <conditionalFormatting sqref="F26:G30">
    <cfRule type="cellIs" dxfId="549" priority="264" operator="lessThan">
      <formula>TODAY()</formula>
    </cfRule>
    <cfRule type="timePeriod" dxfId="548" priority="265" timePeriod="last7Days">
      <formula>AND(TODAY()-FLOOR(F26,1)&lt;=6,FLOOR(F26,1)&lt;=TODAY())</formula>
    </cfRule>
    <cfRule type="timePeriod" dxfId="547" priority="266" timePeriod="yesterday">
      <formula>FLOOR(F26,1)=TODAY()-1</formula>
    </cfRule>
    <cfRule type="timePeriod" dxfId="546" priority="267" timePeriod="lastMonth">
      <formula>AND(MONTH(F26)=MONTH(EDATE(TODAY(),0-1)),YEAR(F26)=YEAR(EDATE(TODAY(),0-1)))</formula>
    </cfRule>
    <cfRule type="timePeriod" dxfId="545" priority="268" timePeriod="yesterday">
      <formula>FLOOR(F26,1)=TODAY()-1</formula>
    </cfRule>
    <cfRule type="timePeriod" dxfId="544" priority="269" timePeriod="today">
      <formula>FLOOR(F26,1)=TODAY()</formula>
    </cfRule>
  </conditionalFormatting>
  <conditionalFormatting sqref="B31:G31">
    <cfRule type="expression" dxfId="543" priority="263">
      <formula>MOD(ROW(),2)=1</formula>
    </cfRule>
  </conditionalFormatting>
  <conditionalFormatting sqref="F31:G31">
    <cfRule type="cellIs" dxfId="542" priority="257" operator="lessThan">
      <formula>TODAY()</formula>
    </cfRule>
    <cfRule type="timePeriod" dxfId="541" priority="258" timePeriod="last7Days">
      <formula>AND(TODAY()-FLOOR(F31,1)&lt;=6,FLOOR(F31,1)&lt;=TODAY())</formula>
    </cfRule>
    <cfRule type="timePeriod" dxfId="540" priority="259" timePeriod="yesterday">
      <formula>FLOOR(F31,1)=TODAY()-1</formula>
    </cfRule>
    <cfRule type="timePeriod" dxfId="539" priority="260" timePeriod="lastMonth">
      <formula>AND(MONTH(F31)=MONTH(EDATE(TODAY(),0-1)),YEAR(F31)=YEAR(EDATE(TODAY(),0-1)))</formula>
    </cfRule>
    <cfRule type="timePeriod" dxfId="538" priority="261" timePeriod="yesterday">
      <formula>FLOOR(F31,1)=TODAY()-1</formula>
    </cfRule>
    <cfRule type="timePeriod" dxfId="537" priority="262" timePeriod="today">
      <formula>FLOOR(F31,1)=TODAY()</formula>
    </cfRule>
  </conditionalFormatting>
  <conditionalFormatting sqref="I15:I30">
    <cfRule type="expression" dxfId="536" priority="252">
      <formula>MOD(ROW(),2)=1</formula>
    </cfRule>
  </conditionalFormatting>
  <conditionalFormatting sqref="F14:F15">
    <cfRule type="timePeriod" dxfId="535" priority="237" timePeriod="yesterday">
      <formula>FLOOR(F14,1)=TODAY()-1</formula>
    </cfRule>
    <cfRule type="timePeriod" dxfId="534" priority="238" timePeriod="today">
      <formula>FLOOR(F14,1)=TODAY()</formula>
    </cfRule>
    <cfRule type="cellIs" dxfId="533" priority="239" operator="lessThan">
      <formula>_xludf.today()</formula>
    </cfRule>
  </conditionalFormatting>
  <conditionalFormatting sqref="F16">
    <cfRule type="timePeriod" dxfId="532" priority="234" timePeriod="yesterday">
      <formula>FLOOR(F16,1)=TODAY()-1</formula>
    </cfRule>
    <cfRule type="timePeriod" dxfId="531" priority="235" timePeriod="today">
      <formula>FLOOR(F16,1)=TODAY()</formula>
    </cfRule>
    <cfRule type="cellIs" dxfId="530" priority="236" operator="lessThan">
      <formula>_xludf.today()</formula>
    </cfRule>
  </conditionalFormatting>
  <conditionalFormatting sqref="F19">
    <cfRule type="timePeriod" dxfId="529" priority="231" timePeriod="yesterday">
      <formula>FLOOR(F19,1)=TODAY()-1</formula>
    </cfRule>
    <cfRule type="timePeriod" dxfId="528" priority="232" timePeriod="today">
      <formula>FLOOR(F19,1)=TODAY()</formula>
    </cfRule>
    <cfRule type="cellIs" dxfId="527" priority="233" operator="lessThan">
      <formula>_xludf.today()</formula>
    </cfRule>
  </conditionalFormatting>
  <conditionalFormatting sqref="B27:B28">
    <cfRule type="expression" dxfId="526" priority="228">
      <formula>MOD(ROW(),2)=1</formula>
    </cfRule>
  </conditionalFormatting>
  <conditionalFormatting sqref="I68">
    <cfRule type="expression" dxfId="525" priority="226">
      <formula>MOD(ROW(),2)=1</formula>
    </cfRule>
  </conditionalFormatting>
  <conditionalFormatting sqref="I68">
    <cfRule type="expression" dxfId="524" priority="225">
      <formula>MOD(ROW(),2)=1</formula>
    </cfRule>
  </conditionalFormatting>
  <conditionalFormatting sqref="H68">
    <cfRule type="expression" dxfId="523" priority="224">
      <formula>MOD(ROW(),2)=1</formula>
    </cfRule>
  </conditionalFormatting>
  <conditionalFormatting sqref="H97">
    <cfRule type="expression" dxfId="522" priority="223">
      <formula>MOD(ROW(),2)=1</formula>
    </cfRule>
  </conditionalFormatting>
  <conditionalFormatting sqref="I31">
    <cfRule type="expression" dxfId="521" priority="221">
      <formula>MOD(ROW(),2)=1</formula>
    </cfRule>
  </conditionalFormatting>
  <conditionalFormatting sqref="I12">
    <cfRule type="expression" dxfId="520" priority="217">
      <formula>MOD(ROW(),2)=1</formula>
    </cfRule>
  </conditionalFormatting>
  <conditionalFormatting sqref="I92">
    <cfRule type="expression" dxfId="519" priority="181">
      <formula>MOD(ROW(),2)=1</formula>
    </cfRule>
  </conditionalFormatting>
  <conditionalFormatting sqref="D30">
    <cfRule type="expression" dxfId="518" priority="176">
      <formula>MOD(ROW(),2)=1</formula>
    </cfRule>
  </conditionalFormatting>
  <conditionalFormatting sqref="E30">
    <cfRule type="expression" dxfId="517" priority="175">
      <formula>MOD(ROW(),2)=1</formula>
    </cfRule>
  </conditionalFormatting>
  <conditionalFormatting sqref="B32:G32">
    <cfRule type="expression" dxfId="516" priority="141">
      <formula>MOD(ROW(),2)=1</formula>
    </cfRule>
  </conditionalFormatting>
  <conditionalFormatting sqref="F32:G32">
    <cfRule type="cellIs" dxfId="515" priority="135" operator="lessThan">
      <formula>TODAY()</formula>
    </cfRule>
    <cfRule type="timePeriod" dxfId="514" priority="136" timePeriod="last7Days">
      <formula>AND(TODAY()-FLOOR(F32,1)&lt;=6,FLOOR(F32,1)&lt;=TODAY())</formula>
    </cfRule>
    <cfRule type="timePeriod" dxfId="513" priority="137" timePeriod="yesterday">
      <formula>FLOOR(F32,1)=TODAY()-1</formula>
    </cfRule>
    <cfRule type="timePeriod" dxfId="512" priority="138" timePeriod="lastMonth">
      <formula>AND(MONTH(F32)=MONTH(EDATE(TODAY(),0-1)),YEAR(F32)=YEAR(EDATE(TODAY(),0-1)))</formula>
    </cfRule>
    <cfRule type="timePeriod" dxfId="511" priority="139" timePeriod="yesterday">
      <formula>FLOOR(F32,1)=TODAY()-1</formula>
    </cfRule>
    <cfRule type="timePeriod" dxfId="510" priority="140" timePeriod="today">
      <formula>FLOOR(F32,1)=TODAY()</formula>
    </cfRule>
  </conditionalFormatting>
  <conditionalFormatting sqref="I32">
    <cfRule type="expression" dxfId="509" priority="133">
      <formula>MOD(ROW(),2)=1</formula>
    </cfRule>
  </conditionalFormatting>
  <conditionalFormatting sqref="I32">
    <cfRule type="expression" dxfId="508" priority="132">
      <formula>MOD(ROW(),2)=1</formula>
    </cfRule>
  </conditionalFormatting>
  <conditionalFormatting sqref="H32">
    <cfRule type="expression" dxfId="507" priority="131">
      <formula>MOD(ROW(),2)=1</formula>
    </cfRule>
  </conditionalFormatting>
  <conditionalFormatting sqref="B45:G46 B57:E57 B59:E59 G59 G57">
    <cfRule type="expression" dxfId="506" priority="119">
      <formula>MOD(ROW(),2)=1</formula>
    </cfRule>
  </conditionalFormatting>
  <conditionalFormatting sqref="F45:G46 G57 G59">
    <cfRule type="cellIs" dxfId="505" priority="113" operator="lessThan">
      <formula>TODAY()</formula>
    </cfRule>
    <cfRule type="timePeriod" dxfId="504" priority="114" timePeriod="last7Days">
      <formula>AND(TODAY()-FLOOR(F45,1)&lt;=6,FLOOR(F45,1)&lt;=TODAY())</formula>
    </cfRule>
    <cfRule type="timePeriod" dxfId="503" priority="115" timePeriod="yesterday">
      <formula>FLOOR(F45,1)=TODAY()-1</formula>
    </cfRule>
    <cfRule type="timePeriod" dxfId="502" priority="116" timePeriod="lastMonth">
      <formula>AND(MONTH(F45)=MONTH(EDATE(TODAY(),0-1)),YEAR(F45)=YEAR(EDATE(TODAY(),0-1)))</formula>
    </cfRule>
    <cfRule type="timePeriod" dxfId="501" priority="117" timePeriod="yesterday">
      <formula>FLOOR(F45,1)=TODAY()-1</formula>
    </cfRule>
    <cfRule type="timePeriod" dxfId="500" priority="118" timePeriod="today">
      <formula>FLOOR(F45,1)=TODAY()</formula>
    </cfRule>
  </conditionalFormatting>
  <conditionalFormatting sqref="D33:G33 D36:E37 D40:E41 D44:G44 D55:E56 D60:E61 G40:G41 G36:G37 G60:G61 G55:G56">
    <cfRule type="expression" dxfId="499" priority="112">
      <formula>MOD(ROW(),2)=1</formula>
    </cfRule>
  </conditionalFormatting>
  <conditionalFormatting sqref="F33:G33 G36:G37 G40:G41 F44:G44 G55:G56 G60:G61">
    <cfRule type="cellIs" dxfId="498" priority="106" operator="lessThan">
      <formula>TODAY()</formula>
    </cfRule>
    <cfRule type="timePeriod" dxfId="497" priority="107" timePeriod="last7Days">
      <formula>AND(TODAY()-FLOOR(F33,1)&lt;=6,FLOOR(F33,1)&lt;=TODAY())</formula>
    </cfRule>
    <cfRule type="timePeriod" dxfId="496" priority="108" timePeriod="yesterday">
      <formula>FLOOR(F33,1)=TODAY()-1</formula>
    </cfRule>
    <cfRule type="timePeriod" dxfId="495" priority="109" timePeriod="lastMonth">
      <formula>AND(MONTH(F33)=MONTH(EDATE(TODAY(),0-1)),YEAR(F33)=YEAR(EDATE(TODAY(),0-1)))</formula>
    </cfRule>
    <cfRule type="timePeriod" dxfId="494" priority="110" timePeriod="yesterday">
      <formula>FLOOR(F33,1)=TODAY()-1</formula>
    </cfRule>
    <cfRule type="timePeriod" dxfId="493" priority="111" timePeriod="today">
      <formula>FLOOR(F33,1)=TODAY()</formula>
    </cfRule>
  </conditionalFormatting>
  <conditionalFormatting sqref="B34:G35 B38:E39 B43:G43 B50:G50 B53:E54 B33:C33 B36:C37 B40:C41 B44:C44 B55:C56 B60:C61 B42:E42 G42 G38:G39 G53:G54">
    <cfRule type="expression" dxfId="492" priority="105">
      <formula>MOD(ROW(),2)=1</formula>
    </cfRule>
  </conditionalFormatting>
  <conditionalFormatting sqref="F34:G35 G38:G39 F43:G43 F50:G50 G53:G54 G42">
    <cfRule type="cellIs" dxfId="491" priority="99" operator="lessThan">
      <formula>TODAY()</formula>
    </cfRule>
    <cfRule type="timePeriod" dxfId="490" priority="100" timePeriod="last7Days">
      <formula>AND(TODAY()-FLOOR(F34,1)&lt;=6,FLOOR(F34,1)&lt;=TODAY())</formula>
    </cfRule>
    <cfRule type="timePeriod" dxfId="489" priority="101" timePeriod="yesterday">
      <formula>FLOOR(F34,1)=TODAY()-1</formula>
    </cfRule>
    <cfRule type="timePeriod" dxfId="488" priority="102" timePeriod="lastMonth">
      <formula>AND(MONTH(F34)=MONTH(EDATE(TODAY(),0-1)),YEAR(F34)=YEAR(EDATE(TODAY(),0-1)))</formula>
    </cfRule>
    <cfRule type="timePeriod" dxfId="487" priority="103" timePeriod="yesterday">
      <formula>FLOOR(F34,1)=TODAY()-1</formula>
    </cfRule>
    <cfRule type="timePeriod" dxfId="486" priority="104" timePeriod="today">
      <formula>FLOOR(F34,1)=TODAY()</formula>
    </cfRule>
  </conditionalFormatting>
  <conditionalFormatting sqref="I34 I38 I42 I45 I50 I53">
    <cfRule type="expression" dxfId="485" priority="97">
      <formula>MOD(ROW(),2)=1</formula>
    </cfRule>
  </conditionalFormatting>
  <conditionalFormatting sqref="I35 I39 I43 I46 I48 I54 I57 I59">
    <cfRule type="expression" dxfId="484" priority="96">
      <formula>MOD(ROW(),2)=1</formula>
    </cfRule>
  </conditionalFormatting>
  <conditionalFormatting sqref="I33 I36:I37 I40:I41 I44 I55:I56 I60:I61">
    <cfRule type="expression" dxfId="483" priority="95">
      <formula>MOD(ROW(),2)=1</formula>
    </cfRule>
  </conditionalFormatting>
  <conditionalFormatting sqref="H48">
    <cfRule type="expression" dxfId="482" priority="94">
      <formula>MOD(ROW(),2)=1</formula>
    </cfRule>
  </conditionalFormatting>
  <conditionalFormatting sqref="B48:D48 F48:G48">
    <cfRule type="expression" dxfId="481" priority="93">
      <formula>MOD(ROW(),2)=1</formula>
    </cfRule>
  </conditionalFormatting>
  <conditionalFormatting sqref="F48:G48">
    <cfRule type="cellIs" dxfId="480" priority="87" operator="lessThan">
      <formula>TODAY()</formula>
    </cfRule>
    <cfRule type="timePeriod" dxfId="479" priority="88" timePeriod="last7Days">
      <formula>AND(TODAY()-FLOOR(F48,1)&lt;=6,FLOOR(F48,1)&lt;=TODAY())</formula>
    </cfRule>
    <cfRule type="timePeriod" dxfId="478" priority="89" timePeriod="yesterday">
      <formula>FLOOR(F48,1)=TODAY()-1</formula>
    </cfRule>
    <cfRule type="timePeriod" dxfId="477" priority="90" timePeriod="lastMonth">
      <formula>AND(MONTH(F48)=MONTH(EDATE(TODAY(),0-1)),YEAR(F48)=YEAR(EDATE(TODAY(),0-1)))</formula>
    </cfRule>
    <cfRule type="timePeriod" dxfId="476" priority="91" timePeriod="yesterday">
      <formula>FLOOR(F48,1)=TODAY()-1</formula>
    </cfRule>
    <cfRule type="timePeriod" dxfId="475" priority="92" timePeriod="today">
      <formula>FLOOR(F48,1)=TODAY()</formula>
    </cfRule>
  </conditionalFormatting>
  <conditionalFormatting sqref="B62:E62 G62:I62">
    <cfRule type="expression" dxfId="474" priority="78">
      <formula>MOD(ROW(),2)=1</formula>
    </cfRule>
  </conditionalFormatting>
  <conditionalFormatting sqref="G62">
    <cfRule type="cellIs" dxfId="473" priority="72" operator="lessThan">
      <formula>TODAY()</formula>
    </cfRule>
    <cfRule type="timePeriod" dxfId="472" priority="73" timePeriod="last7Days">
      <formula>AND(TODAY()-FLOOR(G62,1)&lt;=6,FLOOR(G62,1)&lt;=TODAY())</formula>
    </cfRule>
    <cfRule type="timePeriod" dxfId="471" priority="74" timePeriod="yesterday">
      <formula>FLOOR(G62,1)=TODAY()-1</formula>
    </cfRule>
    <cfRule type="timePeriod" dxfId="470" priority="75" timePeriod="lastMonth">
      <formula>AND(MONTH(G62)=MONTH(EDATE(TODAY(),0-1)),YEAR(G62)=YEAR(EDATE(TODAY(),0-1)))</formula>
    </cfRule>
    <cfRule type="timePeriod" dxfId="469" priority="76" timePeriod="yesterday">
      <formula>FLOOR(G62,1)=TODAY()-1</formula>
    </cfRule>
    <cfRule type="timePeriod" dxfId="468" priority="77" timePeriod="today">
      <formula>FLOOR(G62,1)=TODAY()</formula>
    </cfRule>
  </conditionalFormatting>
  <conditionalFormatting sqref="F36:F42">
    <cfRule type="expression" dxfId="467" priority="51">
      <formula>MOD(ROW(),2)=1</formula>
    </cfRule>
  </conditionalFormatting>
  <conditionalFormatting sqref="F36:F42">
    <cfRule type="cellIs" dxfId="466" priority="45" operator="lessThan">
      <formula>TODAY()</formula>
    </cfRule>
    <cfRule type="timePeriod" dxfId="465" priority="46" timePeriod="last7Days">
      <formula>AND(TODAY()-FLOOR(F36,1)&lt;=6,FLOOR(F36,1)&lt;=TODAY())</formula>
    </cfRule>
    <cfRule type="timePeriod" dxfId="464" priority="47" timePeriod="yesterday">
      <formula>FLOOR(F36,1)=TODAY()-1</formula>
    </cfRule>
    <cfRule type="timePeriod" dxfId="463" priority="48" timePeriod="lastMonth">
      <formula>AND(MONTH(F36)=MONTH(EDATE(TODAY(),0-1)),YEAR(F36)=YEAR(EDATE(TODAY(),0-1)))</formula>
    </cfRule>
    <cfRule type="timePeriod" dxfId="462" priority="49" timePeriod="yesterday">
      <formula>FLOOR(F36,1)=TODAY()-1</formula>
    </cfRule>
    <cfRule type="timePeriod" dxfId="461" priority="50" timePeriod="today">
      <formula>FLOOR(F36,1)=TODAY()</formula>
    </cfRule>
  </conditionalFormatting>
  <conditionalFormatting sqref="B63:E63 G63:I63">
    <cfRule type="expression" dxfId="460" priority="43">
      <formula>MOD(ROW(),2)=1</formula>
    </cfRule>
  </conditionalFormatting>
  <conditionalFormatting sqref="G63">
    <cfRule type="cellIs" dxfId="459" priority="37" operator="lessThan">
      <formula>TODAY()</formula>
    </cfRule>
    <cfRule type="timePeriod" dxfId="458" priority="38" timePeriod="last7Days">
      <formula>AND(TODAY()-FLOOR(G63,1)&lt;=6,FLOOR(G63,1)&lt;=TODAY())</formula>
    </cfRule>
    <cfRule type="timePeriod" dxfId="457" priority="39" timePeriod="yesterday">
      <formula>FLOOR(G63,1)=TODAY()-1</formula>
    </cfRule>
    <cfRule type="timePeriod" dxfId="456" priority="40" timePeriod="lastMonth">
      <formula>AND(MONTH(G63)=MONTH(EDATE(TODAY(),0-1)),YEAR(G63)=YEAR(EDATE(TODAY(),0-1)))</formula>
    </cfRule>
    <cfRule type="timePeriod" dxfId="455" priority="41" timePeriod="yesterday">
      <formula>FLOOR(G63,1)=TODAY()-1</formula>
    </cfRule>
    <cfRule type="timePeriod" dxfId="454" priority="42" timePeriod="today">
      <formula>FLOOR(G63,1)=TODAY()</formula>
    </cfRule>
  </conditionalFormatting>
  <conditionalFormatting sqref="B80:D84 F80:G84 B69:G71 B85:G90">
    <cfRule type="expression" dxfId="453" priority="34">
      <formula>MOD(ROW(),2)=1</formula>
    </cfRule>
  </conditionalFormatting>
  <conditionalFormatting sqref="F69:G71">
    <cfRule type="cellIs" dxfId="452" priority="28" operator="lessThan">
      <formula>TODAY()</formula>
    </cfRule>
    <cfRule type="timePeriod" dxfId="451" priority="29" timePeriod="last7Days">
      <formula>AND(TODAY()-FLOOR(F69,1)&lt;=6,FLOOR(F69,1)&lt;=TODAY())</formula>
    </cfRule>
    <cfRule type="timePeriod" dxfId="450" priority="30" timePeriod="yesterday">
      <formula>FLOOR(F69,1)=TODAY()-1</formula>
    </cfRule>
    <cfRule type="timePeriod" dxfId="449" priority="31" timePeriod="lastMonth">
      <formula>AND(MONTH(F69)=MONTH(EDATE(TODAY(),0-1)),YEAR(F69)=YEAR(EDATE(TODAY(),0-1)))</formula>
    </cfRule>
    <cfRule type="timePeriod" dxfId="448" priority="32" timePeriod="yesterday">
      <formula>FLOOR(F69,1)=TODAY()-1</formula>
    </cfRule>
    <cfRule type="timePeriod" dxfId="447" priority="33" timePeriod="today">
      <formula>FLOOR(F69,1)=TODAY()</formula>
    </cfRule>
  </conditionalFormatting>
  <conditionalFormatting sqref="I86">
    <cfRule type="expression" dxfId="446" priority="26">
      <formula>MOD(ROW(),2)=1</formula>
    </cfRule>
  </conditionalFormatting>
  <conditionalFormatting sqref="E80:E84">
    <cfRule type="expression" dxfId="445" priority="25">
      <formula>MOD(ROW(),2)=1</formula>
    </cfRule>
  </conditionalFormatting>
  <conditionalFormatting sqref="H72:I74">
    <cfRule type="expression" dxfId="444" priority="23">
      <formula>MOD(ROW(),2)=1</formula>
    </cfRule>
  </conditionalFormatting>
  <conditionalFormatting sqref="B72:G74">
    <cfRule type="expression" dxfId="443" priority="22">
      <formula>MOD(ROW(),2)=1</formula>
    </cfRule>
  </conditionalFormatting>
  <conditionalFormatting sqref="F72:G74">
    <cfRule type="cellIs" dxfId="442" priority="16" operator="lessThan">
      <formula>TODAY()</formula>
    </cfRule>
    <cfRule type="timePeriod" dxfId="441" priority="17" timePeriod="last7Days">
      <formula>AND(TODAY()-FLOOR(F72,1)&lt;=6,FLOOR(F72,1)&lt;=TODAY())</formula>
    </cfRule>
    <cfRule type="timePeriod" dxfId="440" priority="18" timePeriod="yesterday">
      <formula>FLOOR(F72,1)=TODAY()-1</formula>
    </cfRule>
    <cfRule type="timePeriod" dxfId="439" priority="19" timePeriod="lastMonth">
      <formula>AND(MONTH(F72)=MONTH(EDATE(TODAY(),0-1)),YEAR(F72)=YEAR(EDATE(TODAY(),0-1)))</formula>
    </cfRule>
    <cfRule type="timePeriod" dxfId="438" priority="20" timePeriod="yesterday">
      <formula>FLOOR(F72,1)=TODAY()-1</formula>
    </cfRule>
    <cfRule type="timePeriod" dxfId="437" priority="21" timePeriod="today">
      <formula>FLOOR(F72,1)=TODAY()</formula>
    </cfRule>
  </conditionalFormatting>
  <conditionalFormatting sqref="E48">
    <cfRule type="expression" dxfId="436" priority="8">
      <formula>MOD(ROW(),2)=1</formula>
    </cfRule>
  </conditionalFormatting>
  <conditionalFormatting sqref="B66:I67">
    <cfRule type="expression" dxfId="435" priority="7">
      <formula>MOD(ROW(),2)=1</formula>
    </cfRule>
  </conditionalFormatting>
  <conditionalFormatting sqref="F66:G67">
    <cfRule type="cellIs" dxfId="434" priority="1" operator="lessThan">
      <formula>TODAY()</formula>
    </cfRule>
    <cfRule type="timePeriod" dxfId="433" priority="2" timePeriod="last7Days">
      <formula>AND(TODAY()-FLOOR(F66,1)&lt;=6,FLOOR(F66,1)&lt;=TODAY())</formula>
    </cfRule>
    <cfRule type="timePeriod" dxfId="432" priority="3" timePeriod="yesterday">
      <formula>FLOOR(F66,1)=TODAY()-1</formula>
    </cfRule>
    <cfRule type="timePeriod" dxfId="431" priority="4" timePeriod="lastMonth">
      <formula>AND(MONTH(F66)=MONTH(EDATE(TODAY(),0-1)),YEAR(F66)=YEAR(EDATE(TODAY(),0-1)))</formula>
    </cfRule>
    <cfRule type="timePeriod" dxfId="430" priority="5" timePeriod="yesterday">
      <formula>FLOOR(F66,1)=TODAY()-1</formula>
    </cfRule>
    <cfRule type="timePeriod" dxfId="429" priority="6" timePeriod="today">
      <formula>FLOOR(F66,1)=TODAY()</formula>
    </cfRule>
  </conditionalFormatting>
  <printOptions horizontalCentered="1"/>
  <pageMargins left="0.25" right="0.25" top="0.75" bottom="0.75" header="0.3" footer="0.3"/>
  <pageSetup paperSize="9" scale="63" fitToHeight="0" orientation="landscape" r:id="rId1"/>
  <headerFooter>
    <oddHeader>&amp;C&amp;"+,Bold"&amp;12&amp;K04-047Bill Paying&amp;"+,Regular" - CHECKLIST</oddHeader>
    <oddFooter>&amp;C&amp;K04+000Page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90" id="{1F248D4A-436F-4BBD-B451-497D88DEFA6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291" id="{90C9E58E-9F0A-42D2-BE2A-148E92EBABC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A69 A33 A2</xm:sqref>
        </x14:conditionalFormatting>
        <x14:conditionalFormatting xmlns:xm="http://schemas.microsoft.com/office/excel/2006/main">
          <x14:cfRule type="iconSet" priority="256" id="{976584AB-8A69-4CAC-8F8D-DC17F49DC48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255" id="{603B7BB0-01B8-43E4-B56A-36F495C044E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I6:I8</xm:sqref>
        </x14:conditionalFormatting>
        <x14:conditionalFormatting xmlns:xm="http://schemas.microsoft.com/office/excel/2006/main">
          <x14:cfRule type="iconSet" priority="254" id="{8278D913-13D3-444A-82AC-05C27882DE4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I11</xm:sqref>
        </x14:conditionalFormatting>
        <x14:conditionalFormatting xmlns:xm="http://schemas.microsoft.com/office/excel/2006/main">
          <x14:cfRule type="iconSet" priority="253" id="{D3D292EB-2690-4917-9B8F-1E424B07B04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I15:I30</xm:sqref>
        </x14:conditionalFormatting>
        <x14:conditionalFormatting xmlns:xm="http://schemas.microsoft.com/office/excel/2006/main">
          <x14:cfRule type="iconSet" priority="251" id="{B2597E53-917E-4843-AF83-2730A833B0D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I15</xm:sqref>
        </x14:conditionalFormatting>
        <x14:conditionalFormatting xmlns:xm="http://schemas.microsoft.com/office/excel/2006/main">
          <x14:cfRule type="iconSet" priority="250" id="{4CE8B125-5EE4-4701-A3F0-6A9008CA036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I16</xm:sqref>
        </x14:conditionalFormatting>
        <x14:conditionalFormatting xmlns:xm="http://schemas.microsoft.com/office/excel/2006/main">
          <x14:cfRule type="iconSet" priority="249" id="{80853A54-54AB-4617-A730-2837FC90F46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I20:I25</xm:sqref>
        </x14:conditionalFormatting>
        <x14:conditionalFormatting xmlns:xm="http://schemas.microsoft.com/office/excel/2006/main">
          <x14:cfRule type="iconSet" priority="292" id="{7355AFFB-40AB-450A-8AEE-F409CF12504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I13:I14 I3:I11</xm:sqref>
        </x14:conditionalFormatting>
        <x14:conditionalFormatting xmlns:xm="http://schemas.microsoft.com/office/excel/2006/main">
          <x14:cfRule type="iconSet" priority="218" id="{3E682CC4-B6A2-4E8E-AB1F-ED850D20BE2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I12</xm:sqref>
        </x14:conditionalFormatting>
        <x14:conditionalFormatting xmlns:xm="http://schemas.microsoft.com/office/excel/2006/main">
          <x14:cfRule type="iconSet" priority="293" id="{3F94E168-8314-410E-B563-5FB0FF6BE0C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I3:I8</xm:sqref>
        </x14:conditionalFormatting>
        <x14:conditionalFormatting xmlns:xm="http://schemas.microsoft.com/office/excel/2006/main">
          <x14:cfRule type="iconSet" priority="182" id="{1EF934B0-C699-4796-BB32-0474534B525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I92</xm:sqref>
        </x14:conditionalFormatting>
        <x14:conditionalFormatting xmlns:xm="http://schemas.microsoft.com/office/excel/2006/main">
          <x14:cfRule type="iconSet" priority="294" id="{89721D8A-B8CB-4844-B7EB-B23D1D2D5B2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I91 I93:I97</xm:sqref>
        </x14:conditionalFormatting>
        <x14:conditionalFormatting xmlns:xm="http://schemas.microsoft.com/office/excel/2006/main">
          <x14:cfRule type="iconSet" priority="134" id="{B46FE9A3-13B4-4BB2-97A4-688088F644B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I32</xm:sqref>
        </x14:conditionalFormatting>
        <x14:conditionalFormatting xmlns:xm="http://schemas.microsoft.com/office/excel/2006/main">
          <x14:cfRule type="iconSet" priority="1735" id="{EC058287-4598-42EE-8AD4-6FD203B48BF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I68</xm:sqref>
        </x14:conditionalFormatting>
        <x14:conditionalFormatting xmlns:xm="http://schemas.microsoft.com/office/excel/2006/main">
          <x14:cfRule type="iconSet" priority="98" id="{3EED5540-16CA-4D49-A11B-6FD201A358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I53 I50 I34 I38 I42 I45</xm:sqref>
        </x14:conditionalFormatting>
        <x14:conditionalFormatting xmlns:xm="http://schemas.microsoft.com/office/excel/2006/main">
          <x14:cfRule type="iconSet" priority="120" id="{8A513540-B7CE-4C83-8C0A-12F40B0728A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I59 I54 I35 I39 I43 I46 I48 I57</xm:sqref>
        </x14:conditionalFormatting>
        <x14:conditionalFormatting xmlns:xm="http://schemas.microsoft.com/office/excel/2006/main">
          <x14:cfRule type="iconSet" priority="79" id="{E7E54A7E-7AEB-49FB-92C5-430D7E7784E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I62</xm:sqref>
        </x14:conditionalFormatting>
        <x14:conditionalFormatting xmlns:xm="http://schemas.microsoft.com/office/excel/2006/main">
          <x14:cfRule type="iconSet" priority="121" id="{C706CF2F-5C87-433C-BF2D-2517442E2AB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I60:I61 I55:I56 I33 I36:I37 I40:I41 I44 I47 I49 I51:I52 I58</xm:sqref>
        </x14:conditionalFormatting>
        <x14:conditionalFormatting xmlns:xm="http://schemas.microsoft.com/office/excel/2006/main">
          <x14:cfRule type="iconSet" priority="44" id="{D2A3E179-649C-4BFF-86EE-77064BEBAD0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I63</xm:sqref>
        </x14:conditionalFormatting>
        <x14:conditionalFormatting xmlns:xm="http://schemas.microsoft.com/office/excel/2006/main">
          <x14:cfRule type="iconSet" priority="27" id="{9C802640-4D44-439B-82E8-29EBD5B1CA1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I86</xm:sqref>
        </x14:conditionalFormatting>
        <x14:conditionalFormatting xmlns:xm="http://schemas.microsoft.com/office/excel/2006/main">
          <x14:cfRule type="iconSet" priority="35" id="{0C825BBD-3BFD-4CD3-96E5-381C15903E7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I80:I85 I87:I90</xm:sqref>
        </x14:conditionalFormatting>
        <x14:conditionalFormatting xmlns:xm="http://schemas.microsoft.com/office/excel/2006/main">
          <x14:cfRule type="iconSet" priority="1875" id="{704B45C6-9454-4A05-9033-DFA8559EC7B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I31</xm:sqref>
        </x14:conditionalFormatting>
        <x14:conditionalFormatting xmlns:xm="http://schemas.microsoft.com/office/excel/2006/main">
          <x14:cfRule type="iconSet" priority="1887" id="{7E217467-FA8F-4113-A12B-259820D3139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I69:I71 I75:I79</xm:sqref>
        </x14:conditionalFormatting>
        <x14:conditionalFormatting xmlns:xm="http://schemas.microsoft.com/office/excel/2006/main">
          <x14:cfRule type="iconSet" priority="24" id="{5BB9B4AB-01D1-4237-B226-E0B6742EE6D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I72:I74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5CB8-85BC-4AA1-9052-A09F9591379D}">
  <sheetPr>
    <tabColor rgb="FF002060"/>
    <pageSetUpPr autoPageBreaks="0" fitToPage="1"/>
  </sheetPr>
  <dimension ref="A1:M108"/>
  <sheetViews>
    <sheetView showGridLines="0" tabSelected="1" zoomScale="85" zoomScaleNormal="85" zoomScaleSheetLayoutView="85" zoomScalePageLayoutView="55" workbookViewId="0">
      <pane ySplit="1" topLeftCell="A20" activePane="bottomLeft" state="frozen"/>
      <selection activeCell="C73" sqref="C73"/>
      <selection pane="bottomLeft" activeCell="B29" sqref="B29:C29"/>
    </sheetView>
  </sheetViews>
  <sheetFormatPr baseColWidth="10" defaultColWidth="9.140625" defaultRowHeight="21" customHeight="1" x14ac:dyDescent="0.25"/>
  <cols>
    <col min="1" max="1" width="22.85546875" style="122" customWidth="1"/>
    <col min="2" max="2" width="27.140625" style="105" customWidth="1"/>
    <col min="3" max="3" width="24.5703125" style="272" customWidth="1"/>
    <col min="4" max="4" width="24" style="123" customWidth="1"/>
    <col min="5" max="5" width="45.7109375" style="83" customWidth="1"/>
    <col min="6" max="6" width="20.42578125" style="120" customWidth="1"/>
    <col min="7" max="7" width="20.42578125" style="287" customWidth="1"/>
    <col min="8" max="8" width="21" style="83" customWidth="1"/>
    <col min="9" max="9" width="19.85546875" style="121" customWidth="1"/>
    <col min="10" max="11" width="9.140625" style="58"/>
    <col min="12" max="12" width="11.42578125" style="58" bestFit="1" customWidth="1"/>
    <col min="13" max="16384" width="9.140625" style="58"/>
  </cols>
  <sheetData>
    <row r="1" spans="1:12" s="163" customFormat="1" ht="24" customHeight="1" x14ac:dyDescent="0.25">
      <c r="A1" s="99" t="s">
        <v>101</v>
      </c>
      <c r="B1" s="99" t="s">
        <v>143</v>
      </c>
      <c r="C1" s="264" t="s">
        <v>142</v>
      </c>
      <c r="D1" s="99" t="s">
        <v>148</v>
      </c>
      <c r="E1" s="99" t="s">
        <v>141</v>
      </c>
      <c r="F1" s="99" t="s">
        <v>103</v>
      </c>
      <c r="G1" s="279" t="s">
        <v>487</v>
      </c>
      <c r="H1" s="99" t="s">
        <v>494</v>
      </c>
      <c r="I1" s="107" t="s">
        <v>105</v>
      </c>
    </row>
    <row r="2" spans="1:12" ht="18.600000000000001" customHeight="1" x14ac:dyDescent="0.25">
      <c r="A2" s="523" t="s">
        <v>122</v>
      </c>
      <c r="B2" s="289" t="s">
        <v>645</v>
      </c>
      <c r="C2" s="265" t="s">
        <v>883</v>
      </c>
      <c r="D2" s="110">
        <v>3297.46</v>
      </c>
      <c r="E2" s="89" t="s">
        <v>188</v>
      </c>
      <c r="F2" s="108">
        <v>44772</v>
      </c>
      <c r="G2" s="280"/>
      <c r="H2" s="277">
        <f t="shared" ref="H2:H35" si="0">D2-G2</f>
        <v>3297.46</v>
      </c>
      <c r="I2" s="109"/>
    </row>
    <row r="3" spans="1:12" ht="18.600000000000001" customHeight="1" x14ac:dyDescent="0.25">
      <c r="A3" s="523"/>
      <c r="B3" s="289" t="s">
        <v>645</v>
      </c>
      <c r="C3" s="265" t="s">
        <v>884</v>
      </c>
      <c r="D3" s="110">
        <v>380.11</v>
      </c>
      <c r="E3" s="89" t="s">
        <v>188</v>
      </c>
      <c r="F3" s="108">
        <v>44772</v>
      </c>
      <c r="G3" s="280"/>
      <c r="H3" s="277">
        <f t="shared" si="0"/>
        <v>380.11</v>
      </c>
      <c r="I3" s="109"/>
    </row>
    <row r="4" spans="1:12" ht="18.600000000000001" customHeight="1" x14ac:dyDescent="0.3">
      <c r="A4" s="523"/>
      <c r="B4" s="289" t="s">
        <v>243</v>
      </c>
      <c r="C4" s="265" t="s">
        <v>885</v>
      </c>
      <c r="D4" s="110">
        <v>3656.76</v>
      </c>
      <c r="E4" s="89" t="s">
        <v>624</v>
      </c>
      <c r="F4" s="108">
        <v>44773</v>
      </c>
      <c r="G4" s="280"/>
      <c r="H4" s="277">
        <f t="shared" si="0"/>
        <v>3656.76</v>
      </c>
      <c r="I4" s="109"/>
      <c r="K4" s="249"/>
    </row>
    <row r="5" spans="1:12" ht="18.600000000000001" customHeight="1" x14ac:dyDescent="0.3">
      <c r="A5" s="523"/>
      <c r="B5" s="289" t="s">
        <v>231</v>
      </c>
      <c r="C5" s="265" t="s">
        <v>886</v>
      </c>
      <c r="D5" s="110">
        <v>1210.57</v>
      </c>
      <c r="E5" s="89"/>
      <c r="F5" s="108">
        <v>44773</v>
      </c>
      <c r="G5" s="280"/>
      <c r="H5" s="277">
        <f t="shared" si="0"/>
        <v>1210.57</v>
      </c>
      <c r="I5" s="109"/>
      <c r="K5" s="76"/>
    </row>
    <row r="6" spans="1:12" ht="18.600000000000001" customHeight="1" x14ac:dyDescent="0.3">
      <c r="A6" s="523"/>
      <c r="B6" s="289" t="s">
        <v>154</v>
      </c>
      <c r="C6" s="265" t="s">
        <v>889</v>
      </c>
      <c r="D6" s="110">
        <v>3667.15</v>
      </c>
      <c r="E6" s="89"/>
      <c r="F6" s="108">
        <v>44773</v>
      </c>
      <c r="G6" s="280"/>
      <c r="H6" s="277">
        <f t="shared" si="0"/>
        <v>3667.15</v>
      </c>
      <c r="I6" s="109"/>
      <c r="K6" s="76" t="s">
        <v>479</v>
      </c>
    </row>
    <row r="7" spans="1:12" ht="18.600000000000001" customHeight="1" x14ac:dyDescent="0.3">
      <c r="A7" s="523"/>
      <c r="B7" s="289" t="s">
        <v>254</v>
      </c>
      <c r="C7" s="265" t="s">
        <v>890</v>
      </c>
      <c r="D7" s="110">
        <v>311.07</v>
      </c>
      <c r="E7" s="89" t="s">
        <v>624</v>
      </c>
      <c r="F7" s="108">
        <v>44773</v>
      </c>
      <c r="G7" s="280"/>
      <c r="H7" s="277">
        <f t="shared" si="0"/>
        <v>311.07</v>
      </c>
      <c r="I7" s="109"/>
      <c r="K7" s="76"/>
    </row>
    <row r="8" spans="1:12" ht="18.600000000000001" customHeight="1" x14ac:dyDescent="0.3">
      <c r="A8" s="523"/>
      <c r="B8" s="289" t="s">
        <v>258</v>
      </c>
      <c r="C8" s="265" t="s">
        <v>893</v>
      </c>
      <c r="D8" s="110">
        <v>666.77</v>
      </c>
      <c r="E8" s="89"/>
      <c r="F8" s="108">
        <v>44772</v>
      </c>
      <c r="G8" s="280"/>
      <c r="H8" s="277">
        <f t="shared" si="0"/>
        <v>666.77</v>
      </c>
      <c r="I8" s="109"/>
      <c r="K8" s="502">
        <f>D106</f>
        <v>223729.03000000003</v>
      </c>
      <c r="L8" s="502"/>
    </row>
    <row r="9" spans="1:12" ht="18.600000000000001" customHeight="1" x14ac:dyDescent="0.3">
      <c r="A9" s="523"/>
      <c r="B9" s="289" t="s">
        <v>258</v>
      </c>
      <c r="C9" s="265" t="s">
        <v>894</v>
      </c>
      <c r="D9" s="110">
        <v>713.62</v>
      </c>
      <c r="E9" s="89"/>
      <c r="F9" s="108">
        <v>44773</v>
      </c>
      <c r="G9" s="280"/>
      <c r="H9" s="277">
        <f t="shared" si="0"/>
        <v>713.62</v>
      </c>
      <c r="I9" s="109"/>
      <c r="K9" s="76"/>
    </row>
    <row r="10" spans="1:12" ht="18.600000000000001" customHeight="1" x14ac:dyDescent="0.3">
      <c r="A10" s="523"/>
      <c r="B10" s="289" t="s">
        <v>258</v>
      </c>
      <c r="C10" s="265" t="s">
        <v>895</v>
      </c>
      <c r="D10" s="110">
        <v>13.66</v>
      </c>
      <c r="E10" s="89" t="s">
        <v>188</v>
      </c>
      <c r="F10" s="108">
        <v>44773</v>
      </c>
      <c r="G10" s="280"/>
      <c r="H10" s="277">
        <f t="shared" si="0"/>
        <v>13.66</v>
      </c>
      <c r="I10" s="288"/>
      <c r="K10" s="502">
        <f>D36</f>
        <v>41285.480000000003</v>
      </c>
      <c r="L10" s="502"/>
    </row>
    <row r="11" spans="1:12" ht="18.600000000000001" customHeight="1" x14ac:dyDescent="0.25">
      <c r="A11" s="523"/>
      <c r="B11" s="289" t="s">
        <v>258</v>
      </c>
      <c r="C11" s="265" t="s">
        <v>896</v>
      </c>
      <c r="D11" s="110">
        <v>427.03</v>
      </c>
      <c r="E11" s="89"/>
      <c r="F11" s="108">
        <v>44773</v>
      </c>
      <c r="G11" s="280"/>
      <c r="H11" s="277">
        <f t="shared" si="0"/>
        <v>427.03</v>
      </c>
      <c r="I11" s="288"/>
    </row>
    <row r="12" spans="1:12" ht="18.600000000000001" customHeight="1" x14ac:dyDescent="0.3">
      <c r="A12" s="523"/>
      <c r="B12" s="289" t="s">
        <v>258</v>
      </c>
      <c r="C12" s="265" t="s">
        <v>897</v>
      </c>
      <c r="D12" s="110">
        <v>314.39999999999998</v>
      </c>
      <c r="E12" s="368"/>
      <c r="F12" s="108">
        <v>44773</v>
      </c>
      <c r="G12" s="280"/>
      <c r="H12" s="277">
        <f t="shared" si="0"/>
        <v>314.39999999999998</v>
      </c>
      <c r="I12" s="288"/>
      <c r="K12" s="76" t="s">
        <v>495</v>
      </c>
    </row>
    <row r="13" spans="1:12" ht="18.600000000000001" customHeight="1" x14ac:dyDescent="0.3">
      <c r="A13" s="523"/>
      <c r="B13" s="289" t="s">
        <v>258</v>
      </c>
      <c r="C13" s="265" t="s">
        <v>898</v>
      </c>
      <c r="D13" s="110">
        <v>2405.54</v>
      </c>
      <c r="E13" s="89"/>
      <c r="F13" s="108">
        <v>44773</v>
      </c>
      <c r="G13" s="280"/>
      <c r="H13" s="277">
        <f t="shared" si="0"/>
        <v>2405.54</v>
      </c>
      <c r="I13" s="288"/>
      <c r="K13" s="502">
        <f>+D106</f>
        <v>223729.03000000003</v>
      </c>
      <c r="L13" s="502"/>
    </row>
    <row r="14" spans="1:12" ht="18.600000000000001" customHeight="1" x14ac:dyDescent="0.25">
      <c r="A14" s="523"/>
      <c r="B14" s="289" t="s">
        <v>254</v>
      </c>
      <c r="C14" s="265" t="s">
        <v>899</v>
      </c>
      <c r="D14" s="110">
        <v>198.54</v>
      </c>
      <c r="E14" s="89"/>
      <c r="F14" s="108">
        <v>44773</v>
      </c>
      <c r="G14" s="281"/>
      <c r="H14" s="277">
        <f t="shared" si="0"/>
        <v>198.54</v>
      </c>
      <c r="I14" s="288"/>
    </row>
    <row r="15" spans="1:12" ht="18.600000000000001" customHeight="1" x14ac:dyDescent="0.3">
      <c r="A15" s="523"/>
      <c r="B15" s="289" t="s">
        <v>254</v>
      </c>
      <c r="C15" s="265" t="s">
        <v>900</v>
      </c>
      <c r="D15" s="110">
        <v>2767.27</v>
      </c>
      <c r="E15" s="89" t="s">
        <v>624</v>
      </c>
      <c r="F15" s="108">
        <v>44773</v>
      </c>
      <c r="G15" s="281"/>
      <c r="H15" s="277">
        <f t="shared" si="0"/>
        <v>2767.27</v>
      </c>
      <c r="I15" s="288"/>
      <c r="K15" s="76" t="s">
        <v>482</v>
      </c>
    </row>
    <row r="16" spans="1:12" ht="18.600000000000001" customHeight="1" x14ac:dyDescent="0.3">
      <c r="A16" s="523"/>
      <c r="B16" s="289" t="s">
        <v>254</v>
      </c>
      <c r="C16" s="265" t="s">
        <v>901</v>
      </c>
      <c r="D16" s="110">
        <v>1160.52</v>
      </c>
      <c r="E16" s="89" t="s">
        <v>777</v>
      </c>
      <c r="F16" s="108">
        <v>44773</v>
      </c>
      <c r="G16" s="281"/>
      <c r="H16" s="277">
        <f t="shared" si="0"/>
        <v>1160.52</v>
      </c>
      <c r="I16" s="288"/>
      <c r="K16" s="76"/>
    </row>
    <row r="17" spans="1:13" ht="18.600000000000001" customHeight="1" x14ac:dyDescent="0.3">
      <c r="A17" s="523"/>
      <c r="B17" s="289" t="s">
        <v>254</v>
      </c>
      <c r="C17" s="265" t="s">
        <v>902</v>
      </c>
      <c r="D17" s="110">
        <v>1707.08</v>
      </c>
      <c r="E17" s="89"/>
      <c r="F17" s="108">
        <v>44773</v>
      </c>
      <c r="G17" s="281"/>
      <c r="H17" s="277">
        <f t="shared" si="0"/>
        <v>1707.08</v>
      </c>
      <c r="I17" s="288"/>
      <c r="K17" s="76"/>
    </row>
    <row r="18" spans="1:13" ht="18.600000000000001" customHeight="1" x14ac:dyDescent="0.3">
      <c r="A18" s="523"/>
      <c r="B18" s="289" t="s">
        <v>254</v>
      </c>
      <c r="C18" s="265" t="s">
        <v>903</v>
      </c>
      <c r="D18" s="110">
        <v>90.61</v>
      </c>
      <c r="E18" s="89"/>
      <c r="F18" s="108">
        <v>44773</v>
      </c>
      <c r="G18" s="281"/>
      <c r="H18" s="277">
        <f t="shared" si="0"/>
        <v>90.61</v>
      </c>
      <c r="I18" s="288"/>
      <c r="K18" s="76"/>
    </row>
    <row r="19" spans="1:13" ht="18.600000000000001" customHeight="1" x14ac:dyDescent="0.3">
      <c r="A19" s="523"/>
      <c r="B19" s="289" t="s">
        <v>254</v>
      </c>
      <c r="C19" s="265" t="s">
        <v>904</v>
      </c>
      <c r="D19" s="110">
        <v>663.08</v>
      </c>
      <c r="E19" s="89" t="s">
        <v>188</v>
      </c>
      <c r="F19" s="108">
        <v>44773</v>
      </c>
      <c r="G19" s="281"/>
      <c r="H19" s="277">
        <f t="shared" si="0"/>
        <v>663.08</v>
      </c>
      <c r="I19" s="288"/>
      <c r="K19" s="76"/>
    </row>
    <row r="20" spans="1:13" ht="18.600000000000001" customHeight="1" x14ac:dyDescent="0.3">
      <c r="A20" s="523"/>
      <c r="B20" s="289" t="s">
        <v>254</v>
      </c>
      <c r="C20" s="265" t="s">
        <v>905</v>
      </c>
      <c r="D20" s="110">
        <v>23.23</v>
      </c>
      <c r="E20" s="89"/>
      <c r="F20" s="108">
        <v>44773</v>
      </c>
      <c r="G20" s="281"/>
      <c r="H20" s="277">
        <f t="shared" si="0"/>
        <v>23.23</v>
      </c>
      <c r="I20" s="288"/>
      <c r="K20" s="76"/>
    </row>
    <row r="21" spans="1:13" ht="18.600000000000001" customHeight="1" x14ac:dyDescent="0.3">
      <c r="A21" s="523"/>
      <c r="B21" s="289" t="s">
        <v>254</v>
      </c>
      <c r="C21" s="265" t="s">
        <v>906</v>
      </c>
      <c r="D21" s="110">
        <v>5187.1499999999996</v>
      </c>
      <c r="E21" s="89"/>
      <c r="F21" s="108">
        <v>44773</v>
      </c>
      <c r="G21" s="281"/>
      <c r="H21" s="277">
        <f t="shared" si="0"/>
        <v>5187.1499999999996</v>
      </c>
      <c r="I21" s="288"/>
      <c r="K21" s="76"/>
    </row>
    <row r="22" spans="1:13" ht="18.600000000000001" customHeight="1" x14ac:dyDescent="0.3">
      <c r="A22" s="523"/>
      <c r="B22" s="289" t="s">
        <v>640</v>
      </c>
      <c r="C22" s="265" t="s">
        <v>916</v>
      </c>
      <c r="D22" s="110">
        <v>1.82</v>
      </c>
      <c r="E22" s="89"/>
      <c r="F22" s="108">
        <v>44757</v>
      </c>
      <c r="G22" s="281"/>
      <c r="H22" s="277">
        <f t="shared" si="0"/>
        <v>1.82</v>
      </c>
      <c r="I22" s="288"/>
      <c r="K22" s="76"/>
    </row>
    <row r="23" spans="1:13" ht="18.600000000000001" customHeight="1" x14ac:dyDescent="0.3">
      <c r="A23" s="523"/>
      <c r="B23" s="289" t="s">
        <v>662</v>
      </c>
      <c r="C23" s="265" t="s">
        <v>917</v>
      </c>
      <c r="D23" s="110">
        <v>2314.92</v>
      </c>
      <c r="E23" s="89" t="s">
        <v>188</v>
      </c>
      <c r="F23" s="108">
        <v>44773</v>
      </c>
      <c r="G23" s="281"/>
      <c r="H23" s="277">
        <f t="shared" si="0"/>
        <v>2314.92</v>
      </c>
      <c r="I23" s="288"/>
      <c r="K23" s="76"/>
    </row>
    <row r="24" spans="1:13" ht="18.600000000000001" customHeight="1" x14ac:dyDescent="0.3">
      <c r="A24" s="523"/>
      <c r="B24" s="289" t="s">
        <v>662</v>
      </c>
      <c r="C24" s="265" t="s">
        <v>918</v>
      </c>
      <c r="D24" s="110">
        <v>1449.36</v>
      </c>
      <c r="E24" s="89" t="s">
        <v>239</v>
      </c>
      <c r="F24" s="111">
        <v>44773</v>
      </c>
      <c r="G24" s="281"/>
      <c r="H24" s="277">
        <f t="shared" si="0"/>
        <v>1449.36</v>
      </c>
      <c r="I24" s="288"/>
      <c r="K24" s="503">
        <f>K10+K8</f>
        <v>265014.51</v>
      </c>
      <c r="L24" s="503"/>
      <c r="M24" s="503"/>
    </row>
    <row r="25" spans="1:13" ht="18" customHeight="1" x14ac:dyDescent="0.25">
      <c r="A25" s="523"/>
      <c r="B25" s="289" t="s">
        <v>662</v>
      </c>
      <c r="C25" s="265" t="s">
        <v>919</v>
      </c>
      <c r="D25" s="110">
        <v>3558</v>
      </c>
      <c r="E25" s="89" t="s">
        <v>923</v>
      </c>
      <c r="F25" s="111">
        <v>44773</v>
      </c>
      <c r="G25" s="281"/>
      <c r="H25" s="277">
        <f t="shared" si="0"/>
        <v>3558</v>
      </c>
      <c r="I25" s="288"/>
    </row>
    <row r="26" spans="1:13" ht="18.600000000000001" customHeight="1" x14ac:dyDescent="0.25">
      <c r="A26" s="523"/>
      <c r="B26" s="289" t="s">
        <v>662</v>
      </c>
      <c r="C26" s="265" t="s">
        <v>920</v>
      </c>
      <c r="D26" s="110">
        <v>603.24</v>
      </c>
      <c r="E26" s="89"/>
      <c r="F26" s="108">
        <v>44773</v>
      </c>
      <c r="G26" s="281"/>
      <c r="H26" s="277">
        <f t="shared" si="0"/>
        <v>603.24</v>
      </c>
      <c r="I26" s="288"/>
    </row>
    <row r="27" spans="1:13" ht="18.600000000000001" customHeight="1" x14ac:dyDescent="0.25">
      <c r="A27" s="523"/>
      <c r="B27" s="289" t="s">
        <v>662</v>
      </c>
      <c r="C27" s="265" t="s">
        <v>921</v>
      </c>
      <c r="D27" s="110">
        <v>1983.12</v>
      </c>
      <c r="E27" s="89"/>
      <c r="F27" s="111">
        <v>44773</v>
      </c>
      <c r="G27" s="281"/>
      <c r="H27" s="277">
        <f t="shared" si="0"/>
        <v>1983.12</v>
      </c>
      <c r="I27" s="288"/>
    </row>
    <row r="28" spans="1:13" ht="18.600000000000001" customHeight="1" x14ac:dyDescent="0.25">
      <c r="A28" s="523"/>
      <c r="B28" s="289" t="s">
        <v>662</v>
      </c>
      <c r="C28" s="265" t="s">
        <v>922</v>
      </c>
      <c r="D28" s="110">
        <v>2513.4</v>
      </c>
      <c r="E28" s="89" t="s">
        <v>924</v>
      </c>
      <c r="F28" s="111">
        <v>44773</v>
      </c>
      <c r="G28" s="281"/>
      <c r="H28" s="277">
        <f t="shared" si="0"/>
        <v>2513.4</v>
      </c>
      <c r="I28" s="288"/>
    </row>
    <row r="29" spans="1:13" ht="18.600000000000001" customHeight="1" x14ac:dyDescent="0.25">
      <c r="A29" s="523"/>
      <c r="B29" s="289"/>
      <c r="C29" s="265"/>
      <c r="D29" s="110"/>
      <c r="E29" s="89"/>
      <c r="F29" s="111"/>
      <c r="G29" s="281"/>
      <c r="H29" s="277">
        <f t="shared" si="0"/>
        <v>0</v>
      </c>
      <c r="I29" s="288"/>
    </row>
    <row r="30" spans="1:13" ht="18.600000000000001" customHeight="1" x14ac:dyDescent="0.25">
      <c r="A30" s="523"/>
      <c r="B30" s="289"/>
      <c r="C30" s="265"/>
      <c r="D30" s="110"/>
      <c r="E30" s="89"/>
      <c r="F30" s="111"/>
      <c r="G30" s="281"/>
      <c r="H30" s="277">
        <f t="shared" si="0"/>
        <v>0</v>
      </c>
      <c r="I30" s="288"/>
    </row>
    <row r="31" spans="1:13" ht="18.600000000000001" customHeight="1" x14ac:dyDescent="0.25">
      <c r="A31" s="523"/>
      <c r="B31" s="289"/>
      <c r="C31" s="265"/>
      <c r="D31" s="110"/>
      <c r="E31" s="89"/>
      <c r="F31" s="111"/>
      <c r="G31" s="281"/>
      <c r="H31" s="277">
        <f t="shared" si="0"/>
        <v>0</v>
      </c>
      <c r="I31" s="288"/>
    </row>
    <row r="32" spans="1:13" ht="18.600000000000001" customHeight="1" x14ac:dyDescent="0.25">
      <c r="A32" s="523"/>
      <c r="B32" s="289"/>
      <c r="C32" s="265"/>
      <c r="D32" s="110"/>
      <c r="E32" s="369"/>
      <c r="F32" s="111"/>
      <c r="G32" s="281"/>
      <c r="H32" s="277">
        <f t="shared" si="0"/>
        <v>0</v>
      </c>
      <c r="I32" s="288"/>
    </row>
    <row r="33" spans="1:9" ht="18.600000000000001" customHeight="1" x14ac:dyDescent="0.25">
      <c r="A33" s="523"/>
      <c r="B33" s="289"/>
      <c r="C33" s="265"/>
      <c r="D33" s="110"/>
      <c r="E33" s="89"/>
      <c r="F33" s="111"/>
      <c r="G33" s="281"/>
      <c r="H33" s="277">
        <f t="shared" si="0"/>
        <v>0</v>
      </c>
      <c r="I33" s="288"/>
    </row>
    <row r="34" spans="1:9" ht="18.600000000000001" customHeight="1" x14ac:dyDescent="0.25">
      <c r="A34" s="523"/>
      <c r="B34" s="289"/>
      <c r="C34" s="265"/>
      <c r="D34" s="110"/>
      <c r="E34" s="89"/>
      <c r="F34" s="111"/>
      <c r="G34" s="282"/>
      <c r="H34" s="277">
        <f t="shared" si="0"/>
        <v>0</v>
      </c>
      <c r="I34" s="288"/>
    </row>
    <row r="35" spans="1:9" ht="18.600000000000001" customHeight="1" x14ac:dyDescent="0.25">
      <c r="A35" s="523"/>
      <c r="B35" s="289"/>
      <c r="C35" s="265"/>
      <c r="D35" s="110"/>
      <c r="E35" s="89"/>
      <c r="F35" s="111"/>
      <c r="G35" s="282"/>
      <c r="H35" s="277">
        <f t="shared" si="0"/>
        <v>0</v>
      </c>
      <c r="I35" s="288"/>
    </row>
    <row r="36" spans="1:9" ht="18.600000000000001" customHeight="1" thickBot="1" x14ac:dyDescent="0.3">
      <c r="A36" s="113"/>
      <c r="B36" s="374" t="s">
        <v>140</v>
      </c>
      <c r="C36" s="380"/>
      <c r="D36" s="375">
        <f>+SUM(D2:D35)</f>
        <v>41285.480000000003</v>
      </c>
      <c r="E36" s="376"/>
      <c r="F36" s="377"/>
      <c r="G36" s="378"/>
      <c r="H36" s="373">
        <f>+SUM(H2:H35)</f>
        <v>41285.480000000003</v>
      </c>
      <c r="I36" s="379"/>
    </row>
    <row r="37" spans="1:9" ht="18.600000000000001" customHeight="1" thickTop="1" x14ac:dyDescent="0.25">
      <c r="A37" s="524" t="s">
        <v>123</v>
      </c>
      <c r="B37" s="289" t="s">
        <v>587</v>
      </c>
      <c r="C37" s="265" t="s">
        <v>567</v>
      </c>
      <c r="D37" s="114">
        <v>891.47</v>
      </c>
      <c r="E37" s="97"/>
      <c r="F37" s="115">
        <v>44743</v>
      </c>
      <c r="G37" s="283">
        <v>891.47</v>
      </c>
      <c r="H37" s="277">
        <f t="shared" ref="H37:H70" si="1">D37-G37</f>
        <v>0</v>
      </c>
      <c r="I37" s="288"/>
    </row>
    <row r="38" spans="1:9" ht="18.600000000000001" customHeight="1" x14ac:dyDescent="0.25">
      <c r="A38" s="525"/>
      <c r="B38" s="289" t="s">
        <v>318</v>
      </c>
      <c r="C38" s="265" t="s">
        <v>861</v>
      </c>
      <c r="D38" s="110">
        <v>21.53</v>
      </c>
      <c r="E38" s="89" t="s">
        <v>862</v>
      </c>
      <c r="F38" s="111">
        <v>44743</v>
      </c>
      <c r="G38" s="282"/>
      <c r="H38" s="277">
        <f t="shared" si="1"/>
        <v>21.53</v>
      </c>
      <c r="I38" s="288"/>
    </row>
    <row r="39" spans="1:9" ht="18.600000000000001" customHeight="1" x14ac:dyDescent="0.25">
      <c r="A39" s="525"/>
      <c r="B39" s="289" t="s">
        <v>448</v>
      </c>
      <c r="C39" s="265" t="s">
        <v>876</v>
      </c>
      <c r="D39" s="110">
        <v>891.47</v>
      </c>
      <c r="E39" s="89"/>
      <c r="F39" s="111">
        <v>44743</v>
      </c>
      <c r="G39" s="282"/>
      <c r="H39" s="277">
        <f t="shared" si="1"/>
        <v>891.47</v>
      </c>
      <c r="I39" s="288"/>
    </row>
    <row r="40" spans="1:9" ht="18.600000000000001" customHeight="1" x14ac:dyDescent="0.25">
      <c r="A40" s="525"/>
      <c r="B40" s="289" t="s">
        <v>307</v>
      </c>
      <c r="C40" s="265"/>
      <c r="D40" s="114">
        <v>3203.09</v>
      </c>
      <c r="E40" s="97" t="s">
        <v>395</v>
      </c>
      <c r="F40" s="111">
        <v>44747</v>
      </c>
      <c r="G40" s="283">
        <v>30203.09</v>
      </c>
      <c r="H40" s="277">
        <f t="shared" si="1"/>
        <v>-27000</v>
      </c>
      <c r="I40" s="288"/>
    </row>
    <row r="41" spans="1:9" ht="18.600000000000001" customHeight="1" x14ac:dyDescent="0.25">
      <c r="A41" s="525"/>
      <c r="B41" s="289" t="s">
        <v>196</v>
      </c>
      <c r="C41" s="265" t="s">
        <v>201</v>
      </c>
      <c r="D41" s="110">
        <v>127.11</v>
      </c>
      <c r="E41" s="89" t="s">
        <v>200</v>
      </c>
      <c r="F41" s="111">
        <v>44747</v>
      </c>
      <c r="G41" s="282">
        <v>127.11</v>
      </c>
      <c r="H41" s="277">
        <f t="shared" si="1"/>
        <v>0</v>
      </c>
      <c r="I41" s="288"/>
    </row>
    <row r="42" spans="1:9" ht="18.600000000000001" customHeight="1" x14ac:dyDescent="0.25">
      <c r="A42" s="525"/>
      <c r="B42" s="289" t="s">
        <v>196</v>
      </c>
      <c r="C42" s="265" t="s">
        <v>297</v>
      </c>
      <c r="D42" s="110">
        <v>85.99</v>
      </c>
      <c r="E42" s="89"/>
      <c r="F42" s="111">
        <v>44747</v>
      </c>
      <c r="G42" s="282">
        <v>85.99</v>
      </c>
      <c r="H42" s="277">
        <f t="shared" si="1"/>
        <v>0</v>
      </c>
      <c r="I42" s="288"/>
    </row>
    <row r="43" spans="1:9" ht="18.600000000000001" customHeight="1" x14ac:dyDescent="0.25">
      <c r="A43" s="525"/>
      <c r="B43" s="289" t="s">
        <v>196</v>
      </c>
      <c r="C43" s="265" t="s">
        <v>298</v>
      </c>
      <c r="D43" s="110">
        <v>90.74</v>
      </c>
      <c r="E43" s="89"/>
      <c r="F43" s="111">
        <v>44747</v>
      </c>
      <c r="G43" s="282">
        <v>90.74</v>
      </c>
      <c r="H43" s="277">
        <f t="shared" si="1"/>
        <v>0</v>
      </c>
      <c r="I43" s="288"/>
    </row>
    <row r="44" spans="1:9" ht="18.600000000000001" customHeight="1" x14ac:dyDescent="0.25">
      <c r="A44" s="525"/>
      <c r="B44" s="289" t="s">
        <v>196</v>
      </c>
      <c r="C44" s="265" t="s">
        <v>299</v>
      </c>
      <c r="D44" s="114">
        <v>71.319999999999993</v>
      </c>
      <c r="E44" s="97"/>
      <c r="F44" s="111">
        <v>44747</v>
      </c>
      <c r="G44" s="283">
        <v>71.319999999999993</v>
      </c>
      <c r="H44" s="277">
        <f t="shared" si="1"/>
        <v>0</v>
      </c>
      <c r="I44" s="288"/>
    </row>
    <row r="45" spans="1:9" ht="18.600000000000001" customHeight="1" x14ac:dyDescent="0.25">
      <c r="A45" s="525"/>
      <c r="B45" s="289" t="s">
        <v>196</v>
      </c>
      <c r="C45" s="265" t="s">
        <v>300</v>
      </c>
      <c r="D45" s="110">
        <v>102.36</v>
      </c>
      <c r="E45" s="89"/>
      <c r="F45" s="111">
        <v>44747</v>
      </c>
      <c r="G45" s="282">
        <v>102.36</v>
      </c>
      <c r="H45" s="277">
        <f t="shared" si="1"/>
        <v>0</v>
      </c>
      <c r="I45" s="288"/>
    </row>
    <row r="46" spans="1:9" ht="18.600000000000001" customHeight="1" x14ac:dyDescent="0.25">
      <c r="A46" s="525"/>
      <c r="B46" s="289" t="s">
        <v>196</v>
      </c>
      <c r="C46" s="265" t="s">
        <v>882</v>
      </c>
      <c r="D46" s="110">
        <v>99.97</v>
      </c>
      <c r="E46" s="89" t="s">
        <v>200</v>
      </c>
      <c r="F46" s="111">
        <v>44747</v>
      </c>
      <c r="G46" s="282">
        <v>99.97</v>
      </c>
      <c r="H46" s="277">
        <f t="shared" si="1"/>
        <v>0</v>
      </c>
      <c r="I46" s="288"/>
    </row>
    <row r="47" spans="1:9" ht="18.600000000000001" customHeight="1" x14ac:dyDescent="0.25">
      <c r="A47" s="525"/>
      <c r="B47" s="289" t="s">
        <v>533</v>
      </c>
      <c r="C47" s="265"/>
      <c r="D47" s="110">
        <v>53.88</v>
      </c>
      <c r="E47" s="89"/>
      <c r="F47" s="111">
        <v>44747</v>
      </c>
      <c r="G47" s="282"/>
      <c r="H47" s="277">
        <f t="shared" si="1"/>
        <v>53.88</v>
      </c>
      <c r="I47" s="288"/>
    </row>
    <row r="48" spans="1:9" ht="18.600000000000001" customHeight="1" x14ac:dyDescent="0.25">
      <c r="A48" s="525"/>
      <c r="B48" s="289" t="s">
        <v>282</v>
      </c>
      <c r="C48" s="265"/>
      <c r="D48" s="110">
        <v>50</v>
      </c>
      <c r="E48" s="89" t="s">
        <v>287</v>
      </c>
      <c r="F48" s="111">
        <v>44748</v>
      </c>
      <c r="G48" s="282"/>
      <c r="H48" s="277">
        <f t="shared" si="1"/>
        <v>50</v>
      </c>
      <c r="I48" s="288"/>
    </row>
    <row r="49" spans="1:9" ht="18.600000000000001" customHeight="1" x14ac:dyDescent="0.25">
      <c r="A49" s="525"/>
      <c r="B49" s="289" t="s">
        <v>282</v>
      </c>
      <c r="C49" s="265"/>
      <c r="D49" s="110">
        <v>38</v>
      </c>
      <c r="E49" s="89"/>
      <c r="F49" s="111">
        <v>44748</v>
      </c>
      <c r="G49" s="282"/>
      <c r="H49" s="277">
        <f t="shared" si="1"/>
        <v>38</v>
      </c>
      <c r="I49" s="288"/>
    </row>
    <row r="50" spans="1:9" ht="18.600000000000001" customHeight="1" x14ac:dyDescent="0.25">
      <c r="A50" s="525"/>
      <c r="B50" s="289" t="s">
        <v>140</v>
      </c>
      <c r="C50" s="265" t="s">
        <v>607</v>
      </c>
      <c r="D50" s="114">
        <v>2703.65</v>
      </c>
      <c r="E50" s="97"/>
      <c r="F50" s="111">
        <v>44752</v>
      </c>
      <c r="G50" s="283">
        <v>2703.65</v>
      </c>
      <c r="H50" s="277">
        <f t="shared" si="1"/>
        <v>0</v>
      </c>
      <c r="I50" s="288"/>
    </row>
    <row r="51" spans="1:9" ht="18.600000000000001" customHeight="1" x14ac:dyDescent="0.25">
      <c r="A51" s="525"/>
      <c r="B51" s="289" t="s">
        <v>288</v>
      </c>
      <c r="C51" s="265" t="s">
        <v>532</v>
      </c>
      <c r="D51" s="110">
        <f>15.95*2</f>
        <v>31.9</v>
      </c>
      <c r="E51" s="89" t="s">
        <v>677</v>
      </c>
      <c r="F51" s="111">
        <v>44752</v>
      </c>
      <c r="G51" s="282"/>
      <c r="H51" s="277">
        <f t="shared" si="1"/>
        <v>31.9</v>
      </c>
      <c r="I51" s="288">
        <v>44671</v>
      </c>
    </row>
    <row r="52" spans="1:9" ht="18.600000000000001" customHeight="1" x14ac:dyDescent="0.25">
      <c r="A52" s="525"/>
      <c r="B52" s="289" t="s">
        <v>530</v>
      </c>
      <c r="C52" s="265"/>
      <c r="D52" s="114">
        <v>16.989999999999998</v>
      </c>
      <c r="E52" s="97" t="s">
        <v>531</v>
      </c>
      <c r="F52" s="115">
        <v>44752</v>
      </c>
      <c r="G52" s="283"/>
      <c r="H52" s="277">
        <f t="shared" si="1"/>
        <v>16.989999999999998</v>
      </c>
      <c r="I52" s="288"/>
    </row>
    <row r="53" spans="1:9" ht="18.600000000000001" customHeight="1" x14ac:dyDescent="0.25">
      <c r="A53" s="525"/>
      <c r="B53" s="289" t="s">
        <v>277</v>
      </c>
      <c r="C53" s="265" t="s">
        <v>874</v>
      </c>
      <c r="D53" s="110">
        <v>163.6</v>
      </c>
      <c r="E53" s="89" t="s">
        <v>875</v>
      </c>
      <c r="F53" s="111">
        <v>44753</v>
      </c>
      <c r="G53" s="282"/>
      <c r="H53" s="277">
        <f t="shared" si="1"/>
        <v>163.6</v>
      </c>
      <c r="I53" s="288"/>
    </row>
    <row r="54" spans="1:9" ht="18.600000000000001" customHeight="1" x14ac:dyDescent="0.25">
      <c r="A54" s="525"/>
      <c r="B54" s="322" t="s">
        <v>291</v>
      </c>
      <c r="C54" s="323"/>
      <c r="D54" s="337">
        <v>11213</v>
      </c>
      <c r="E54" s="338" t="s">
        <v>312</v>
      </c>
      <c r="F54" s="339">
        <v>44757</v>
      </c>
      <c r="G54" s="340"/>
      <c r="H54" s="327">
        <f t="shared" si="1"/>
        <v>11213</v>
      </c>
      <c r="I54" s="328"/>
    </row>
    <row r="55" spans="1:9" ht="18.600000000000001" customHeight="1" x14ac:dyDescent="0.25">
      <c r="A55" s="525"/>
      <c r="B55" s="289" t="s">
        <v>196</v>
      </c>
      <c r="C55" s="265" t="s">
        <v>197</v>
      </c>
      <c r="D55" s="110">
        <v>15.24</v>
      </c>
      <c r="E55" s="89" t="s">
        <v>198</v>
      </c>
      <c r="F55" s="115">
        <v>44761</v>
      </c>
      <c r="G55" s="282"/>
      <c r="H55" s="277">
        <f t="shared" si="1"/>
        <v>15.24</v>
      </c>
      <c r="I55" s="288"/>
    </row>
    <row r="56" spans="1:9" ht="18.600000000000001" customHeight="1" x14ac:dyDescent="0.25">
      <c r="A56" s="525"/>
      <c r="B56" s="289" t="s">
        <v>196</v>
      </c>
      <c r="C56" s="265" t="s">
        <v>313</v>
      </c>
      <c r="D56" s="110">
        <v>93.87</v>
      </c>
      <c r="E56" s="89"/>
      <c r="F56" s="115">
        <v>44761</v>
      </c>
      <c r="G56" s="282"/>
      <c r="H56" s="277">
        <f t="shared" si="1"/>
        <v>93.87</v>
      </c>
      <c r="I56" s="288"/>
    </row>
    <row r="57" spans="1:9" ht="18.600000000000001" customHeight="1" x14ac:dyDescent="0.25">
      <c r="A57" s="525"/>
      <c r="B57" s="322" t="s">
        <v>292</v>
      </c>
      <c r="C57" s="265" t="s">
        <v>293</v>
      </c>
      <c r="D57" s="324">
        <v>6024</v>
      </c>
      <c r="E57" s="325" t="s">
        <v>588</v>
      </c>
      <c r="F57" s="339">
        <v>44763</v>
      </c>
      <c r="G57" s="336"/>
      <c r="H57" s="327">
        <f t="shared" si="1"/>
        <v>6024</v>
      </c>
      <c r="I57" s="328"/>
    </row>
    <row r="58" spans="1:9" ht="18.600000000000001" customHeight="1" x14ac:dyDescent="0.25">
      <c r="A58" s="525"/>
      <c r="B58" s="322" t="s">
        <v>295</v>
      </c>
      <c r="C58" s="323"/>
      <c r="D58" s="337">
        <v>1799.9</v>
      </c>
      <c r="E58" s="338"/>
      <c r="F58" s="339">
        <v>44763</v>
      </c>
      <c r="G58" s="340"/>
      <c r="H58" s="327">
        <f t="shared" si="1"/>
        <v>1799.9</v>
      </c>
      <c r="I58" s="328">
        <v>44671</v>
      </c>
    </row>
    <row r="59" spans="1:9" ht="18.600000000000001" customHeight="1" x14ac:dyDescent="0.25">
      <c r="A59" s="525"/>
      <c r="B59" s="289" t="s">
        <v>282</v>
      </c>
      <c r="C59" s="265"/>
      <c r="D59" s="110">
        <v>31</v>
      </c>
      <c r="E59" s="89"/>
      <c r="F59" s="326">
        <v>44763</v>
      </c>
      <c r="G59" s="282"/>
      <c r="H59" s="277">
        <f t="shared" si="1"/>
        <v>31</v>
      </c>
      <c r="I59" s="288"/>
    </row>
    <row r="60" spans="1:9" ht="18.600000000000001" customHeight="1" x14ac:dyDescent="0.25">
      <c r="A60" s="525"/>
      <c r="B60" s="289" t="s">
        <v>282</v>
      </c>
      <c r="C60" s="265"/>
      <c r="D60" s="110">
        <v>31</v>
      </c>
      <c r="E60" s="89"/>
      <c r="F60" s="326">
        <v>44763</v>
      </c>
      <c r="G60" s="282"/>
      <c r="H60" s="277">
        <f t="shared" si="1"/>
        <v>31</v>
      </c>
      <c r="I60" s="288"/>
    </row>
    <row r="61" spans="1:9" ht="18.600000000000001" customHeight="1" x14ac:dyDescent="0.25">
      <c r="A61" s="525"/>
      <c r="B61" s="289" t="s">
        <v>282</v>
      </c>
      <c r="C61" s="265" t="s">
        <v>328</v>
      </c>
      <c r="D61" s="114">
        <v>31</v>
      </c>
      <c r="E61" s="97" t="s">
        <v>327</v>
      </c>
      <c r="F61" s="326">
        <v>44763</v>
      </c>
      <c r="G61" s="283"/>
      <c r="H61" s="277">
        <f t="shared" si="1"/>
        <v>31</v>
      </c>
      <c r="I61" s="288"/>
    </row>
    <row r="62" spans="1:9" ht="18.600000000000001" customHeight="1" x14ac:dyDescent="0.25">
      <c r="A62" s="525"/>
      <c r="B62" s="289" t="s">
        <v>214</v>
      </c>
      <c r="C62" s="265" t="s">
        <v>879</v>
      </c>
      <c r="D62" s="110">
        <v>167.62</v>
      </c>
      <c r="E62" s="89"/>
      <c r="F62" s="111">
        <v>44765</v>
      </c>
      <c r="G62" s="282"/>
      <c r="H62" s="277">
        <f t="shared" si="1"/>
        <v>167.62</v>
      </c>
      <c r="I62" s="288"/>
    </row>
    <row r="63" spans="1:9" ht="18.600000000000001" customHeight="1" x14ac:dyDescent="0.25">
      <c r="A63" s="525"/>
      <c r="B63" s="289" t="s">
        <v>140</v>
      </c>
      <c r="C63" s="265" t="s">
        <v>566</v>
      </c>
      <c r="D63" s="110">
        <v>2219.29</v>
      </c>
      <c r="E63" s="89"/>
      <c r="F63" s="111">
        <v>44769</v>
      </c>
      <c r="G63" s="282"/>
      <c r="H63" s="277">
        <f t="shared" si="1"/>
        <v>2219.29</v>
      </c>
      <c r="I63" s="288"/>
    </row>
    <row r="64" spans="1:9" ht="18.600000000000001" customHeight="1" x14ac:dyDescent="0.25">
      <c r="A64" s="525"/>
      <c r="B64" s="322" t="s">
        <v>294</v>
      </c>
      <c r="C64" s="265"/>
      <c r="D64" s="324">
        <v>2159.14</v>
      </c>
      <c r="E64" s="325" t="s">
        <v>697</v>
      </c>
      <c r="F64" s="111">
        <v>44769</v>
      </c>
      <c r="G64" s="336"/>
      <c r="H64" s="327">
        <f t="shared" si="1"/>
        <v>2159.14</v>
      </c>
      <c r="I64" s="328"/>
    </row>
    <row r="65" spans="1:9" ht="18.600000000000001" customHeight="1" x14ac:dyDescent="0.25">
      <c r="A65" s="525"/>
      <c r="B65" s="291" t="s">
        <v>430</v>
      </c>
      <c r="C65" s="265" t="s">
        <v>431</v>
      </c>
      <c r="D65" s="371">
        <v>1188</v>
      </c>
      <c r="E65" s="97" t="s">
        <v>432</v>
      </c>
      <c r="F65" s="115">
        <v>44769</v>
      </c>
      <c r="G65" s="283"/>
      <c r="H65" s="277">
        <f t="shared" si="1"/>
        <v>1188</v>
      </c>
      <c r="I65" s="288">
        <v>44677</v>
      </c>
    </row>
    <row r="66" spans="1:9" ht="18.600000000000001" customHeight="1" x14ac:dyDescent="0.25">
      <c r="A66" s="525"/>
      <c r="B66" s="289" t="s">
        <v>140</v>
      </c>
      <c r="C66" s="265" t="s">
        <v>684</v>
      </c>
      <c r="D66" s="114">
        <v>2219.29</v>
      </c>
      <c r="E66" s="97" t="s">
        <v>696</v>
      </c>
      <c r="F66" s="115">
        <v>44769</v>
      </c>
      <c r="G66" s="283"/>
      <c r="H66" s="277">
        <f t="shared" si="1"/>
        <v>2219.29</v>
      </c>
      <c r="I66" s="288" t="s">
        <v>695</v>
      </c>
    </row>
    <row r="67" spans="1:9" ht="18.600000000000001" customHeight="1" x14ac:dyDescent="0.25">
      <c r="A67" s="525"/>
      <c r="B67" s="291" t="s">
        <v>693</v>
      </c>
      <c r="C67" s="265" t="s">
        <v>694</v>
      </c>
      <c r="D67" s="371">
        <v>34.43</v>
      </c>
      <c r="E67" s="97" t="s">
        <v>698</v>
      </c>
      <c r="F67" s="115">
        <v>44769</v>
      </c>
      <c r="G67" s="283"/>
      <c r="H67" s="277">
        <f t="shared" si="1"/>
        <v>34.43</v>
      </c>
      <c r="I67" s="400">
        <v>44676</v>
      </c>
    </row>
    <row r="68" spans="1:9" ht="18.600000000000001" customHeight="1" x14ac:dyDescent="0.25">
      <c r="A68" s="525"/>
      <c r="B68" s="291" t="s">
        <v>285</v>
      </c>
      <c r="C68" s="265" t="s">
        <v>286</v>
      </c>
      <c r="D68" s="371">
        <v>5283.09</v>
      </c>
      <c r="E68" s="97"/>
      <c r="F68" s="115">
        <v>44769</v>
      </c>
      <c r="G68" s="283"/>
      <c r="H68" s="277">
        <f t="shared" si="1"/>
        <v>5283.09</v>
      </c>
      <c r="I68" s="372"/>
    </row>
    <row r="69" spans="1:9" ht="18.600000000000001" customHeight="1" x14ac:dyDescent="0.25">
      <c r="A69" s="525"/>
      <c r="B69" s="289" t="s">
        <v>423</v>
      </c>
      <c r="C69" s="265" t="s">
        <v>887</v>
      </c>
      <c r="D69" s="110">
        <v>807.48</v>
      </c>
      <c r="E69" s="97"/>
      <c r="F69" s="115">
        <v>44771</v>
      </c>
      <c r="G69" s="283"/>
      <c r="H69" s="277">
        <f t="shared" si="1"/>
        <v>807.48</v>
      </c>
      <c r="I69" s="372"/>
    </row>
    <row r="70" spans="1:9" ht="18.600000000000001" customHeight="1" x14ac:dyDescent="0.25">
      <c r="A70" s="525"/>
      <c r="B70" s="289" t="s">
        <v>514</v>
      </c>
      <c r="C70" s="265" t="s">
        <v>858</v>
      </c>
      <c r="D70" s="110">
        <v>495.07</v>
      </c>
      <c r="E70" s="97" t="s">
        <v>188</v>
      </c>
      <c r="F70" s="115">
        <v>44773</v>
      </c>
      <c r="G70" s="283"/>
      <c r="H70" s="277">
        <f t="shared" si="1"/>
        <v>495.07</v>
      </c>
      <c r="I70" s="372"/>
    </row>
    <row r="71" spans="1:9" ht="18.600000000000001" customHeight="1" x14ac:dyDescent="0.25">
      <c r="A71" s="525"/>
      <c r="B71" s="289" t="s">
        <v>912</v>
      </c>
      <c r="C71" s="265">
        <v>151002667</v>
      </c>
      <c r="D71" s="110">
        <v>1329.57</v>
      </c>
      <c r="E71" s="89"/>
      <c r="F71" s="111">
        <v>44752</v>
      </c>
      <c r="G71" s="281"/>
      <c r="H71" s="277">
        <f>'08-2022'!D62-G71</f>
        <v>99.6</v>
      </c>
      <c r="I71" s="288"/>
    </row>
    <row r="72" spans="1:9" ht="18.600000000000001" customHeight="1" x14ac:dyDescent="0.25">
      <c r="A72" s="525"/>
      <c r="B72" s="289" t="s">
        <v>389</v>
      </c>
      <c r="C72" s="265" t="s">
        <v>915</v>
      </c>
      <c r="D72" s="110">
        <v>255.53</v>
      </c>
      <c r="E72" s="97" t="s">
        <v>188</v>
      </c>
      <c r="F72" s="115">
        <v>44773</v>
      </c>
      <c r="G72" s="283"/>
      <c r="H72" s="370"/>
      <c r="I72" s="372"/>
    </row>
    <row r="73" spans="1:9" ht="18.600000000000001" customHeight="1" thickBot="1" x14ac:dyDescent="0.3">
      <c r="A73" s="525"/>
      <c r="B73" s="497" t="s">
        <v>344</v>
      </c>
      <c r="C73" s="498" t="s">
        <v>572</v>
      </c>
      <c r="D73" s="114">
        <v>588</v>
      </c>
      <c r="E73" s="97" t="s">
        <v>687</v>
      </c>
      <c r="F73" s="377">
        <v>44762</v>
      </c>
      <c r="G73" s="378"/>
      <c r="H73" s="382"/>
      <c r="I73" s="383"/>
    </row>
    <row r="74" spans="1:9" ht="18.600000000000001" customHeight="1" thickTop="1" thickBot="1" x14ac:dyDescent="0.3">
      <c r="A74" s="525"/>
      <c r="B74" s="289" t="s">
        <v>140</v>
      </c>
      <c r="C74" s="265"/>
      <c r="D74" s="110">
        <f>SUM(D37:D72)</f>
        <v>44040.590000000004</v>
      </c>
      <c r="E74" s="376"/>
      <c r="F74" s="377"/>
      <c r="G74" s="378"/>
      <c r="H74" s="373">
        <f>+SUM(H37:H66)</f>
        <v>1459.7200000000025</v>
      </c>
      <c r="I74" s="379"/>
    </row>
    <row r="75" spans="1:9" ht="9" customHeight="1" thickTop="1" x14ac:dyDescent="0.25">
      <c r="A75" s="499"/>
      <c r="B75" s="289"/>
      <c r="C75" s="265"/>
      <c r="D75" s="110"/>
      <c r="E75" s="97"/>
      <c r="F75" s="115"/>
      <c r="G75" s="283"/>
      <c r="H75" s="500"/>
      <c r="I75" s="501"/>
    </row>
    <row r="76" spans="1:9" ht="18.600000000000001" customHeight="1" x14ac:dyDescent="0.25">
      <c r="A76" s="522" t="s">
        <v>124</v>
      </c>
      <c r="B76" s="256" t="s">
        <v>577</v>
      </c>
      <c r="C76" s="266" t="s">
        <v>818</v>
      </c>
      <c r="D76" s="257">
        <v>4320</v>
      </c>
      <c r="E76" s="97" t="s">
        <v>819</v>
      </c>
      <c r="F76" s="111">
        <v>44748</v>
      </c>
      <c r="G76" s="283"/>
      <c r="H76" s="277">
        <f t="shared" ref="H76:H102" si="2">D76-G76</f>
        <v>4320</v>
      </c>
      <c r="I76" s="259"/>
    </row>
    <row r="77" spans="1:9" ht="18.600000000000001" customHeight="1" x14ac:dyDescent="0.25">
      <c r="A77" s="522"/>
      <c r="B77" s="103" t="s">
        <v>536</v>
      </c>
      <c r="C77" s="265"/>
      <c r="D77" s="110">
        <v>1100</v>
      </c>
      <c r="E77" s="89" t="s">
        <v>537</v>
      </c>
      <c r="F77" s="111">
        <v>44748</v>
      </c>
      <c r="G77" s="281"/>
      <c r="H77" s="277">
        <f t="shared" si="2"/>
        <v>1100</v>
      </c>
      <c r="I77" s="109"/>
    </row>
    <row r="78" spans="1:9" ht="18.600000000000001" customHeight="1" x14ac:dyDescent="0.25">
      <c r="A78" s="522"/>
      <c r="B78" s="329" t="s">
        <v>545</v>
      </c>
      <c r="C78" s="330"/>
      <c r="D78" s="331">
        <v>500</v>
      </c>
      <c r="E78" s="332" t="s">
        <v>394</v>
      </c>
      <c r="F78" s="111">
        <v>44748</v>
      </c>
      <c r="G78" s="333"/>
      <c r="H78" s="277">
        <f t="shared" si="2"/>
        <v>500</v>
      </c>
      <c r="I78" s="335"/>
    </row>
    <row r="79" spans="1:9" ht="18.600000000000001" customHeight="1" x14ac:dyDescent="0.25">
      <c r="A79" s="522"/>
      <c r="B79" s="341" t="s">
        <v>592</v>
      </c>
      <c r="C79" s="342"/>
      <c r="D79" s="331">
        <v>2100</v>
      </c>
      <c r="E79" s="332" t="s">
        <v>594</v>
      </c>
      <c r="F79" s="111">
        <v>44748</v>
      </c>
      <c r="G79" s="343"/>
      <c r="H79" s="277">
        <f t="shared" si="2"/>
        <v>2100</v>
      </c>
      <c r="I79" s="344"/>
    </row>
    <row r="80" spans="1:9" ht="18.600000000000001" customHeight="1" x14ac:dyDescent="0.25">
      <c r="A80" s="522"/>
      <c r="B80" s="341" t="s">
        <v>509</v>
      </c>
      <c r="C80" s="342"/>
      <c r="D80" s="331">
        <v>600</v>
      </c>
      <c r="E80" s="332" t="s">
        <v>508</v>
      </c>
      <c r="F80" s="111">
        <v>44748</v>
      </c>
      <c r="G80" s="343"/>
      <c r="H80" s="277">
        <f t="shared" si="2"/>
        <v>600</v>
      </c>
      <c r="I80" s="344"/>
    </row>
    <row r="81" spans="1:9" ht="18.600000000000001" customHeight="1" x14ac:dyDescent="0.25">
      <c r="A81" s="522"/>
      <c r="B81" s="103" t="s">
        <v>371</v>
      </c>
      <c r="C81" s="269" t="s">
        <v>825</v>
      </c>
      <c r="D81" s="110">
        <v>125815.24</v>
      </c>
      <c r="E81" s="89" t="s">
        <v>826</v>
      </c>
      <c r="F81" s="111">
        <v>44757</v>
      </c>
      <c r="G81" s="283"/>
      <c r="H81" s="277"/>
      <c r="I81" s="112"/>
    </row>
    <row r="82" spans="1:9" ht="18.600000000000001" customHeight="1" x14ac:dyDescent="0.25">
      <c r="A82" s="522"/>
      <c r="B82" s="103" t="s">
        <v>368</v>
      </c>
      <c r="C82" s="269" t="s">
        <v>856</v>
      </c>
      <c r="D82" s="110">
        <v>7493</v>
      </c>
      <c r="E82" s="89"/>
      <c r="F82" s="111">
        <v>44773</v>
      </c>
      <c r="G82" s="283"/>
      <c r="H82" s="277">
        <f t="shared" si="2"/>
        <v>7493</v>
      </c>
      <c r="I82" s="313"/>
    </row>
    <row r="83" spans="1:9" ht="18.600000000000001" customHeight="1" x14ac:dyDescent="0.25">
      <c r="A83" s="522"/>
      <c r="B83" s="103" t="s">
        <v>170</v>
      </c>
      <c r="C83" s="265" t="s">
        <v>860</v>
      </c>
      <c r="D83" s="118">
        <v>5000</v>
      </c>
      <c r="E83" s="89" t="s">
        <v>419</v>
      </c>
      <c r="F83" s="111">
        <v>44752</v>
      </c>
      <c r="G83" s="280">
        <v>5000</v>
      </c>
      <c r="H83" s="277">
        <f t="shared" si="2"/>
        <v>0</v>
      </c>
      <c r="I83" s="112"/>
    </row>
    <row r="84" spans="1:9" ht="18.600000000000001" customHeight="1" x14ac:dyDescent="0.25">
      <c r="A84" s="522"/>
      <c r="B84" s="289" t="s">
        <v>863</v>
      </c>
      <c r="C84" s="265" t="s">
        <v>864</v>
      </c>
      <c r="D84" s="110">
        <v>650</v>
      </c>
      <c r="E84" s="89" t="s">
        <v>865</v>
      </c>
      <c r="F84" s="111">
        <v>44752</v>
      </c>
      <c r="G84" s="281"/>
      <c r="H84" s="277">
        <f t="shared" si="2"/>
        <v>650</v>
      </c>
      <c r="I84" s="288"/>
    </row>
    <row r="85" spans="1:9" ht="18.600000000000001" customHeight="1" x14ac:dyDescent="0.25">
      <c r="A85" s="522"/>
      <c r="B85" s="102" t="s">
        <v>866</v>
      </c>
      <c r="C85" s="265" t="s">
        <v>867</v>
      </c>
      <c r="D85" s="110">
        <v>6000</v>
      </c>
      <c r="E85" s="89" t="s">
        <v>868</v>
      </c>
      <c r="F85" s="111">
        <v>44763</v>
      </c>
      <c r="G85" s="281"/>
      <c r="H85" s="277">
        <f t="shared" si="2"/>
        <v>6000</v>
      </c>
      <c r="I85" s="109"/>
    </row>
    <row r="86" spans="1:9" ht="18.600000000000001" customHeight="1" x14ac:dyDescent="0.25">
      <c r="A86" s="522"/>
      <c r="B86" s="102" t="s">
        <v>869</v>
      </c>
      <c r="C86" s="265" t="s">
        <v>870</v>
      </c>
      <c r="D86" s="110">
        <v>985</v>
      </c>
      <c r="E86" s="385" t="s">
        <v>871</v>
      </c>
      <c r="F86" s="111">
        <v>44745</v>
      </c>
      <c r="G86" s="281"/>
      <c r="H86" s="277">
        <f t="shared" si="2"/>
        <v>985</v>
      </c>
      <c r="I86" s="288"/>
    </row>
    <row r="87" spans="1:9" ht="18.600000000000001" customHeight="1" x14ac:dyDescent="0.25">
      <c r="A87" s="522"/>
      <c r="B87" s="102" t="s">
        <v>159</v>
      </c>
      <c r="C87" s="265" t="s">
        <v>872</v>
      </c>
      <c r="D87" s="110">
        <v>7235.62</v>
      </c>
      <c r="E87" s="89" t="s">
        <v>188</v>
      </c>
      <c r="F87" s="111">
        <v>44773</v>
      </c>
      <c r="G87" s="281"/>
      <c r="H87" s="277">
        <f t="shared" si="2"/>
        <v>7235.62</v>
      </c>
      <c r="I87" s="109"/>
    </row>
    <row r="88" spans="1:9" ht="18.600000000000001" customHeight="1" x14ac:dyDescent="0.25">
      <c r="A88" s="522"/>
      <c r="B88" s="289" t="s">
        <v>455</v>
      </c>
      <c r="C88" s="265" t="s">
        <v>708</v>
      </c>
      <c r="D88" s="110">
        <v>808.2</v>
      </c>
      <c r="E88" s="89"/>
      <c r="F88" s="111">
        <v>44757</v>
      </c>
      <c r="G88" s="281"/>
      <c r="H88" s="277">
        <f t="shared" si="2"/>
        <v>808.2</v>
      </c>
      <c r="I88" s="109"/>
    </row>
    <row r="89" spans="1:9" ht="18.600000000000001" customHeight="1" x14ac:dyDescent="0.25">
      <c r="A89" s="522"/>
      <c r="B89" s="102" t="s">
        <v>455</v>
      </c>
      <c r="C89" s="265" t="s">
        <v>770</v>
      </c>
      <c r="D89" s="110">
        <v>7083.6</v>
      </c>
      <c r="E89" s="89" t="s">
        <v>188</v>
      </c>
      <c r="F89" s="111">
        <v>44757</v>
      </c>
      <c r="G89" s="281"/>
      <c r="H89" s="277">
        <f t="shared" si="2"/>
        <v>7083.6</v>
      </c>
      <c r="I89" s="112"/>
    </row>
    <row r="90" spans="1:9" ht="18.600000000000001" customHeight="1" x14ac:dyDescent="0.25">
      <c r="A90" s="522"/>
      <c r="B90" s="102" t="s">
        <v>455</v>
      </c>
      <c r="C90" s="269" t="s">
        <v>877</v>
      </c>
      <c r="D90" s="110">
        <v>617.47</v>
      </c>
      <c r="E90" s="89"/>
      <c r="F90" s="111">
        <v>44757</v>
      </c>
      <c r="G90" s="281"/>
      <c r="H90" s="277">
        <f t="shared" si="2"/>
        <v>617.47</v>
      </c>
      <c r="I90" s="112"/>
    </row>
    <row r="91" spans="1:9" ht="18.600000000000001" customHeight="1" x14ac:dyDescent="0.25">
      <c r="A91" s="522"/>
      <c r="B91" s="102" t="s">
        <v>455</v>
      </c>
      <c r="C91" s="269" t="s">
        <v>878</v>
      </c>
      <c r="D91" s="110">
        <v>1693.91</v>
      </c>
      <c r="E91" s="89"/>
      <c r="F91" s="111">
        <v>44757</v>
      </c>
      <c r="G91" s="281"/>
      <c r="H91" s="277">
        <f t="shared" si="2"/>
        <v>1693.91</v>
      </c>
      <c r="I91" s="112"/>
    </row>
    <row r="92" spans="1:9" ht="18.600000000000001" customHeight="1" x14ac:dyDescent="0.25">
      <c r="A92" s="522"/>
      <c r="B92" s="103" t="s">
        <v>470</v>
      </c>
      <c r="C92" s="269" t="s">
        <v>880</v>
      </c>
      <c r="D92" s="110">
        <v>6866.9</v>
      </c>
      <c r="E92" s="89" t="s">
        <v>881</v>
      </c>
      <c r="F92" s="117"/>
      <c r="G92" s="281"/>
      <c r="H92" s="277">
        <f t="shared" si="2"/>
        <v>6866.9</v>
      </c>
      <c r="I92" s="112"/>
    </row>
    <row r="93" spans="1:9" ht="20.25" customHeight="1" x14ac:dyDescent="0.25">
      <c r="A93" s="522"/>
      <c r="B93" s="103" t="s">
        <v>891</v>
      </c>
      <c r="C93" s="269" t="s">
        <v>892</v>
      </c>
      <c r="D93" s="110">
        <v>2481.85</v>
      </c>
      <c r="E93" s="89"/>
      <c r="F93" s="117">
        <v>44752</v>
      </c>
      <c r="G93" s="281"/>
      <c r="H93" s="277">
        <f t="shared" si="2"/>
        <v>2481.85</v>
      </c>
      <c r="I93" s="112"/>
    </row>
    <row r="94" spans="1:9" ht="20.25" customHeight="1" x14ac:dyDescent="0.25">
      <c r="A94" s="522"/>
      <c r="B94" s="103" t="s">
        <v>267</v>
      </c>
      <c r="C94" s="269" t="s">
        <v>913</v>
      </c>
      <c r="D94" s="110">
        <v>390.79</v>
      </c>
      <c r="E94" s="89" t="s">
        <v>777</v>
      </c>
      <c r="F94" s="117">
        <v>707</v>
      </c>
      <c r="G94" s="281">
        <v>390.79</v>
      </c>
      <c r="H94" s="277">
        <f>D94-G94</f>
        <v>0</v>
      </c>
      <c r="I94" s="112"/>
    </row>
    <row r="95" spans="1:9" ht="20.25" customHeight="1" x14ac:dyDescent="0.25">
      <c r="A95" s="522"/>
      <c r="B95" s="103" t="s">
        <v>267</v>
      </c>
      <c r="C95" s="269" t="s">
        <v>914</v>
      </c>
      <c r="D95" s="110">
        <v>1987.45</v>
      </c>
      <c r="E95" s="89"/>
      <c r="F95" s="117">
        <v>44749</v>
      </c>
      <c r="G95" s="282">
        <v>1987.45</v>
      </c>
      <c r="H95" s="277">
        <f>D95-G95</f>
        <v>0</v>
      </c>
      <c r="I95" s="112"/>
    </row>
    <row r="96" spans="1:9" ht="20.25" customHeight="1" x14ac:dyDescent="0.25">
      <c r="A96" s="522"/>
      <c r="B96" s="103"/>
      <c r="C96" s="269"/>
      <c r="D96" s="110"/>
      <c r="E96" s="89"/>
      <c r="F96" s="117"/>
      <c r="G96" s="282"/>
      <c r="H96" s="277">
        <f t="shared" si="2"/>
        <v>0</v>
      </c>
      <c r="I96" s="112"/>
    </row>
    <row r="97" spans="1:9" ht="20.25" customHeight="1" x14ac:dyDescent="0.25">
      <c r="A97" s="522"/>
      <c r="B97" s="103"/>
      <c r="C97" s="269"/>
      <c r="D97" s="110"/>
      <c r="E97" s="89"/>
      <c r="F97" s="117"/>
      <c r="G97" s="282"/>
      <c r="H97" s="277">
        <f t="shared" si="2"/>
        <v>0</v>
      </c>
      <c r="I97" s="313"/>
    </row>
    <row r="98" spans="1:9" ht="20.25" customHeight="1" x14ac:dyDescent="0.25">
      <c r="A98" s="522"/>
      <c r="B98" s="103"/>
      <c r="C98" s="269"/>
      <c r="D98" s="110"/>
      <c r="E98" s="89"/>
      <c r="F98" s="117"/>
      <c r="G98" s="282"/>
      <c r="H98" s="277">
        <f t="shared" si="2"/>
        <v>0</v>
      </c>
      <c r="I98" s="112"/>
    </row>
    <row r="99" spans="1:9" ht="20.25" customHeight="1" x14ac:dyDescent="0.25">
      <c r="A99" s="522"/>
      <c r="B99" s="103"/>
      <c r="C99" s="269"/>
      <c r="D99" s="110"/>
      <c r="E99" s="89"/>
      <c r="F99" s="117"/>
      <c r="G99" s="282"/>
      <c r="H99" s="277">
        <f t="shared" si="2"/>
        <v>0</v>
      </c>
      <c r="I99" s="313"/>
    </row>
    <row r="100" spans="1:9" ht="20.25" customHeight="1" x14ac:dyDescent="0.25">
      <c r="A100" s="522"/>
      <c r="B100" s="103"/>
      <c r="C100" s="269"/>
      <c r="D100" s="110"/>
      <c r="E100" s="101"/>
      <c r="F100" s="117"/>
      <c r="G100" s="282"/>
      <c r="H100" s="277">
        <f t="shared" si="2"/>
        <v>0</v>
      </c>
      <c r="I100" s="313"/>
    </row>
    <row r="101" spans="1:9" ht="20.25" customHeight="1" x14ac:dyDescent="0.25">
      <c r="A101" s="522"/>
      <c r="B101" s="102"/>
      <c r="C101" s="265"/>
      <c r="D101" s="110"/>
      <c r="E101" s="89"/>
      <c r="F101" s="111"/>
      <c r="G101" s="282"/>
      <c r="H101" s="277">
        <f t="shared" si="2"/>
        <v>0</v>
      </c>
      <c r="I101" s="109"/>
    </row>
    <row r="102" spans="1:9" ht="20.25" customHeight="1" x14ac:dyDescent="0.25">
      <c r="A102" s="522"/>
      <c r="B102" s="291" t="s">
        <v>854</v>
      </c>
      <c r="C102" s="265"/>
      <c r="D102" s="371">
        <v>40000</v>
      </c>
      <c r="E102" s="97"/>
      <c r="F102" s="115"/>
      <c r="G102" s="283"/>
      <c r="H102" s="277">
        <f t="shared" si="2"/>
        <v>40000</v>
      </c>
      <c r="I102" s="313"/>
    </row>
    <row r="103" spans="1:9" ht="20.25" customHeight="1" x14ac:dyDescent="0.25">
      <c r="A103" s="522"/>
      <c r="B103" s="103"/>
      <c r="C103" s="269"/>
      <c r="D103" s="110"/>
      <c r="E103" s="101"/>
      <c r="F103" s="117"/>
      <c r="G103" s="282"/>
      <c r="H103" s="277"/>
      <c r="I103" s="112"/>
    </row>
    <row r="104" spans="1:9" ht="20.25" customHeight="1" x14ac:dyDescent="0.25">
      <c r="A104" s="522"/>
      <c r="B104" s="103"/>
      <c r="C104" s="269"/>
      <c r="D104" s="110"/>
      <c r="E104" s="101"/>
      <c r="F104" s="117"/>
      <c r="G104" s="282"/>
      <c r="H104" s="277">
        <f>D104-G104</f>
        <v>0</v>
      </c>
      <c r="I104" s="112"/>
    </row>
    <row r="105" spans="1:9" ht="20.25" customHeight="1" x14ac:dyDescent="0.25">
      <c r="A105" s="522"/>
      <c r="B105" s="103"/>
      <c r="C105" s="269"/>
      <c r="D105" s="110"/>
      <c r="E105" s="101"/>
      <c r="F105" s="117"/>
      <c r="G105" s="282"/>
      <c r="H105" s="277">
        <f>D105-G105</f>
        <v>0</v>
      </c>
      <c r="I105" s="112"/>
    </row>
    <row r="106" spans="1:9" ht="18.600000000000001" customHeight="1" x14ac:dyDescent="0.25">
      <c r="A106" s="522"/>
      <c r="B106" s="260" t="s">
        <v>140</v>
      </c>
      <c r="C106" s="268"/>
      <c r="D106" s="261">
        <f>SUM(D76:D105)</f>
        <v>223729.03000000003</v>
      </c>
      <c r="E106" s="262"/>
      <c r="F106" s="263"/>
      <c r="G106" s="286"/>
      <c r="H106" s="300">
        <f>+SUM(H76:H97)</f>
        <v>50535.55</v>
      </c>
      <c r="I106" s="255"/>
    </row>
    <row r="107" spans="1:9" ht="21" customHeight="1" x14ac:dyDescent="0.25">
      <c r="A107" s="304"/>
      <c r="B107" s="305"/>
      <c r="C107" s="306"/>
      <c r="D107" s="307"/>
      <c r="E107" s="84"/>
    </row>
    <row r="108" spans="1:9" ht="21" customHeight="1" x14ac:dyDescent="0.25">
      <c r="A108" s="119" t="s">
        <v>126</v>
      </c>
      <c r="B108" s="104"/>
      <c r="C108" s="271"/>
      <c r="D108" s="274">
        <f>+SUM(D106+D74+D36)</f>
        <v>309055.10000000003</v>
      </c>
      <c r="H108" s="274">
        <f>+SUM(H106+H74+H36)</f>
        <v>93280.75</v>
      </c>
    </row>
  </sheetData>
  <sortState xmlns:xlrd2="http://schemas.microsoft.com/office/spreadsheetml/2017/richdata2" ref="B37:I70">
    <sortCondition ref="F37:F70"/>
  </sortState>
  <mergeCells count="7">
    <mergeCell ref="A76:A106"/>
    <mergeCell ref="A2:A35"/>
    <mergeCell ref="K8:L8"/>
    <mergeCell ref="K10:L10"/>
    <mergeCell ref="K13:L13"/>
    <mergeCell ref="K24:M24"/>
    <mergeCell ref="A37:A74"/>
  </mergeCells>
  <phoneticPr fontId="70" type="noConversion"/>
  <conditionalFormatting sqref="C77:E77 B31 I12:I13 B2:I2 B80:D81 B84:D84 B100:G101 F80:G84 B78:E79 B59:G59 E74:G75 F73:I73 B85:G87 G3:G27 I3:I10 H3:H35 E70:G70 B65:G67 I77:I106 B48:G48 I50 B52:G52 I52 B54:G54 I54 G78:G79 H76:H101 C82:D83 B49:E50 G49:G50 G68:G69 E88:G88 C90:D91 F89:G99 I65:I70 H103:H105 B103:G106 H37:H50 F38:F45 H52:H72 D2:D35 F3:F31 B3:E23 B92:D99 B72 D69:D72 D74:D76 D24:E27 B24:C29">
    <cfRule type="expression" dxfId="428" priority="232">
      <formula>MOD(ROW(),2)=1</formula>
    </cfRule>
  </conditionalFormatting>
  <conditionalFormatting sqref="F2:G11 F8:F12">
    <cfRule type="timePeriod" dxfId="427" priority="227" timePeriod="yesterday">
      <formula>FLOOR(F2,1)=TODAY()-1</formula>
    </cfRule>
    <cfRule type="timePeriod" dxfId="426" priority="229" timePeriod="today">
      <formula>FLOOR(F2,1)=TODAY()</formula>
    </cfRule>
    <cfRule type="cellIs" dxfId="425" priority="230" operator="lessThan">
      <formula>_xludf.today()</formula>
    </cfRule>
  </conditionalFormatting>
  <conditionalFormatting sqref="F28:F31 F59:G59 F73:G75 F65:G67 F48:G48 F52:G52 F54:G54 G78:G79 G49:G50 F70:G70 G68:G69 F80:G101 F103:G106 F38:F45 F2:G27">
    <cfRule type="cellIs" dxfId="424" priority="222" operator="lessThan">
      <formula>TODAY()</formula>
    </cfRule>
    <cfRule type="timePeriod" dxfId="423" priority="223" timePeriod="last7Days">
      <formula>AND(TODAY()-FLOOR(F2,1)&lt;=6,FLOOR(F2,1)&lt;=TODAY())</formula>
    </cfRule>
    <cfRule type="timePeriod" dxfId="422" priority="224" timePeriod="yesterday">
      <formula>FLOOR(F2,1)=TODAY()-1</formula>
    </cfRule>
    <cfRule type="timePeriod" dxfId="421" priority="225" timePeriod="lastMonth">
      <formula>AND(MONTH(F2)=MONTH(EDATE(TODAY(),0-1)),YEAR(F2)=YEAR(EDATE(TODAY(),0-1)))</formula>
    </cfRule>
    <cfRule type="timePeriod" dxfId="420" priority="226" timePeriod="yesterday">
      <formula>FLOOR(F2,1)=TODAY()-1</formula>
    </cfRule>
    <cfRule type="timePeriod" dxfId="419" priority="228" timePeriod="today">
      <formula>FLOOR(F2,1)=TODAY()</formula>
    </cfRule>
  </conditionalFormatting>
  <conditionalFormatting sqref="B76:E76 B77 I76">
    <cfRule type="expression" dxfId="418" priority="220">
      <formula>MOD(ROW(),2)=1</formula>
    </cfRule>
  </conditionalFormatting>
  <conditionalFormatting sqref="F12:G12">
    <cfRule type="timePeriod" dxfId="417" priority="217" timePeriod="yesterday">
      <formula>FLOOR(F12,1)=TODAY()-1</formula>
    </cfRule>
    <cfRule type="timePeriod" dxfId="416" priority="218" timePeriod="today">
      <formula>FLOOR(F12,1)=TODAY()</formula>
    </cfRule>
    <cfRule type="cellIs" dxfId="415" priority="219" operator="lessThan">
      <formula>_xludf.today()</formula>
    </cfRule>
  </conditionalFormatting>
  <conditionalFormatting sqref="F13:G13">
    <cfRule type="timePeriod" dxfId="414" priority="214" timePeriod="yesterday">
      <formula>FLOOR(F13,1)=TODAY()-1</formula>
    </cfRule>
    <cfRule type="timePeriod" dxfId="413" priority="215" timePeriod="today">
      <formula>FLOOR(F13,1)=TODAY()</formula>
    </cfRule>
    <cfRule type="cellIs" dxfId="412" priority="216" operator="lessThan">
      <formula>_xludf.today()</formula>
    </cfRule>
  </conditionalFormatting>
  <conditionalFormatting sqref="B30:G31 B32:C32 F32:G32 D28:G29">
    <cfRule type="expression" dxfId="411" priority="213">
      <formula>MOD(ROW(),2)=1</formula>
    </cfRule>
  </conditionalFormatting>
  <conditionalFormatting sqref="F28:G32">
    <cfRule type="cellIs" dxfId="410" priority="207" operator="lessThan">
      <formula>TODAY()</formula>
    </cfRule>
    <cfRule type="timePeriod" dxfId="409" priority="208" timePeriod="last7Days">
      <formula>AND(TODAY()-FLOOR(F28,1)&lt;=6,FLOOR(F28,1)&lt;=TODAY())</formula>
    </cfRule>
    <cfRule type="timePeriod" dxfId="408" priority="209" timePeriod="yesterday">
      <formula>FLOOR(F28,1)=TODAY()-1</formula>
    </cfRule>
    <cfRule type="timePeriod" dxfId="407" priority="210" timePeriod="lastMonth">
      <formula>AND(MONTH(F28)=MONTH(EDATE(TODAY(),0-1)),YEAR(F28)=YEAR(EDATE(TODAY(),0-1)))</formula>
    </cfRule>
    <cfRule type="timePeriod" dxfId="406" priority="211" timePeriod="yesterday">
      <formula>FLOOR(F28,1)=TODAY()-1</formula>
    </cfRule>
    <cfRule type="timePeriod" dxfId="405" priority="212" timePeriod="today">
      <formula>FLOOR(F28,1)=TODAY()</formula>
    </cfRule>
  </conditionalFormatting>
  <conditionalFormatting sqref="B33:G35">
    <cfRule type="expression" dxfId="404" priority="206">
      <formula>MOD(ROW(),2)=1</formula>
    </cfRule>
  </conditionalFormatting>
  <conditionalFormatting sqref="F33:G35">
    <cfRule type="cellIs" dxfId="403" priority="200" operator="lessThan">
      <formula>TODAY()</formula>
    </cfRule>
    <cfRule type="timePeriod" dxfId="402" priority="201" timePeriod="last7Days">
      <formula>AND(TODAY()-FLOOR(F33,1)&lt;=6,FLOOR(F33,1)&lt;=TODAY())</formula>
    </cfRule>
    <cfRule type="timePeriod" dxfId="401" priority="202" timePeriod="yesterday">
      <formula>FLOOR(F33,1)=TODAY()-1</formula>
    </cfRule>
    <cfRule type="timePeriod" dxfId="400" priority="203" timePeriod="lastMonth">
      <formula>AND(MONTH(F33)=MONTH(EDATE(TODAY(),0-1)),YEAR(F33)=YEAR(EDATE(TODAY(),0-1)))</formula>
    </cfRule>
    <cfRule type="timePeriod" dxfId="399" priority="204" timePeriod="yesterday">
      <formula>FLOOR(F33,1)=TODAY()-1</formula>
    </cfRule>
    <cfRule type="timePeriod" dxfId="398" priority="205" timePeriod="today">
      <formula>FLOOR(F33,1)=TODAY()</formula>
    </cfRule>
  </conditionalFormatting>
  <conditionalFormatting sqref="I14:I32">
    <cfRule type="expression" dxfId="397" priority="195">
      <formula>MOD(ROW(),2)=1</formula>
    </cfRule>
  </conditionalFormatting>
  <conditionalFormatting sqref="B82:B83">
    <cfRule type="expression" dxfId="396" priority="191">
      <formula>MOD(ROW(),2)=1</formula>
    </cfRule>
  </conditionalFormatting>
  <conditionalFormatting sqref="E83">
    <cfRule type="expression" dxfId="395" priority="190">
      <formula>MOD(ROW(),2)=1</formula>
    </cfRule>
  </conditionalFormatting>
  <conditionalFormatting sqref="G76:G77">
    <cfRule type="expression" dxfId="394" priority="189">
      <formula>MOD(ROW(),2)=1</formula>
    </cfRule>
  </conditionalFormatting>
  <conditionalFormatting sqref="G76:G77">
    <cfRule type="cellIs" dxfId="393" priority="183" operator="lessThan">
      <formula>TODAY()</formula>
    </cfRule>
    <cfRule type="timePeriod" dxfId="392" priority="184" timePeriod="last7Days">
      <formula>AND(TODAY()-FLOOR(G76,1)&lt;=6,FLOOR(G76,1)&lt;=TODAY())</formula>
    </cfRule>
    <cfRule type="timePeriod" dxfId="391" priority="185" timePeriod="yesterday">
      <formula>FLOOR(G76,1)=TODAY()-1</formula>
    </cfRule>
    <cfRule type="timePeriod" dxfId="390" priority="186" timePeriod="lastMonth">
      <formula>AND(MONTH(G76)=MONTH(EDATE(TODAY(),0-1)),YEAR(G76)=YEAR(EDATE(TODAY(),0-1)))</formula>
    </cfRule>
    <cfRule type="timePeriod" dxfId="389" priority="187" timePeriod="yesterday">
      <formula>FLOOR(G76,1)=TODAY()-1</formula>
    </cfRule>
    <cfRule type="timePeriod" dxfId="388" priority="188" timePeriod="today">
      <formula>FLOOR(G76,1)=TODAY()</formula>
    </cfRule>
  </conditionalFormatting>
  <conditionalFormatting sqref="F13:F14">
    <cfRule type="timePeriod" dxfId="387" priority="180" timePeriod="yesterday">
      <formula>FLOOR(F13,1)=TODAY()-1</formula>
    </cfRule>
    <cfRule type="timePeriod" dxfId="386" priority="181" timePeriod="today">
      <formula>FLOOR(F13,1)=TODAY()</formula>
    </cfRule>
    <cfRule type="cellIs" dxfId="385" priority="182" operator="lessThan">
      <formula>_xludf.today()</formula>
    </cfRule>
  </conditionalFormatting>
  <conditionalFormatting sqref="F15:F23">
    <cfRule type="timePeriod" dxfId="384" priority="177" timePeriod="yesterday">
      <formula>FLOOR(F15,1)=TODAY()-1</formula>
    </cfRule>
    <cfRule type="timePeriod" dxfId="383" priority="178" timePeriod="today">
      <formula>FLOOR(F15,1)=TODAY()</formula>
    </cfRule>
    <cfRule type="cellIs" dxfId="382" priority="179" operator="lessThan">
      <formula>_xludf.today()</formula>
    </cfRule>
  </conditionalFormatting>
  <conditionalFormatting sqref="F26">
    <cfRule type="timePeriod" dxfId="381" priority="174" timePeriod="yesterday">
      <formula>FLOOR(F26,1)=TODAY()-1</formula>
    </cfRule>
    <cfRule type="timePeriod" dxfId="380" priority="175" timePeriod="today">
      <formula>FLOOR(F26,1)=TODAY()</formula>
    </cfRule>
    <cfRule type="cellIs" dxfId="379" priority="176" operator="lessThan">
      <formula>_xludf.today()</formula>
    </cfRule>
  </conditionalFormatting>
  <conditionalFormatting sqref="B30">
    <cfRule type="expression" dxfId="376" priority="171">
      <formula>MOD(ROW(),2)=1</formula>
    </cfRule>
  </conditionalFormatting>
  <conditionalFormatting sqref="I74:I75">
    <cfRule type="expression" dxfId="375" priority="169">
      <formula>MOD(ROW(),2)=1</formula>
    </cfRule>
  </conditionalFormatting>
  <conditionalFormatting sqref="I74:I75">
    <cfRule type="expression" dxfId="374" priority="168">
      <formula>MOD(ROW(),2)=1</formula>
    </cfRule>
  </conditionalFormatting>
  <conditionalFormatting sqref="H74:H75">
    <cfRule type="expression" dxfId="373" priority="167">
      <formula>MOD(ROW(),2)=1</formula>
    </cfRule>
  </conditionalFormatting>
  <conditionalFormatting sqref="H106">
    <cfRule type="expression" dxfId="372" priority="166">
      <formula>MOD(ROW(),2)=1</formula>
    </cfRule>
  </conditionalFormatting>
  <conditionalFormatting sqref="I33:I35">
    <cfRule type="expression" dxfId="371" priority="164">
      <formula>MOD(ROW(),2)=1</formula>
    </cfRule>
  </conditionalFormatting>
  <conditionalFormatting sqref="I11">
    <cfRule type="expression" dxfId="370" priority="160">
      <formula>MOD(ROW(),2)=1</formula>
    </cfRule>
  </conditionalFormatting>
  <conditionalFormatting sqref="D37:G37 D39:E40 D43:E44 D47:G47 D57:E58 D60:E61 D64:E64 G64 G60:G61 G57:G58 G43:G44 G39:G40">
    <cfRule type="expression" dxfId="369" priority="139">
      <formula>MOD(ROW(),2)=1</formula>
    </cfRule>
  </conditionalFormatting>
  <conditionalFormatting sqref="F37:G37 G39:G40 G43:G44 F47:G47 G57:G58 G60:G61 G64">
    <cfRule type="cellIs" dxfId="368" priority="133" operator="lessThan">
      <formula>TODAY()</formula>
    </cfRule>
    <cfRule type="timePeriod" dxfId="367" priority="134" timePeriod="last7Days">
      <formula>AND(TODAY()-FLOOR(F37,1)&lt;=6,FLOOR(F37,1)&lt;=TODAY())</formula>
    </cfRule>
    <cfRule type="timePeriod" dxfId="366" priority="135" timePeriod="yesterday">
      <formula>FLOOR(F37,1)=TODAY()-1</formula>
    </cfRule>
    <cfRule type="timePeriod" dxfId="365" priority="136" timePeriod="lastMonth">
      <formula>AND(MONTH(F37)=MONTH(EDATE(TODAY(),0-1)),YEAR(F37)=YEAR(EDATE(TODAY(),0-1)))</formula>
    </cfRule>
    <cfRule type="timePeriod" dxfId="364" priority="137" timePeriod="yesterday">
      <formula>FLOOR(F37,1)=TODAY()-1</formula>
    </cfRule>
    <cfRule type="timePeriod" dxfId="363" priority="138" timePeriod="today">
      <formula>FLOOR(F37,1)=TODAY()</formula>
    </cfRule>
  </conditionalFormatting>
  <conditionalFormatting sqref="B41:E42 B46:G46 B53:G53 B55:E56 B62:E63 B37:C37 B39:C40 B43:C44 B47:C47 B57:C58 B60:C61 B64:C64 G62:G63 G55:G56 B45:E45 G45 G41:G42 B38:E38 G38">
    <cfRule type="expression" dxfId="362" priority="132">
      <formula>MOD(ROW(),2)=1</formula>
    </cfRule>
  </conditionalFormatting>
  <conditionalFormatting sqref="G41:G42 F46:G46 F53:G53 G55:G56 G62:G63 G45 G38">
    <cfRule type="cellIs" dxfId="361" priority="126" operator="lessThan">
      <formula>TODAY()</formula>
    </cfRule>
    <cfRule type="timePeriod" dxfId="360" priority="127" timePeriod="last7Days">
      <formula>AND(TODAY()-FLOOR(F38,1)&lt;=6,FLOOR(F38,1)&lt;=TODAY())</formula>
    </cfRule>
    <cfRule type="timePeriod" dxfId="359" priority="128" timePeriod="yesterday">
      <formula>FLOOR(F38,1)=TODAY()-1</formula>
    </cfRule>
    <cfRule type="timePeriod" dxfId="358" priority="129" timePeriod="lastMonth">
      <formula>AND(MONTH(F38)=MONTH(EDATE(TODAY(),0-1)),YEAR(F38)=YEAR(EDATE(TODAY(),0-1)))</formula>
    </cfRule>
    <cfRule type="timePeriod" dxfId="357" priority="130" timePeriod="yesterday">
      <formula>FLOOR(F38,1)=TODAY()-1</formula>
    </cfRule>
    <cfRule type="timePeriod" dxfId="356" priority="131" timePeriod="today">
      <formula>FLOOR(F38,1)=TODAY()</formula>
    </cfRule>
  </conditionalFormatting>
  <conditionalFormatting sqref="I41 I45 I48 I53 I55 I101">
    <cfRule type="expression" dxfId="355" priority="124">
      <formula>MOD(ROW(),2)=1</formula>
    </cfRule>
  </conditionalFormatting>
  <conditionalFormatting sqref="I38 I42 I46 I49 I51 I56 I59 I63">
    <cfRule type="expression" dxfId="354" priority="123">
      <formula>MOD(ROW(),2)=1</formula>
    </cfRule>
  </conditionalFormatting>
  <conditionalFormatting sqref="I37 I39:I40 I43:I44 I47 I57:I58 I60:I61 I64">
    <cfRule type="expression" dxfId="353" priority="122">
      <formula>MOD(ROW(),2)=1</formula>
    </cfRule>
  </conditionalFormatting>
  <conditionalFormatting sqref="E80:E82">
    <cfRule type="expression" dxfId="352" priority="121">
      <formula>MOD(ROW(),2)=1</formula>
    </cfRule>
  </conditionalFormatting>
  <conditionalFormatting sqref="E84 E90:E99">
    <cfRule type="expression" dxfId="351" priority="120">
      <formula>MOD(ROW(),2)=1</formula>
    </cfRule>
  </conditionalFormatting>
  <conditionalFormatting sqref="D32">
    <cfRule type="expression" dxfId="350" priority="119">
      <formula>MOD(ROW(),2)=1</formula>
    </cfRule>
  </conditionalFormatting>
  <conditionalFormatting sqref="E32">
    <cfRule type="expression" dxfId="349" priority="118">
      <formula>MOD(ROW(),2)=1</formula>
    </cfRule>
  </conditionalFormatting>
  <conditionalFormatting sqref="H51">
    <cfRule type="expression" dxfId="348" priority="117">
      <formula>MOD(ROW(),2)=1</formula>
    </cfRule>
  </conditionalFormatting>
  <conditionalFormatting sqref="B51:G51">
    <cfRule type="expression" dxfId="347" priority="116">
      <formula>MOD(ROW(),2)=1</formula>
    </cfRule>
  </conditionalFormatting>
  <conditionalFormatting sqref="F51:G51">
    <cfRule type="cellIs" dxfId="346" priority="110" operator="lessThan">
      <formula>TODAY()</formula>
    </cfRule>
    <cfRule type="timePeriod" dxfId="345" priority="111" timePeriod="last7Days">
      <formula>AND(TODAY()-FLOOR(F51,1)&lt;=6,FLOOR(F51,1)&lt;=TODAY())</formula>
    </cfRule>
    <cfRule type="timePeriod" dxfId="344" priority="112" timePeriod="yesterday">
      <formula>FLOOR(F51,1)=TODAY()-1</formula>
    </cfRule>
    <cfRule type="timePeriod" dxfId="343" priority="113" timePeriod="lastMonth">
      <formula>AND(MONTH(F51)=MONTH(EDATE(TODAY(),0-1)),YEAR(F51)=YEAR(EDATE(TODAY(),0-1)))</formula>
    </cfRule>
    <cfRule type="timePeriod" dxfId="342" priority="114" timePeriod="yesterday">
      <formula>FLOOR(F51,1)=TODAY()-1</formula>
    </cfRule>
    <cfRule type="timePeriod" dxfId="341" priority="115" timePeriod="today">
      <formula>FLOOR(F51,1)=TODAY()</formula>
    </cfRule>
  </conditionalFormatting>
  <conditionalFormatting sqref="F71:G72 I71:I72">
    <cfRule type="expression" dxfId="340" priority="92">
      <formula>MOD(ROW(),2)=1</formula>
    </cfRule>
  </conditionalFormatting>
  <conditionalFormatting sqref="F71:G72">
    <cfRule type="cellIs" dxfId="339" priority="86" operator="lessThan">
      <formula>TODAY()</formula>
    </cfRule>
    <cfRule type="timePeriod" dxfId="338" priority="87" timePeriod="last7Days">
      <formula>AND(TODAY()-FLOOR(F71,1)&lt;=6,FLOOR(F71,1)&lt;=TODAY())</formula>
    </cfRule>
    <cfRule type="timePeriod" dxfId="337" priority="88" timePeriod="yesterday">
      <formula>FLOOR(F71,1)=TODAY()-1</formula>
    </cfRule>
    <cfRule type="timePeriod" dxfId="336" priority="89" timePeriod="lastMonth">
      <formula>AND(MONTH(F71)=MONTH(EDATE(TODAY(),0-1)),YEAR(F71)=YEAR(EDATE(TODAY(),0-1)))</formula>
    </cfRule>
    <cfRule type="timePeriod" dxfId="335" priority="90" timePeriod="yesterday">
      <formula>FLOOR(F71,1)=TODAY()-1</formula>
    </cfRule>
    <cfRule type="timePeriod" dxfId="334" priority="91" timePeriod="today">
      <formula>FLOOR(F71,1)=TODAY()</formula>
    </cfRule>
  </conditionalFormatting>
  <conditionalFormatting sqref="E71:E72">
    <cfRule type="expression" dxfId="333" priority="85">
      <formula>MOD(ROW(),2)=1</formula>
    </cfRule>
  </conditionalFormatting>
  <conditionalFormatting sqref="B36:G36">
    <cfRule type="expression" dxfId="332" priority="84">
      <formula>MOD(ROW(),2)=1</formula>
    </cfRule>
  </conditionalFormatting>
  <conditionalFormatting sqref="F36:G36">
    <cfRule type="cellIs" dxfId="331" priority="78" operator="lessThan">
      <formula>TODAY()</formula>
    </cfRule>
    <cfRule type="timePeriod" dxfId="330" priority="79" timePeriod="last7Days">
      <formula>AND(TODAY()-FLOOR(F36,1)&lt;=6,FLOOR(F36,1)&lt;=TODAY())</formula>
    </cfRule>
    <cfRule type="timePeriod" dxfId="329" priority="80" timePeriod="yesterday">
      <formula>FLOOR(F36,1)=TODAY()-1</formula>
    </cfRule>
    <cfRule type="timePeriod" dxfId="328" priority="81" timePeriod="lastMonth">
      <formula>AND(MONTH(F36)=MONTH(EDATE(TODAY(),0-1)),YEAR(F36)=YEAR(EDATE(TODAY(),0-1)))</formula>
    </cfRule>
    <cfRule type="timePeriod" dxfId="327" priority="82" timePeriod="yesterday">
      <formula>FLOOR(F36,1)=TODAY()-1</formula>
    </cfRule>
    <cfRule type="timePeriod" dxfId="326" priority="83" timePeriod="today">
      <formula>FLOOR(F36,1)=TODAY()</formula>
    </cfRule>
  </conditionalFormatting>
  <conditionalFormatting sqref="I36">
    <cfRule type="expression" dxfId="325" priority="76">
      <formula>MOD(ROW(),2)=1</formula>
    </cfRule>
  </conditionalFormatting>
  <conditionalFormatting sqref="I36">
    <cfRule type="expression" dxfId="324" priority="75">
      <formula>MOD(ROW(),2)=1</formula>
    </cfRule>
  </conditionalFormatting>
  <conditionalFormatting sqref="H36">
    <cfRule type="expression" dxfId="323" priority="74">
      <formula>MOD(ROW(),2)=1</formula>
    </cfRule>
  </conditionalFormatting>
  <conditionalFormatting sqref="I62">
    <cfRule type="expression" dxfId="322" priority="65">
      <formula>MOD(ROW(),2)=1</formula>
    </cfRule>
  </conditionalFormatting>
  <conditionalFormatting sqref="F76:F79">
    <cfRule type="expression" dxfId="321" priority="57">
      <formula>MOD(ROW(),2)=1</formula>
    </cfRule>
  </conditionalFormatting>
  <conditionalFormatting sqref="F76:F79">
    <cfRule type="cellIs" dxfId="320" priority="51" operator="lessThan">
      <formula>TODAY()</formula>
    </cfRule>
    <cfRule type="timePeriod" dxfId="319" priority="52" timePeriod="last7Days">
      <formula>AND(TODAY()-FLOOR(F76,1)&lt;=6,FLOOR(F76,1)&lt;=TODAY())</formula>
    </cfRule>
    <cfRule type="timePeriod" dxfId="318" priority="53" timePeriod="yesterday">
      <formula>FLOOR(F76,1)=TODAY()-1</formula>
    </cfRule>
    <cfRule type="timePeriod" dxfId="317" priority="54" timePeriod="lastMonth">
      <formula>AND(MONTH(F76)=MONTH(EDATE(TODAY(),0-1)),YEAR(F76)=YEAR(EDATE(TODAY(),0-1)))</formula>
    </cfRule>
    <cfRule type="timePeriod" dxfId="316" priority="55" timePeriod="yesterday">
      <formula>FLOOR(F76,1)=TODAY()-1</formula>
    </cfRule>
    <cfRule type="timePeriod" dxfId="315" priority="56" timePeriod="today">
      <formula>FLOOR(F76,1)=TODAY()</formula>
    </cfRule>
  </conditionalFormatting>
  <conditionalFormatting sqref="F60:F64">
    <cfRule type="expression" dxfId="314" priority="50">
      <formula>MOD(ROW(),2)=1</formula>
    </cfRule>
  </conditionalFormatting>
  <conditionalFormatting sqref="F60:F64">
    <cfRule type="cellIs" dxfId="313" priority="44" operator="lessThan">
      <formula>TODAY()</formula>
    </cfRule>
    <cfRule type="timePeriod" dxfId="312" priority="45" timePeriod="last7Days">
      <formula>AND(TODAY()-FLOOR(F60,1)&lt;=6,FLOOR(F60,1)&lt;=TODAY())</formula>
    </cfRule>
    <cfRule type="timePeriod" dxfId="311" priority="46" timePeriod="yesterday">
      <formula>FLOOR(F60,1)=TODAY()-1</formula>
    </cfRule>
    <cfRule type="timePeriod" dxfId="310" priority="47" timePeriod="lastMonth">
      <formula>AND(MONTH(F60)=MONTH(EDATE(TODAY(),0-1)),YEAR(F60)=YEAR(EDATE(TODAY(),0-1)))</formula>
    </cfRule>
    <cfRule type="timePeriod" dxfId="309" priority="48" timePeriod="yesterday">
      <formula>FLOOR(F60,1)=TODAY()-1</formula>
    </cfRule>
    <cfRule type="timePeriod" dxfId="308" priority="49" timePeriod="today">
      <formula>FLOOR(F60,1)=TODAY()</formula>
    </cfRule>
  </conditionalFormatting>
  <conditionalFormatting sqref="F55:F58">
    <cfRule type="expression" dxfId="307" priority="43">
      <formula>MOD(ROW(),2)=1</formula>
    </cfRule>
  </conditionalFormatting>
  <conditionalFormatting sqref="F55:F58">
    <cfRule type="cellIs" dxfId="306" priority="37" operator="lessThan">
      <formula>TODAY()</formula>
    </cfRule>
    <cfRule type="timePeriod" dxfId="305" priority="38" timePeriod="last7Days">
      <formula>AND(TODAY()-FLOOR(F55,1)&lt;=6,FLOOR(F55,1)&lt;=TODAY())</formula>
    </cfRule>
    <cfRule type="timePeriod" dxfId="304" priority="39" timePeriod="yesterday">
      <formula>FLOOR(F55,1)=TODAY()-1</formula>
    </cfRule>
    <cfRule type="timePeriod" dxfId="303" priority="40" timePeriod="lastMonth">
      <formula>AND(MONTH(F55)=MONTH(EDATE(TODAY(),0-1)),YEAR(F55)=YEAR(EDATE(TODAY(),0-1)))</formula>
    </cfRule>
    <cfRule type="timePeriod" dxfId="302" priority="41" timePeriod="yesterday">
      <formula>FLOOR(F55,1)=TODAY()-1</formula>
    </cfRule>
    <cfRule type="timePeriod" dxfId="301" priority="42" timePeriod="today">
      <formula>FLOOR(F55,1)=TODAY()</formula>
    </cfRule>
  </conditionalFormatting>
  <conditionalFormatting sqref="F49:F50">
    <cfRule type="expression" dxfId="300" priority="29">
      <formula>MOD(ROW(),2)=1</formula>
    </cfRule>
  </conditionalFormatting>
  <conditionalFormatting sqref="F49:F50">
    <cfRule type="cellIs" dxfId="299" priority="23" operator="lessThan">
      <formula>TODAY()</formula>
    </cfRule>
    <cfRule type="timePeriod" dxfId="298" priority="24" timePeriod="last7Days">
      <formula>AND(TODAY()-FLOOR(F49,1)&lt;=6,FLOOR(F49,1)&lt;=TODAY())</formula>
    </cfRule>
    <cfRule type="timePeriod" dxfId="297" priority="25" timePeriod="yesterday">
      <formula>FLOOR(F49,1)=TODAY()-1</formula>
    </cfRule>
    <cfRule type="timePeriod" dxfId="296" priority="26" timePeriod="lastMonth">
      <formula>AND(MONTH(F49)=MONTH(EDATE(TODAY(),0-1)),YEAR(F49)=YEAR(EDATE(TODAY(),0-1)))</formula>
    </cfRule>
    <cfRule type="timePeriod" dxfId="295" priority="27" timePeriod="yesterday">
      <formula>FLOOR(F49,1)=TODAY()-1</formula>
    </cfRule>
    <cfRule type="timePeriod" dxfId="294" priority="28" timePeriod="today">
      <formula>FLOOR(F49,1)=TODAY()</formula>
    </cfRule>
  </conditionalFormatting>
  <conditionalFormatting sqref="B68:F68 E69:F69">
    <cfRule type="expression" dxfId="293" priority="22">
      <formula>MOD(ROW(),2)=1</formula>
    </cfRule>
  </conditionalFormatting>
  <conditionalFormatting sqref="F68:F69">
    <cfRule type="cellIs" dxfId="292" priority="16" operator="lessThan">
      <formula>TODAY()</formula>
    </cfRule>
    <cfRule type="timePeriod" dxfId="291" priority="17" timePeriod="last7Days">
      <formula>AND(TODAY()-FLOOR(F68,1)&lt;=6,FLOOR(F68,1)&lt;=TODAY())</formula>
    </cfRule>
    <cfRule type="timePeriod" dxfId="290" priority="18" timePeriod="yesterday">
      <formula>FLOOR(F68,1)=TODAY()-1</formula>
    </cfRule>
    <cfRule type="timePeriod" dxfId="289" priority="19" timePeriod="lastMonth">
      <formula>AND(MONTH(F68)=MONTH(EDATE(TODAY(),0-1)),YEAR(F68)=YEAR(EDATE(TODAY(),0-1)))</formula>
    </cfRule>
    <cfRule type="timePeriod" dxfId="288" priority="20" timePeriod="yesterday">
      <formula>FLOOR(F68,1)=TODAY()-1</formula>
    </cfRule>
    <cfRule type="timePeriod" dxfId="287" priority="21" timePeriod="today">
      <formula>FLOOR(F68,1)=TODAY()</formula>
    </cfRule>
  </conditionalFormatting>
  <conditionalFormatting sqref="B88:D88">
    <cfRule type="expression" dxfId="286" priority="15">
      <formula>MOD(ROW(),2)=1</formula>
    </cfRule>
  </conditionalFormatting>
  <conditionalFormatting sqref="B89:E89 B90:B91">
    <cfRule type="expression" dxfId="285" priority="14">
      <formula>MOD(ROW(),2)=1</formula>
    </cfRule>
  </conditionalFormatting>
  <conditionalFormatting sqref="H102">
    <cfRule type="expression" dxfId="284" priority="13">
      <formula>MOD(ROW(),2)=1</formula>
    </cfRule>
  </conditionalFormatting>
  <conditionalFormatting sqref="B102:G102">
    <cfRule type="expression" dxfId="283" priority="12">
      <formula>MOD(ROW(),2)=1</formula>
    </cfRule>
  </conditionalFormatting>
  <conditionalFormatting sqref="F102:G102">
    <cfRule type="cellIs" dxfId="282" priority="6" operator="lessThan">
      <formula>TODAY()</formula>
    </cfRule>
    <cfRule type="timePeriod" dxfId="281" priority="7" timePeriod="last7Days">
      <formula>AND(TODAY()-FLOOR(F102,1)&lt;=6,FLOOR(F102,1)&lt;=TODAY())</formula>
    </cfRule>
    <cfRule type="timePeriod" dxfId="280" priority="8" timePeriod="yesterday">
      <formula>FLOOR(F102,1)=TODAY()-1</formula>
    </cfRule>
    <cfRule type="timePeriod" dxfId="279" priority="9" timePeriod="lastMonth">
      <formula>AND(MONTH(F102)=MONTH(EDATE(TODAY(),0-1)),YEAR(F102)=YEAR(EDATE(TODAY(),0-1)))</formula>
    </cfRule>
    <cfRule type="timePeriod" dxfId="278" priority="10" timePeriod="yesterday">
      <formula>FLOOR(F102,1)=TODAY()-1</formula>
    </cfRule>
    <cfRule type="timePeriod" dxfId="277" priority="11" timePeriod="today">
      <formula>FLOOR(F102,1)=TODAY()</formula>
    </cfRule>
  </conditionalFormatting>
  <conditionalFormatting sqref="B69:D72">
    <cfRule type="expression" dxfId="276" priority="5">
      <formula>MOD(ROW(),2)=1</formula>
    </cfRule>
  </conditionalFormatting>
  <conditionalFormatting sqref="B74:D75">
    <cfRule type="expression" dxfId="275" priority="4">
      <formula>MOD(ROW(),2)=1</formula>
    </cfRule>
  </conditionalFormatting>
  <conditionalFormatting sqref="B69:B71">
    <cfRule type="expression" dxfId="274" priority="3">
      <formula>MOD(ROW(),2)=1</formula>
    </cfRule>
  </conditionalFormatting>
  <conditionalFormatting sqref="B73:E73">
    <cfRule type="expression" dxfId="273" priority="1">
      <formula>MOD(ROW(),2)=1</formula>
    </cfRule>
  </conditionalFormatting>
  <printOptions horizontalCentered="1"/>
  <pageMargins left="0.25" right="0.25" top="0.75" bottom="0.75" header="0.3" footer="0.3"/>
  <pageSetup paperSize="9" scale="63" fitToHeight="0" orientation="landscape" r:id="rId1"/>
  <headerFooter>
    <oddHeader>&amp;C&amp;"+,Bold"&amp;12&amp;K04-047Bill Paying&amp;"+,Regular" - CHECKLIST</oddHeader>
    <oddFooter>&amp;C&amp;K04+000Page &amp;P of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33" id="{249DCA20-BBDC-4B10-884D-2BCCAB23F95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231" id="{875FB99D-CCE8-4017-B6FF-C05B89E5477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I83</xm:sqref>
        </x14:conditionalFormatting>
        <x14:conditionalFormatting xmlns:xm="http://schemas.microsoft.com/office/excel/2006/main">
          <x14:cfRule type="iconSet" priority="234" id="{CCCCAB83-329A-42AA-B175-6C9243D02CD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A76 A37 A2</xm:sqref>
        </x14:conditionalFormatting>
        <x14:conditionalFormatting xmlns:xm="http://schemas.microsoft.com/office/excel/2006/main">
          <x14:cfRule type="iconSet" priority="221" id="{346BB788-0E7E-4BF0-99E6-AEF43912F3F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I76</xm:sqref>
        </x14:conditionalFormatting>
        <x14:conditionalFormatting xmlns:xm="http://schemas.microsoft.com/office/excel/2006/main">
          <x14:cfRule type="iconSet" priority="199" id="{311BE96A-2B7C-4C73-A8C2-5175408B24F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198" id="{4CFEDE5E-B8BE-4F76-860C-CA97232CA1B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I6:I7</xm:sqref>
        </x14:conditionalFormatting>
        <x14:conditionalFormatting xmlns:xm="http://schemas.microsoft.com/office/excel/2006/main">
          <x14:cfRule type="iconSet" priority="197" id="{67E7200C-A922-4B57-BACC-82DCDA120FB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I10</xm:sqref>
        </x14:conditionalFormatting>
        <x14:conditionalFormatting xmlns:xm="http://schemas.microsoft.com/office/excel/2006/main">
          <x14:cfRule type="iconSet" priority="196" id="{1509C33B-DE67-42A8-99BE-48CB7ACFA41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I14:I32</xm:sqref>
        </x14:conditionalFormatting>
        <x14:conditionalFormatting xmlns:xm="http://schemas.microsoft.com/office/excel/2006/main">
          <x14:cfRule type="iconSet" priority="194" id="{604B436C-E4ED-450C-92AA-7CC7AD8B92D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193" id="{549725AA-8F8F-4A9E-899E-2DBBA9A1E50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I15:I23</xm:sqref>
        </x14:conditionalFormatting>
        <x14:conditionalFormatting xmlns:xm="http://schemas.microsoft.com/office/excel/2006/main">
          <x14:cfRule type="iconSet" priority="192" id="{EC82D2E8-ECBF-4AAD-96A5-F477F62A5D2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I27</xm:sqref>
        </x14:conditionalFormatting>
        <x14:conditionalFormatting xmlns:xm="http://schemas.microsoft.com/office/excel/2006/main">
          <x14:cfRule type="iconSet" priority="235" id="{6EAE5D01-4842-4B03-B7E3-E5CC735A1C0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I12:I13 I3:I10</xm:sqref>
        </x14:conditionalFormatting>
        <x14:conditionalFormatting xmlns:xm="http://schemas.microsoft.com/office/excel/2006/main">
          <x14:cfRule type="iconSet" priority="161" id="{7D86475B-D2AA-450B-AD8C-A47348AE140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I11</xm:sqref>
        </x14:conditionalFormatting>
        <x14:conditionalFormatting xmlns:xm="http://schemas.microsoft.com/office/excel/2006/main">
          <x14:cfRule type="iconSet" priority="236" id="{1D741D63-D765-4B66-9FAB-E91782CE45C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I3:I7</xm:sqref>
        </x14:conditionalFormatting>
        <x14:conditionalFormatting xmlns:xm="http://schemas.microsoft.com/office/excel/2006/main">
          <x14:cfRule type="iconSet" priority="125" id="{41AFB9C8-5EA7-497D-8937-130F1E70F4E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I101 I41 I45 I48 I53 I55</xm:sqref>
        </x14:conditionalFormatting>
        <x14:conditionalFormatting xmlns:xm="http://schemas.microsoft.com/office/excel/2006/main">
          <x14:cfRule type="iconSet" priority="237" id="{357711D2-8763-409F-AFAD-B8CBE0A39A9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I89:I100 I84 I102:I106</xm:sqref>
        </x14:conditionalFormatting>
        <x14:conditionalFormatting xmlns:xm="http://schemas.microsoft.com/office/excel/2006/main">
          <x14:cfRule type="iconSet" priority="238" id="{8960AF24-0201-455B-8770-FC25CD44813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I77:I83</xm:sqref>
        </x14:conditionalFormatting>
        <x14:conditionalFormatting xmlns:xm="http://schemas.microsoft.com/office/excel/2006/main">
          <x14:cfRule type="iconSet" priority="93" id="{085CED94-7BA6-4836-90F0-8E84187E954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I71:I72</xm:sqref>
        </x14:conditionalFormatting>
        <x14:conditionalFormatting xmlns:xm="http://schemas.microsoft.com/office/excel/2006/main">
          <x14:cfRule type="iconSet" priority="242" id="{CF63EBB3-BE4A-4557-BFBD-4B740059E9F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I56 I51 I49 I38 I42 I46 I59 I63</xm:sqref>
        </x14:conditionalFormatting>
        <x14:conditionalFormatting xmlns:xm="http://schemas.microsoft.com/office/excel/2006/main">
          <x14:cfRule type="iconSet" priority="243" id="{14D9AE12-21DA-4771-BC1A-E99178C89BC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I85:I88</xm:sqref>
        </x14:conditionalFormatting>
        <x14:conditionalFormatting xmlns:xm="http://schemas.microsoft.com/office/excel/2006/main">
          <x14:cfRule type="iconSet" priority="77" id="{03536478-7A50-4554-B2DB-D4DE876FC49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I36</xm:sqref>
        </x14:conditionalFormatting>
        <x14:conditionalFormatting xmlns:xm="http://schemas.microsoft.com/office/excel/2006/main">
          <x14:cfRule type="iconSet" priority="66" id="{3075289D-AC69-499E-8E2C-66C0B47EC27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I62</xm:sqref>
        </x14:conditionalFormatting>
        <x14:conditionalFormatting xmlns:xm="http://schemas.microsoft.com/office/excel/2006/main">
          <x14:cfRule type="iconSet" priority="1949" id="{DD486F60-B2DB-4BB2-9488-0C981FF1A78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I33:I35</xm:sqref>
        </x14:conditionalFormatting>
        <x14:conditionalFormatting xmlns:xm="http://schemas.microsoft.com/office/excel/2006/main">
          <x14:cfRule type="iconSet" priority="1952" id="{34BAB542-0645-438F-9308-D822A2FFDCD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I74:I75</xm:sqref>
        </x14:conditionalFormatting>
        <x14:conditionalFormatting xmlns:xm="http://schemas.microsoft.com/office/excel/2006/main">
          <x14:cfRule type="iconSet" priority="1980" id="{52B22E6F-2DCC-4CBC-92E6-006C69C0FD6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I57:I58 I54 I52 I50 I37 I39:I40 I43:I44 I47 I60:I61 I64:I67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W x S U + + a k G 6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r G R s B n W S j D x O z 8 c 3 M Q 8 i D 5 E C y S I I 2 z q U 5 J a V F q X Z p R b p u Q T b 6 M K 6 N P t Q L d g B Q S w M E F A A C A A g A A W x S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F s U l M o i k e 4 D g A A A B E A A A A T A B w A R m 9 y b X V s Y X M v U 2 V j d G l v b j E u b S C i G A A o o B Q A A A A A A A A A A A A A A A A A A A A A A A A A A A A r T k 0 u y c z P U w i G 0 I b W A F B L A Q I t A B Q A A g A I A A F s U l P v m p B u p A A A A P U A A A A S A A A A A A A A A A A A A A A A A A A A A A B D b 2 5 m a W c v U G F j a 2 F n Z S 5 4 b W x Q S w E C L Q A U A A I A C A A B b F J T D 8 r p q 6 Q A A A D p A A A A E w A A A A A A A A A A A A A A A A D w A A A A W 0 N v b n R l b n R f V H l w Z X N d L n h t b F B L A Q I t A B Q A A g A I A A F s U l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Z z k y F M q d H Q L Y Z + M K W o m e M A A A A A A I A A A A A A A N m A A D A A A A A E A A A A L T u k / J A 6 n W W Y a M E q G a i m / k A A A A A B I A A A K A A A A A Q A A A A p 2 p + p k B o D I l 2 f m 1 s 1 D t 1 N l A A A A A 1 Y + q 0 Z F Z 0 c S Y 5 d Z 4 x h 8 n j + d q u / c 5 j E Q p w d k + I X w s A n / L I u V P p n / 1 z T f u 6 c + d O 1 A r x b 3 5 9 1 T d W n v h x r k 7 P n D o I i n + 6 z N 9 N H j P p F J 1 s X x 2 t A B Q A A A D + F q V f 1 y 5 n N u 6 / q X o L 8 C 1 D F 3 z 0 p Q = = < / D a t a M a s h u p > 
</file>

<file path=customXml/itemProps1.xml><?xml version="1.0" encoding="utf-8"?>
<ds:datastoreItem xmlns:ds="http://schemas.openxmlformats.org/officeDocument/2006/customXml" ds:itemID="{7A0F57D2-04CB-4313-9FEF-806494BD95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30</vt:i4>
      </vt:variant>
    </vt:vector>
  </HeadingPairs>
  <TitlesOfParts>
    <vt:vector size="41" baseType="lpstr">
      <vt:lpstr>ENCAISSEMENT </vt:lpstr>
      <vt:lpstr>Flux de trésorerie - REEL BP</vt:lpstr>
      <vt:lpstr>01-2022 </vt:lpstr>
      <vt:lpstr>02-2022</vt:lpstr>
      <vt:lpstr>03-2022</vt:lpstr>
      <vt:lpstr>04-2022</vt:lpstr>
      <vt:lpstr>05-2022 </vt:lpstr>
      <vt:lpstr>06-2022</vt:lpstr>
      <vt:lpstr>07-2022</vt:lpstr>
      <vt:lpstr>08-2022</vt:lpstr>
      <vt:lpstr>09-2022</vt:lpstr>
      <vt:lpstr>'Flux de trésorerie - REEL BP'!Débutexercicecomptable</vt:lpstr>
      <vt:lpstr>'01-2022 '!Impression_des_titres</vt:lpstr>
      <vt:lpstr>'02-2022'!Impression_des_titres</vt:lpstr>
      <vt:lpstr>'03-2022'!Impression_des_titres</vt:lpstr>
      <vt:lpstr>'04-2022'!Impression_des_titres</vt:lpstr>
      <vt:lpstr>'05-2022 '!Impression_des_titres</vt:lpstr>
      <vt:lpstr>'06-2022'!Impression_des_titres</vt:lpstr>
      <vt:lpstr>'07-2022'!Impression_des_titres</vt:lpstr>
      <vt:lpstr>'08-2022'!Impression_des_titres</vt:lpstr>
      <vt:lpstr>'09-2022'!Impression_des_titres</vt:lpstr>
      <vt:lpstr>'ENCAISSEMENT '!Impression_des_titres</vt:lpstr>
      <vt:lpstr>'01-2022 '!Terminé_Avr</vt:lpstr>
      <vt:lpstr>'02-2022'!Terminé_Mai</vt:lpstr>
      <vt:lpstr>'03-2022'!Terminé_Mai</vt:lpstr>
      <vt:lpstr>'04-2022'!Terminé_Mai</vt:lpstr>
      <vt:lpstr>'05-2022 '!Terminé_Mai</vt:lpstr>
      <vt:lpstr>'06-2022'!Terminé_Mai</vt:lpstr>
      <vt:lpstr>'07-2022'!Terminé_Mai</vt:lpstr>
      <vt:lpstr>'08-2022'!Terminé_Mai</vt:lpstr>
      <vt:lpstr>'09-2022'!Terminé_Mai</vt:lpstr>
      <vt:lpstr>'01-2022 '!Zone_d_impression</vt:lpstr>
      <vt:lpstr>'02-2022'!Zone_d_impression</vt:lpstr>
      <vt:lpstr>'03-2022'!Zone_d_impression</vt:lpstr>
      <vt:lpstr>'04-2022'!Zone_d_impression</vt:lpstr>
      <vt:lpstr>'05-2022 '!Zone_d_impression</vt:lpstr>
      <vt:lpstr>'06-2022'!Zone_d_impression</vt:lpstr>
      <vt:lpstr>'07-2022'!Zone_d_impression</vt:lpstr>
      <vt:lpstr>'08-2022'!Zone_d_impression</vt:lpstr>
      <vt:lpstr>'09-2022'!Zone_d_impression</vt:lpstr>
      <vt:lpstr>'ENCAISSEMENT 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 Ben Saada</dc:creator>
  <cp:lastModifiedBy>Marie-Julie Roulin</cp:lastModifiedBy>
  <cp:lastPrinted>2022-06-13T08:57:13Z</cp:lastPrinted>
  <dcterms:created xsi:type="dcterms:W3CDTF">2021-03-11T09:02:49Z</dcterms:created>
  <dcterms:modified xsi:type="dcterms:W3CDTF">2022-07-11T09:38:41Z</dcterms:modified>
</cp:coreProperties>
</file>