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true" firstSheet="0" minimized="false" showHorizontalScroll="true" showSheetTabs="true" showVerticalScroll="true" tabRatio="500" visibility="visible"/>
  </bookViews>
  <sheets>
    <sheet name="ENCAISSEMENT " sheetId="1" r:id="rId4"/>
    <sheet name="Flux de trésorerie - REEL BP" sheetId="2" r:id="rId5"/>
    <sheet name="01-2022 " sheetId="3" r:id="rId6"/>
    <sheet name="02-2022" sheetId="4" r:id="rId7"/>
    <sheet name="03-2022" sheetId="5" r:id="rId8"/>
    <sheet name="04-2022" sheetId="6" r:id="rId9"/>
    <sheet name="05-2022 " sheetId="7" r:id="rId10"/>
    <sheet name="06-2022" sheetId="8" r:id="rId11"/>
    <sheet name="07-2022" sheetId="9" r:id="rId12"/>
    <sheet name="08-2022" sheetId="10" r:id="rId13"/>
    <sheet name="09-2022" sheetId="11" r:id="rId14"/>
  </sheets>
  <definedNames>
    <definedName name="Débutexercicecomptable">#REF!</definedName>
    <definedName name="Terminé">#REF!,#REF!,#REF!,#REF!,#REF!,#REF!,#REF!,#REF!,#REF!,#REF!,#REF!,#REF!</definedName>
    <definedName name="Terminé_Aoû">#REF!</definedName>
    <definedName name="Terminé_Avr">#REF!</definedName>
    <definedName name="Terminé_Déc">#REF!</definedName>
    <definedName name="Terminé_Fév">#REF!</definedName>
    <definedName name="Terminé_Jan">#REF!</definedName>
    <definedName name="Terminé_Juin">#REF!</definedName>
    <definedName name="Terminé_Jull">#REF!</definedName>
    <definedName name="Terminé_Mai">#REF!</definedName>
    <definedName name="Terminé_Mar">#REF!</definedName>
    <definedName name="Terminé_Nov">#REF!</definedName>
    <definedName name="Terminé_Oct">#REF!</definedName>
    <definedName name="Terminé_Sep">#REF!</definedName>
    <definedName name="Terminé" localSheetId="0">'encaissement '!#ref!,'encaissement '!#ref!,'encaissement '!#ref!,'encaissement '!#ref!,'encaissement '!#ref!,'encaissement '!#ref!,'encaissement '!#ref!,'encaissement '!#ref!,'encaissement '!#ref!,'encaissement '!#ref!,'encaissement '!#ref!,'encaissement '!#ref!</definedName>
    <definedName name="Terminé_Aoû" localSheetId="0">'encaissement '!#ref!</definedName>
    <definedName name="Terminé_Avr" localSheetId="0">'encaissement '!#ref!</definedName>
    <definedName name="Terminé_Déc" localSheetId="0">'encaissement '!#ref!</definedName>
    <definedName name="Terminé_Fév" localSheetId="0">'encaissement '!#ref!</definedName>
    <definedName name="Terminé_Jan" localSheetId="0">'encaissement '!#ref!</definedName>
    <definedName name="Terminé_Juin" localSheetId="0">'encaissement '!#ref!</definedName>
    <definedName name="Terminé_Jull" localSheetId="0">'encaissement '!#ref!</definedName>
    <definedName name="Terminé_Mai" localSheetId="0">'encaissement '!#ref!</definedName>
    <definedName name="Terminé_Mar" localSheetId="0">'encaissement '!#ref!</definedName>
    <definedName name="Terminé_Nov" localSheetId="0">'encaissement '!#ref!</definedName>
    <definedName name="Terminé_Oct" localSheetId="0">'encaissement '!#ref!</definedName>
    <definedName name="Terminé_Sep" localSheetId="0">'encaissement '!#ref!</definedName>
    <definedName name="Débutexercicecomptable" localSheetId="1">'Flux de trésorerie - REEL BP'!$B$2</definedName>
    <definedName name="Terminé" localSheetId="2">'01-2022 '!#ref!,'01-2022 '!#ref!,'01-2022 '!#ref!,''01-2022 '!$H$2:$H$90,'01-2022 '!#ref!,'01-2022 '!#ref!,'01-2022 '!#ref!,'01-2022 '!#ref!,'01-2022 '!#ref!,'01-2022 '!#ref!,'01-2022 '!#ref!,'01-2022 '!#ref!</definedName>
    <definedName name="Terminé_Aoû" localSheetId="2">'01-2022 '!#ref!</definedName>
    <definedName name="Terminé_Avr" localSheetId="2">'01-2022 '!$H$2:$H$90</definedName>
    <definedName name="Terminé_Déc" localSheetId="2">'01-2022 '!#ref!</definedName>
    <definedName name="Terminé_Fév" localSheetId="2">'01-2022 '!#ref!</definedName>
    <definedName name="Terminé_Jan" localSheetId="2">'01-2022 '!#ref!</definedName>
    <definedName name="Terminé_Juin" localSheetId="2">'01-2022 '!#ref!</definedName>
    <definedName name="Terminé_Jull" localSheetId="2">'01-2022 '!#ref!</definedName>
    <definedName name="Terminé_Mai" localSheetId="2">'01-2022 '!#ref!</definedName>
    <definedName name="Terminé_Mar" localSheetId="2">'01-2022 '!#ref!</definedName>
    <definedName name="Terminé_Nov" localSheetId="2">'01-2022 '!#ref!</definedName>
    <definedName name="Terminé_Oct" localSheetId="2">'01-2022 '!#ref!</definedName>
    <definedName name="Terminé_Sep" localSheetId="2">'01-2022 '!#ref!</definedName>
    <definedName name="Terminé" localSheetId="3">'02-2022'!#ref!,'02-2022'!#ref!,'02-2022'!#ref!,'02-2022'!#ref!,''02-2022'!$H$2:$H$96,'02-2022'!#ref!,'02-2022'!#ref!,'02-2022'!#ref!,'02-2022'!#ref!,'02-2022'!#ref!,'02-2022'!#ref!,'02-2022'!#ref!</definedName>
    <definedName name="Terminé_Aoû" localSheetId="3">'02-2022'!#ref!</definedName>
    <definedName name="Terminé_Avr" localSheetId="3">'02-2022'!#ref!</definedName>
    <definedName name="Terminé_Déc" localSheetId="3">'02-2022'!#ref!</definedName>
    <definedName name="Terminé_Fév" localSheetId="3">'02-2022'!#ref!</definedName>
    <definedName name="Terminé_Jan" localSheetId="3">'02-2022'!#ref!</definedName>
    <definedName name="Terminé_Juin" localSheetId="3">'02-2022'!#ref!</definedName>
    <definedName name="Terminé_Jull" localSheetId="3">'02-2022'!#ref!</definedName>
    <definedName name="Terminé_Mai" localSheetId="3">'02-2022'!$H$2:$H$96</definedName>
    <definedName name="Terminé_Mar" localSheetId="3">'02-2022'!#ref!</definedName>
    <definedName name="Terminé_Nov" localSheetId="3">'02-2022'!#ref!</definedName>
    <definedName name="Terminé_Oct" localSheetId="3">'02-2022'!#ref!</definedName>
    <definedName name="Terminé_Sep" localSheetId="3">'02-2022'!#ref!</definedName>
    <definedName name="Terminé" localSheetId="4">'03-2022'!#ref!,'03-2022'!#ref!,'03-2022'!#ref!,'03-2022'!#ref!,''03-2022'!$I$2:$I$114,'03-2022'!#ref!,'03-2022'!#ref!,'03-2022'!#ref!,'03-2022'!#ref!,'03-2022'!#ref!,'03-2022'!#ref!,'03-2022'!#ref!</definedName>
    <definedName name="Terminé_Aoû" localSheetId="4">'03-2022'!#ref!</definedName>
    <definedName name="Terminé_Avr" localSheetId="4">'03-2022'!#ref!</definedName>
    <definedName name="Terminé_Déc" localSheetId="4">'03-2022'!#ref!</definedName>
    <definedName name="Terminé_Fév" localSheetId="4">'03-2022'!#ref!</definedName>
    <definedName name="Terminé_Jan" localSheetId="4">'03-2022'!#ref!</definedName>
    <definedName name="Terminé_Juin" localSheetId="4">'03-2022'!#ref!</definedName>
    <definedName name="Terminé_Jull" localSheetId="4">'03-2022'!#ref!</definedName>
    <definedName name="Terminé_Mai" localSheetId="4">'03-2022'!$I$2:$I$114</definedName>
    <definedName name="Terminé_Mar" localSheetId="4">'03-2022'!#ref!</definedName>
    <definedName name="Terminé_Nov" localSheetId="4">'03-2022'!#ref!</definedName>
    <definedName name="Terminé_Oct" localSheetId="4">'03-2022'!#ref!</definedName>
    <definedName name="Terminé_Sep" localSheetId="4">'03-2022'!#ref!</definedName>
    <definedName name="Terminé" localSheetId="5">'04-2022'!#ref!,'04-2022'!#ref!,'04-2022'!#ref!,'04-2022'!#ref!,''04-2022'!$I$2:$I$109,'04-2022'!#ref!,'04-2022'!#ref!,'04-2022'!#ref!,'04-2022'!#ref!,'04-2022'!#ref!,'04-2022'!#ref!,'04-2022'!#ref!</definedName>
    <definedName name="Terminé_Aoû" localSheetId="5">'04-2022'!#ref!</definedName>
    <definedName name="Terminé_Avr" localSheetId="5">'04-2022'!#ref!</definedName>
    <definedName name="Terminé_Déc" localSheetId="5">'04-2022'!#ref!</definedName>
    <definedName name="Terminé_Fév" localSheetId="5">'04-2022'!#ref!</definedName>
    <definedName name="Terminé_Jan" localSheetId="5">'04-2022'!#ref!</definedName>
    <definedName name="Terminé_Juin" localSheetId="5">'04-2022'!#ref!</definedName>
    <definedName name="Terminé_Jull" localSheetId="5">'04-2022'!#ref!</definedName>
    <definedName name="Terminé_Mai" localSheetId="5">'04-2022'!$I$2:$I$109</definedName>
    <definedName name="Terminé_Mar" localSheetId="5">'04-2022'!#ref!</definedName>
    <definedName name="Terminé_Nov" localSheetId="5">'04-2022'!#ref!</definedName>
    <definedName name="Terminé_Oct" localSheetId="5">'04-2022'!#ref!</definedName>
    <definedName name="Terminé_Sep" localSheetId="5">'04-2022'!#ref!</definedName>
    <definedName name="Terminé" localSheetId="6">'05-2022 '!#ref!,'05-2022 '!#ref!,'05-2022 '!#ref!,'05-2022 '!#ref!,''05-2022 '!$I$2:$I$100,'05-2022 '!#ref!,'05-2022 '!#ref!,'05-2022 '!#ref!,'05-2022 '!#ref!,'05-2022 '!#ref!,'05-2022 '!#ref!,'05-2022 '!#ref!</definedName>
    <definedName name="Terminé_Aoû" localSheetId="6">'05-2022 '!#ref!</definedName>
    <definedName name="Terminé_Avr" localSheetId="6">'05-2022 '!#ref!</definedName>
    <definedName name="Terminé_Déc" localSheetId="6">'05-2022 '!#ref!</definedName>
    <definedName name="Terminé_Fév" localSheetId="6">'05-2022 '!#ref!</definedName>
    <definedName name="Terminé_Jan" localSheetId="6">'05-2022 '!#ref!</definedName>
    <definedName name="Terminé_Juin" localSheetId="6">'05-2022 '!#ref!</definedName>
    <definedName name="Terminé_Jull" localSheetId="6">'05-2022 '!#ref!</definedName>
    <definedName name="Terminé_Mai" localSheetId="6">'05-2022 '!$I$2:$I$100</definedName>
    <definedName name="Terminé_Mar" localSheetId="6">'05-2022 '!#ref!</definedName>
    <definedName name="Terminé_Nov" localSheetId="6">'05-2022 '!#ref!</definedName>
    <definedName name="Terminé_Oct" localSheetId="6">'05-2022 '!#ref!</definedName>
    <definedName name="Terminé_Sep" localSheetId="6">'05-2022 '!#ref!</definedName>
    <definedName name="Terminé" localSheetId="7">'06-2022'!#ref!,'06-2022'!#ref!,'06-2022'!#ref!,'06-2022'!#ref!,''06-2022'!$I$2:$I$97,'06-2022'!#ref!,'06-2022'!#ref!,'06-2022'!#ref!,'06-2022'!#ref!,'06-2022'!#ref!,'06-2022'!#ref!,'06-2022'!#ref!</definedName>
    <definedName name="Terminé_Aoû" localSheetId="7">'06-2022'!#ref!</definedName>
    <definedName name="Terminé_Avr" localSheetId="7">'06-2022'!#ref!</definedName>
    <definedName name="Terminé_Déc" localSheetId="7">'06-2022'!#ref!</definedName>
    <definedName name="Terminé_Fév" localSheetId="7">'06-2022'!#ref!</definedName>
    <definedName name="Terminé_Jan" localSheetId="7">'06-2022'!#ref!</definedName>
    <definedName name="Terminé_Juin" localSheetId="7">'06-2022'!#ref!</definedName>
    <definedName name="Terminé_Jull" localSheetId="7">'06-2022'!#ref!</definedName>
    <definedName name="Terminé_Mai" localSheetId="7">'06-2022'!$I$2:$I$97</definedName>
    <definedName name="Terminé_Mar" localSheetId="7">'06-2022'!#ref!</definedName>
    <definedName name="Terminé_Nov" localSheetId="7">'06-2022'!#ref!</definedName>
    <definedName name="Terminé_Oct" localSheetId="7">'06-2022'!#ref!</definedName>
    <definedName name="Terminé_Sep" localSheetId="7">'06-2022'!#ref!</definedName>
    <definedName name="Terminé" localSheetId="8">'07-2022'!#ref!,'07-2022'!#ref!,'07-2022'!#ref!,'07-2022'!#ref!,''07-2022'!$I$2:$I$106,'07-2022'!#ref!,'07-2022'!#ref!,'07-2022'!#ref!,'07-2022'!#ref!,'07-2022'!#ref!,'07-2022'!#ref!,'07-2022'!#ref!</definedName>
    <definedName name="Terminé_Aoû" localSheetId="8">'07-2022'!#ref!</definedName>
    <definedName name="Terminé_Avr" localSheetId="8">'07-2022'!#ref!</definedName>
    <definedName name="Terminé_Déc" localSheetId="8">'07-2022'!#ref!</definedName>
    <definedName name="Terminé_Fév" localSheetId="8">'07-2022'!#ref!</definedName>
    <definedName name="Terminé_Jan" localSheetId="8">'07-2022'!#ref!</definedName>
    <definedName name="Terminé_Juin" localSheetId="8">'07-2022'!#ref!</definedName>
    <definedName name="Terminé_Jull" localSheetId="8">'07-2022'!#ref!</definedName>
    <definedName name="Terminé_Mai" localSheetId="8">'07-2022'!$I$2:$I$106</definedName>
    <definedName name="Terminé_Mar" localSheetId="8">'07-2022'!#ref!</definedName>
    <definedName name="Terminé_Nov" localSheetId="8">'07-2022'!#ref!</definedName>
    <definedName name="Terminé_Oct" localSheetId="8">'07-2022'!#ref!</definedName>
    <definedName name="Terminé_Sep" localSheetId="8">'07-2022'!#ref!</definedName>
    <definedName name="Terminé" localSheetId="9">'08-2022'!#ref!,'08-2022'!#ref!,'08-2022'!#ref!,'08-2022'!#ref!,''08-2022'!$I$2:$I$99,'08-2022'!#ref!,'08-2022'!#ref!,'08-2022'!#ref!,'08-2022'!#ref!,'08-2022'!#ref!,'08-2022'!#ref!,'08-2022'!#ref!</definedName>
    <definedName name="Terminé_Aoû" localSheetId="9">'08-2022'!#ref!</definedName>
    <definedName name="Terminé_Avr" localSheetId="9">'08-2022'!#ref!</definedName>
    <definedName name="Terminé_Déc" localSheetId="9">'08-2022'!#ref!</definedName>
    <definedName name="Terminé_Fév" localSheetId="9">'08-2022'!#ref!</definedName>
    <definedName name="Terminé_Jan" localSheetId="9">'08-2022'!#ref!</definedName>
    <definedName name="Terminé_Juin" localSheetId="9">'08-2022'!#ref!</definedName>
    <definedName name="Terminé_Jull" localSheetId="9">'08-2022'!#ref!</definedName>
    <definedName name="Terminé_Mai" localSheetId="9">'08-2022'!$I$2:$I$99</definedName>
    <definedName name="Terminé_Mar" localSheetId="9">'08-2022'!#ref!</definedName>
    <definedName name="Terminé_Nov" localSheetId="9">'08-2022'!#ref!</definedName>
    <definedName name="Terminé_Oct" localSheetId="9">'08-2022'!#ref!</definedName>
    <definedName name="Terminé_Sep" localSheetId="9">'08-2022'!#ref!</definedName>
    <definedName name="Terminé" localSheetId="10">'09-2022'!#ref!,'09-2022'!#ref!,'09-2022'!#ref!,'09-2022'!#ref!,''09-2022'!$I$2:$I$99,'09-2022'!#ref!,'09-2022'!#ref!,'09-2022'!#ref!,'09-2022'!#ref!,'09-2022'!#ref!,'09-2022'!#ref!,'09-2022'!#ref!</definedName>
    <definedName name="Terminé_Aoû" localSheetId="10">'09-2022'!#ref!</definedName>
    <definedName name="Terminé_Avr" localSheetId="10">'09-2022'!#ref!</definedName>
    <definedName name="Terminé_Déc" localSheetId="10">'09-2022'!#ref!</definedName>
    <definedName name="Terminé_Fév" localSheetId="10">'09-2022'!#ref!</definedName>
    <definedName name="Terminé_Jan" localSheetId="10">'09-2022'!#ref!</definedName>
    <definedName name="Terminé_Juin" localSheetId="10">'09-2022'!#ref!</definedName>
    <definedName name="Terminé_Jull" localSheetId="10">'09-2022'!#ref!</definedName>
    <definedName name="Terminé_Mai" localSheetId="10">'09-2022'!$I$2:$I$99</definedName>
    <definedName name="Terminé_Mar" localSheetId="10">'09-2022'!#ref!</definedName>
    <definedName name="Terminé_Nov" localSheetId="10">'09-2022'!#ref!</definedName>
    <definedName name="Terminé_Oct" localSheetId="10">'09-2022'!#ref!</definedName>
    <definedName name="Terminé_Sep" localSheetId="10">'09-2022'!#ref!</definedName>
    <definedName name="_xlnm.Print_Titles" localSheetId="0">'ENCAISSEMENT '!$A:$A</definedName>
    <definedName name="_xlnm.Print_Area" localSheetId="0">'ENCAISSEMENT '!$A$1:$G$28</definedName>
    <definedName name="_xlnm.Print_Titles" localSheetId="2">'01-2022 '!$A:$C</definedName>
    <definedName name="_xlnm.Print_Area" localSheetId="2">'01-2022 '!$A$1:$H$90</definedName>
    <definedName name="_xlnm.Print_Titles" localSheetId="3">'02-2022'!$A:$B</definedName>
    <definedName name="_xlnm.Print_Area" localSheetId="3">'02-2022'!$A$1:$H$95</definedName>
    <definedName name="_xlnm.Print_Titles" localSheetId="4">'03-2022'!$A:$B</definedName>
    <definedName name="_xlnm.Print_Area" localSheetId="4">'03-2022'!$A$1:$I$114</definedName>
    <definedName name="_xlnm.Print_Titles" localSheetId="5">'04-2022'!$A:$B</definedName>
    <definedName name="_xlnm.Print_Area" localSheetId="5">'04-2022'!$A$1:$I$107</definedName>
    <definedName name="_xlnm.Print_Titles" localSheetId="6">'05-2022 '!$A:$B</definedName>
    <definedName name="_xlnm.Print_Area" localSheetId="6">'05-2022 '!$A$1:$I$100</definedName>
    <definedName name="_xlnm.Print_Titles" localSheetId="7">'06-2022'!$A:$B</definedName>
    <definedName name="_xlnm.Print_Area" localSheetId="7">'06-2022'!$A$1:$I$97</definedName>
    <definedName name="_xlnm.Print_Titles" localSheetId="8">'07-2022'!$A:$B</definedName>
    <definedName name="_xlnm.Print_Area" localSheetId="8">'07-2022'!$A$1:$I$106</definedName>
    <definedName name="_xlnm.Print_Titles" localSheetId="9">'08-2022'!$A:$B</definedName>
    <definedName name="_xlnm.Print_Area" localSheetId="9">'08-2022'!$A$1:$I$100</definedName>
    <definedName name="_xlnm.Print_Titles" localSheetId="10">'09-2022'!$A:$B</definedName>
    <definedName name="_xlnm.Print_Area" localSheetId="10">'09-2022'!$A$1:$I$99</definedName>
  </definedNames>
  <calcPr calcId="999999" calcMode="auto" calcCompleted="0" fullCalcOnLoad="1" forceFullCalc="1"/>
</workbook>
</file>

<file path=xl/comments2.xml><?xml version="1.0" encoding="utf-8"?>
<comments xmlns="http://schemas.openxmlformats.org/spreadsheetml/2006/main">
  <authors>
    <author> </author>
  </authors>
  <commentList>
    <comment ref="B49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645 : urssaf caisses mutuelles
631 : impot 
taxe et versement assimilé sur remunération 
</t>
        </r>
      </text>
    </comment>
    <comment ref="B6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conbustiles
produit entretien 
Fournitures de magasin</t>
        </r>
      </text>
    </comment>
    <comment ref="B9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conbustiles
produit entretien 
Fournitures de magasin</t>
        </r>
      </text>
    </comment>
    <comment ref="B11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compte - 6211</t>
        </r>
      </text>
    </comment>
    <comment ref="E8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juritravail
</t>
        </r>
      </text>
    </comment>
    <comment ref="E8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we transfert</t>
        </r>
      </text>
    </comment>
    <comment ref="E96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8200 pena pavage</t>
        </r>
      </text>
    </comment>
    <comment ref="E136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CARRELAGE SG lilinni
</t>
        </r>
      </text>
    </comment>
    <comment ref="E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chq 2000€ ???
600€ LEE rosebay
410,54 PLOMBERIE</t>
        </r>
      </text>
    </comment>
    <comment ref="E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31,15€DMTP
280,01€ IZ SOLUTY
86,4 JAUFFRET
CHQ 2200 ???
CHQ 1560 ???
</t>
        </r>
      </text>
    </comment>
    <comment ref="F1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0,50 en moin d ecart </t>
        </r>
      </text>
    </comment>
    <comment ref="F5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TAXE D APPRENTISSAGE
</t>
        </r>
      </text>
    </comment>
    <comment ref="F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jauffret : 381,78
</t>
        </r>
      </text>
    </comment>
    <comment ref="F14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bricoman : 13,55
</t>
        </r>
      </text>
    </comment>
    <comment ref="F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machine café : 40,66
dlm : 1393,52
mano mano : 457,05
BLP CONCEPT : 1380
</t>
        </r>
      </text>
    </comment>
    <comment ref="F18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declerck menage : 144,96
</t>
        </r>
      </text>
    </comment>
    <comment ref="F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ztl soluty : 280,01
1596 : sefab
240 : TOPO CENTER</t>
        </r>
      </text>
    </comment>
    <comment ref="G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remboursement MANO MANO</t>
        </r>
      </text>
    </comment>
    <comment ref="G5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TAXE D APPRENTISSAGE</t>
        </r>
      </text>
    </comment>
    <comment ref="G8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AUTODESK : 480
MIVROSOFT :99
</t>
        </r>
      </text>
    </comment>
    <comment ref="G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JEAUFFRET :886</t>
        </r>
      </text>
    </comment>
    <comment ref="G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PUM :213,61
</t>
        </r>
      </text>
    </comment>
    <comment ref="G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EOGEO : 3960
</t>
        </r>
      </text>
    </comment>
    <comment ref="H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1226,46=rembousement bnp lease
186 = annulation frais bancaire
le reste remboursement secu</t>
        </r>
      </text>
    </comment>
    <comment ref="H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1202,5 = jauffret
</t>
        </r>
      </text>
    </comment>
    <comment ref="H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61,08 = dmtp</t>
        </r>
      </text>
    </comment>
    <comment ref="I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360 sasu multi travaux </t>
        </r>
      </text>
    </comment>
    <comment ref="J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2*30 000€ remboursement tva
13711 €
remboursement azur metal</t>
        </r>
      </text>
    </comment>
    <comment ref="J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vir GMF : degat voiture villa d auree</t>
        </r>
      </text>
    </comment>
    <comment ref="J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CARF = 2000€
CARTE VISITE = 577,8
3000€ CHQ INCONNU
CHQ 3250€ ?????</t>
        </r>
      </text>
    </comment>
  </commentList>
</comments>
</file>

<file path=xl/comments3.xml><?xml version="1.0" encoding="utf-8"?>
<comments xmlns="http://schemas.openxmlformats.org/spreadsheetml/2006/main">
  <authors>
    <author> </author>
  </authors>
  <commentList>
    <comment ref="A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</text>
    </comment>
  </commentList>
</comments>
</file>

<file path=xl/comments4.xml><?xml version="1.0" encoding="utf-8"?>
<comments xmlns="http://schemas.openxmlformats.org/spreadsheetml/2006/main">
  <authors>
    <author> </author>
  </authors>
  <commentList>
    <comment ref="B3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PAIEMENT EN PLUSIEURS FOIS,
KAMAL DOIT ANNULER CETTE LCR , A VERIFIER</t>
        </r>
      </text>
    </commen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ATTENTION AVOIR DE 825,62</t>
        </r>
      </text>
    </comment>
  </commentList>
</comments>
</file>

<file path=xl/comments6.xml><?xml version="1.0" encoding="utf-8"?>
<comments xmlns="http://schemas.openxmlformats.org/spreadsheetml/2006/main">
  <authors>
    <author> </author>
  </authors>
  <commentLis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UN AVOIR DE CE MONTANT SERA ENVOYE POUR FACTURE D AVRIL</t>
        </r>
      </text>
    </comment>
  </commentList>
</comments>
</file>

<file path=xl/comments9.xml><?xml version="1.0" encoding="utf-8"?>
<comments xmlns="http://schemas.openxmlformats.org/spreadsheetml/2006/main">
  <authors>
    <author> </author>
  </authors>
  <commentList>
    <comment ref="D7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DERNIER PRELEVEMENT</t>
        </r>
      </text>
    </comment>
    <comment ref="D9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10000€ DÉJÀ REGLE A K RENOV</t>
        </r>
      </text>
    </comment>
  </commentList>
</comments>
</file>

<file path=xl/sharedStrings.xml><?xml version="1.0" encoding="utf-8"?>
<sst xmlns="http://schemas.openxmlformats.org/spreadsheetml/2006/main" uniqueCount="929">
  <si>
    <t xml:space="preserve">CLIENT </t>
  </si>
  <si>
    <t>N°FACTURE</t>
  </si>
  <si>
    <t xml:space="preserve">MONTANT </t>
  </si>
  <si>
    <t>Chantier</t>
  </si>
  <si>
    <t>Date d’échéance</t>
  </si>
  <si>
    <t xml:space="preserve">Règlement </t>
  </si>
  <si>
    <t>Restant dû</t>
  </si>
  <si>
    <t xml:space="preserve">MILAAN </t>
  </si>
  <si>
    <t xml:space="preserve">ROSEBAY </t>
  </si>
  <si>
    <t>LILLINI</t>
  </si>
  <si>
    <t>307</t>
  </si>
  <si>
    <t xml:space="preserve">SEQUIER </t>
  </si>
  <si>
    <t>333</t>
  </si>
  <si>
    <t xml:space="preserve">SCI SIRENE </t>
  </si>
  <si>
    <t>358</t>
  </si>
  <si>
    <t xml:space="preserve">VILLA D'AUREE -  GO </t>
  </si>
  <si>
    <t>359</t>
  </si>
  <si>
    <t xml:space="preserve">VILLA D'AUREE - CARRELAGE </t>
  </si>
  <si>
    <t xml:space="preserve">LES BASTIDES </t>
  </si>
  <si>
    <t>361</t>
  </si>
  <si>
    <t xml:space="preserve">MMB </t>
  </si>
  <si>
    <t>352</t>
  </si>
  <si>
    <t>353</t>
  </si>
  <si>
    <t>GARAFFA</t>
  </si>
  <si>
    <t>167</t>
  </si>
  <si>
    <t>CDC IMMO</t>
  </si>
  <si>
    <t>257</t>
  </si>
  <si>
    <t xml:space="preserve">HOTEL CASSIS </t>
  </si>
  <si>
    <t xml:space="preserve">COQUARD </t>
  </si>
  <si>
    <t>132</t>
  </si>
  <si>
    <t>136</t>
  </si>
  <si>
    <t>177</t>
  </si>
  <si>
    <t>178</t>
  </si>
  <si>
    <t>179</t>
  </si>
  <si>
    <t>189</t>
  </si>
  <si>
    <t>TOTAL</t>
  </si>
  <si>
    <t>Début exercice comptable :</t>
  </si>
  <si>
    <t>(Pré) démarrage</t>
  </si>
  <si>
    <t>Total</t>
  </si>
  <si>
    <t>Estimation</t>
  </si>
  <si>
    <t>Estimation des éléments</t>
  </si>
  <si>
    <t xml:space="preserve">Trésorerie disponible  BP </t>
  </si>
  <si>
    <t xml:space="preserve">Trésorerie TOTAL disponible  </t>
  </si>
  <si>
    <t>Encaissements</t>
  </si>
  <si>
    <t>Virement tréso</t>
  </si>
  <si>
    <t xml:space="preserve">Clients </t>
  </si>
  <si>
    <t>Prêt/Autres apports de trésorerie</t>
  </si>
  <si>
    <t>Total de trésorerie disponible (avant décaissement)</t>
  </si>
  <si>
    <t>Décaissements</t>
  </si>
  <si>
    <t>CHARGES FIXES</t>
  </si>
  <si>
    <t xml:space="preserve">PRÊT </t>
  </si>
  <si>
    <t xml:space="preserve">Echeance </t>
  </si>
  <si>
    <t>Frais bancaire</t>
  </si>
  <si>
    <t>Comptabilité et juridique</t>
  </si>
  <si>
    <t>LOCATIONS</t>
  </si>
  <si>
    <t xml:space="preserve">Location - Appart cagnes sur mer </t>
  </si>
  <si>
    <t>Location - Appart Fréjus  ( marchal )</t>
  </si>
  <si>
    <t xml:space="preserve">Location - Depot </t>
  </si>
  <si>
    <t>Location - Terrain stockage MOKRANE</t>
  </si>
  <si>
    <t>Location - Terrain stockage ( PACANIER )</t>
  </si>
  <si>
    <t>Location - Terrain stockage (la croix)</t>
  </si>
  <si>
    <t>Location - Bureau (SCI DYLAN )</t>
  </si>
  <si>
    <t>Location-materiel  supp LOCAM  INFO BURO</t>
  </si>
  <si>
    <t>INFO BURO ( de lage leasing )</t>
  </si>
  <si>
    <t xml:space="preserve">Location -  Matériel informatique </t>
  </si>
  <si>
    <t xml:space="preserve">Location - SCI OFFICE 2 M </t>
  </si>
  <si>
    <t xml:space="preserve">ASSURANCES </t>
  </si>
  <si>
    <t xml:space="preserve">Decennale &amp; RC </t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</si>
  <si>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Peugeot  Boxer -BC-402-         </t>
    </r>
    <r>
      <rPr>
        <rFont val="Calibri"/>
        <b val="true"/>
        <i val="false"/>
        <strike val="false"/>
        <color rgb="FF7C7C7C"/>
        <sz val="14"/>
        <u val="none"/>
      </rPr>
      <t xml:space="preserve">  </t>
    </r>
    <r>
      <rPr>
        <rFont val="Calibri"/>
        <b val="true"/>
        <i val="false"/>
        <strike val="false"/>
        <color rgb="FF70AD47"/>
        <sz val="14"/>
        <u val="none"/>
      </rPr>
      <t xml:space="preserve">AT063431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</si>
  <si>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Fiat DUCATO - CC-426-RW-     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AR600632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</si>
  <si>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Berlingo- BB-579-WE -    </t>
    </r>
    <r>
      <rPr>
        <rFont val="Calibri"/>
        <b val="false"/>
        <i val="false"/>
        <strike val="false"/>
        <color rgb="FF70AD47"/>
        <sz val="14"/>
        <u val="none"/>
      </rPr>
      <t xml:space="preserve">AR600631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</si>
  <si>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Iveco Benne - BV-943-RZ -</t>
    </r>
    <r>
      <rPr>
        <rFont val="Calibri"/>
        <b val="false"/>
        <i val="false"/>
        <strike val="false"/>
        <color rgb="FF70AD47"/>
        <sz val="14"/>
        <u val="none"/>
      </rPr>
      <t xml:space="preserve">       </t>
    </r>
    <r>
      <rPr>
        <rFont val="Calibri"/>
        <b val="true"/>
        <i val="false"/>
        <strike val="false"/>
        <color rgb="FF70AD47"/>
        <sz val="14"/>
        <u val="none"/>
      </rPr>
      <t xml:space="preserve">AR601510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</si>
  <si>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Renault CLIO - FL-481-PA -     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AR743728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</si>
  <si>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 - </t>
    </r>
    <r>
      <rPr>
        <rFont val="Calibri"/>
        <b val="true"/>
        <i val="false"/>
        <strike val="false"/>
        <color rgb="FF70AD47"/>
        <sz val="14"/>
        <u val="none"/>
      </rPr>
      <t xml:space="preserve">AT096205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</si>
  <si>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-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AR935830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</si>
  <si>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 -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AT 028 447</t>
    </r>
    <r>
      <rPr>
        <rFont val="Calibri"/>
        <b val="false"/>
        <i val="false"/>
        <strike val="false"/>
        <color rgb="FF70AD47"/>
        <sz val="14"/>
        <u val="none"/>
      </rPr>
      <t xml:space="preserve"> - BUREAU PUGET </t>
    </r>
  </si>
  <si>
    <t>Téléphone - iphone 11 pro max - CHUBB EUROPEEN</t>
  </si>
  <si>
    <r>
      <rPr>
        <rFont val="Calibri"/>
        <b val="false"/>
        <i val="false"/>
        <strike val="false"/>
        <color rgb="FF7C7C7C"/>
        <sz val="14"/>
        <u val="none"/>
      </rPr>
      <t xml:space="preserve">Assurance annuel bureau  - </t>
    </r>
    <r>
      <rPr>
        <rFont val="Calibri"/>
        <b val="true"/>
        <i val="false"/>
        <strike val="false"/>
        <color rgb="FF70AD47"/>
        <sz val="14"/>
        <u val="none"/>
      </rPr>
      <t xml:space="preserve">AR903785</t>
    </r>
  </si>
  <si>
    <t>Identicar</t>
  </si>
  <si>
    <t>Cotis rythmo- Cotis platinum</t>
  </si>
  <si>
    <t xml:space="preserve">CHARGES VARIABLES </t>
  </si>
  <si>
    <t xml:space="preserve">Personnel 641 - 645 -631 </t>
  </si>
  <si>
    <t>Salaires Net Versés</t>
  </si>
  <si>
    <t xml:space="preserve">STATONNEMENT </t>
  </si>
  <si>
    <t>Cotis platinium</t>
  </si>
  <si>
    <t>Carte Pro Btp</t>
  </si>
  <si>
    <t xml:space="preserve">Charges sociales - PROBTP Retraite </t>
  </si>
  <si>
    <t>Charges sociales - PROBTP CNRO</t>
  </si>
  <si>
    <t>Charges sociales - PROBTP -ADP-PRO</t>
  </si>
  <si>
    <t xml:space="preserve">Charges sociales - PROBTP Prévoyance </t>
  </si>
  <si>
    <t>Charges sociales - PROBTP  Formation</t>
  </si>
  <si>
    <t>Charges sociales - URSSAF</t>
  </si>
  <si>
    <t xml:space="preserve">APRIL </t>
  </si>
  <si>
    <t>CIBTP</t>
  </si>
  <si>
    <t>Impot</t>
  </si>
  <si>
    <t>DGFIP</t>
  </si>
  <si>
    <t>Achat de consommables 602</t>
  </si>
  <si>
    <t>EDF - Jean jaurès</t>
  </si>
  <si>
    <t>EDF - Bureau</t>
  </si>
  <si>
    <t>EDF - Cagnes</t>
  </si>
  <si>
    <t>CMESE</t>
  </si>
  <si>
    <t xml:space="preserve">Téléphone - FIXE SFR </t>
  </si>
  <si>
    <t xml:space="preserve">Télephone - Mobile </t>
  </si>
  <si>
    <t>Infoburo</t>
  </si>
  <si>
    <t>Fournitures - Provence Bureautique - Calipage</t>
  </si>
  <si>
    <t xml:space="preserve">Fournitures Bureau - Cadrillage </t>
  </si>
  <si>
    <t>Bureau vallée</t>
  </si>
  <si>
    <t>Réparations et entretien</t>
  </si>
  <si>
    <t xml:space="preserve">Peage - Ulyss - Escota </t>
  </si>
  <si>
    <t xml:space="preserve">Gasoil - Total </t>
  </si>
  <si>
    <t>Onyx mediterranée - MAT ILD</t>
  </si>
  <si>
    <t>Transport</t>
  </si>
  <si>
    <t>Achat de marchandises - 607</t>
  </si>
  <si>
    <t>Infogreffe</t>
  </si>
  <si>
    <t>OSS FACADE</t>
  </si>
  <si>
    <t xml:space="preserve">logiciel informatique </t>
  </si>
  <si>
    <t xml:space="preserve">Boulanger </t>
  </si>
  <si>
    <t>Veolia</t>
  </si>
  <si>
    <t>Bouygue</t>
  </si>
  <si>
    <t>AIST</t>
  </si>
  <si>
    <t>Adobe</t>
  </si>
  <si>
    <t>Frais virement internet</t>
  </si>
  <si>
    <t xml:space="preserve">LA POSTE </t>
  </si>
  <si>
    <t>Materiaux</t>
  </si>
  <si>
    <t xml:space="preserve">Sous-traitant 604 </t>
  </si>
  <si>
    <t>WILLIAM CLOISON</t>
  </si>
  <si>
    <t xml:space="preserve">AYAZ BAT </t>
  </si>
  <si>
    <t>BH TERRA</t>
  </si>
  <si>
    <t>KB DESIGN</t>
  </si>
  <si>
    <t>LUXURY</t>
  </si>
  <si>
    <t>DM FACADE</t>
  </si>
  <si>
    <t>REA BAT</t>
  </si>
  <si>
    <t>LOPES EDMILSON</t>
  </si>
  <si>
    <t>ALLEMAND</t>
  </si>
  <si>
    <t>PENAPAVAGE</t>
  </si>
  <si>
    <t xml:space="preserve">SPE - Echaff </t>
  </si>
  <si>
    <t>TOTAL DCR</t>
  </si>
  <si>
    <t>IDEAL</t>
  </si>
  <si>
    <t>IL BAT</t>
  </si>
  <si>
    <t>FFN</t>
  </si>
  <si>
    <t>ADI</t>
  </si>
  <si>
    <t>SAS SG</t>
  </si>
  <si>
    <t>INGENIERIE 84</t>
  </si>
  <si>
    <t xml:space="preserve">Autres services extérieurs - 621 </t>
  </si>
  <si>
    <t xml:space="preserve">VAR INTERIM </t>
  </si>
  <si>
    <t>Matière première  601</t>
  </si>
  <si>
    <t>Spurgin</t>
  </si>
  <si>
    <t>KP1</t>
  </si>
  <si>
    <t>PACA CERAM</t>
  </si>
  <si>
    <t xml:space="preserve">RG Matériaux </t>
  </si>
  <si>
    <t>Prefa 2000</t>
  </si>
  <si>
    <t>Azur Plomberie</t>
  </si>
  <si>
    <t>SAS PRO G MAT</t>
  </si>
  <si>
    <t xml:space="preserve">Lafarge Béton </t>
  </si>
  <si>
    <t>Lafarge granulat</t>
  </si>
  <si>
    <t>Champeau</t>
  </si>
  <si>
    <t>UR CERAM</t>
  </si>
  <si>
    <t>Delta azur</t>
  </si>
  <si>
    <t>Balitrand</t>
  </si>
  <si>
    <t xml:space="preserve">Ciffreo </t>
  </si>
  <si>
    <t>Prolians</t>
  </si>
  <si>
    <t xml:space="preserve">Vicat </t>
  </si>
  <si>
    <t>Chausson</t>
  </si>
  <si>
    <t>Point P</t>
  </si>
  <si>
    <t>PUM</t>
  </si>
  <si>
    <t>Zolpan</t>
  </si>
  <si>
    <t>CPA</t>
  </si>
  <si>
    <t>K RO Ceramique</t>
  </si>
  <si>
    <t>Districlos var</t>
  </si>
  <si>
    <t>Reso</t>
  </si>
  <si>
    <t>Azur metal</t>
  </si>
  <si>
    <t>Cap couleur</t>
  </si>
  <si>
    <t>Pic</t>
  </si>
  <si>
    <t>Castorama</t>
  </si>
  <si>
    <t>Var Materiaux</t>
  </si>
  <si>
    <t>Weldom</t>
  </si>
  <si>
    <t>Electro depot</t>
  </si>
  <si>
    <t>Leroy Merlin</t>
  </si>
  <si>
    <t>Cemex</t>
  </si>
  <si>
    <t>CCA</t>
  </si>
  <si>
    <t>Marsiglia</t>
  </si>
  <si>
    <t>SIGMA</t>
  </si>
  <si>
    <t>Rexel</t>
  </si>
  <si>
    <t>Europavage</t>
  </si>
  <si>
    <t>Location Immo 6132</t>
  </si>
  <si>
    <t>Loc'Outillage</t>
  </si>
  <si>
    <t>ALTRAD</t>
  </si>
  <si>
    <t>DEL PISTOIA</t>
  </si>
  <si>
    <t>AMG LOCATION</t>
  </si>
  <si>
    <t xml:space="preserve">Kiloutou </t>
  </si>
  <si>
    <t xml:space="preserve">Gaia Location </t>
  </si>
  <si>
    <t>JC MAT</t>
  </si>
  <si>
    <t>Mediaco</t>
  </si>
  <si>
    <t>Easy Mat</t>
  </si>
  <si>
    <t>ALLO MAT</t>
  </si>
  <si>
    <t>Manu utilitaire</t>
  </si>
  <si>
    <t>DLM</t>
  </si>
  <si>
    <t>KP 1</t>
  </si>
  <si>
    <t>C C A</t>
  </si>
  <si>
    <t xml:space="preserve">Divers </t>
  </si>
  <si>
    <t>Achat prestation service  &amp; étude 604</t>
  </si>
  <si>
    <t>Mairie CASSIS</t>
  </si>
  <si>
    <t>Evo nett</t>
  </si>
  <si>
    <t>Lopez tirage</t>
  </si>
  <si>
    <t>Bureau études</t>
  </si>
  <si>
    <t xml:space="preserve">Formation </t>
  </si>
  <si>
    <t>Terca</t>
  </si>
  <si>
    <t>Ingenieurie et Structure</t>
  </si>
  <si>
    <t>Cofraloc</t>
  </si>
  <si>
    <t>STJL transport</t>
  </si>
  <si>
    <t xml:space="preserve">APAVE </t>
  </si>
  <si>
    <t xml:space="preserve">INTER SERVICES VAROIS </t>
  </si>
  <si>
    <t xml:space="preserve">Armaconcept - Kharroubi </t>
  </si>
  <si>
    <t>Cavem</t>
  </si>
  <si>
    <t xml:space="preserve">Nettoy vit - Rosebay </t>
  </si>
  <si>
    <t>Sofovar</t>
  </si>
  <si>
    <t xml:space="preserve">Locapeint </t>
  </si>
  <si>
    <t>Rent</t>
  </si>
  <si>
    <t xml:space="preserve">DIVERS </t>
  </si>
  <si>
    <t>Huissier</t>
  </si>
  <si>
    <t>Avocat</t>
  </si>
  <si>
    <t>Juritravfail</t>
  </si>
  <si>
    <t>Amende</t>
  </si>
  <si>
    <t xml:space="preserve">Courses </t>
  </si>
  <si>
    <t xml:space="preserve">Carrefour </t>
  </si>
  <si>
    <t>Action/Gifi</t>
  </si>
  <si>
    <t>Turkish Market /Golf Orient/ Atlas</t>
  </si>
  <si>
    <t>LIDL</t>
  </si>
  <si>
    <t>Restaurant</t>
  </si>
  <si>
    <t>Photomaton</t>
  </si>
  <si>
    <t>Ouest harmonie</t>
  </si>
  <si>
    <t xml:space="preserve">Azur market </t>
  </si>
  <si>
    <t>Boulangerie</t>
  </si>
  <si>
    <t>Conforama</t>
  </si>
  <si>
    <t xml:space="preserve">Korda </t>
  </si>
  <si>
    <t xml:space="preserve">Publicité 623 </t>
  </si>
  <si>
    <t>Star Graffic</t>
  </si>
  <si>
    <t>Décaissements (hors compte de résultat)</t>
  </si>
  <si>
    <t>Total des décaissements</t>
  </si>
  <si>
    <t>Position de trésorerie (fin de mois)</t>
  </si>
  <si>
    <t>Catégorie</t>
  </si>
  <si>
    <t>FOURNISSEUR</t>
  </si>
  <si>
    <t>N° Facture</t>
  </si>
  <si>
    <t>Montant</t>
  </si>
  <si>
    <t>CHANTIER</t>
  </si>
  <si>
    <t>Date d'échéance</t>
  </si>
  <si>
    <t xml:space="preserve">Date de paiement </t>
  </si>
  <si>
    <t>Terminé</t>
  </si>
  <si>
    <t xml:space="preserve">LCR </t>
  </si>
  <si>
    <t>VAR MAT</t>
  </si>
  <si>
    <t>18009808</t>
  </si>
  <si>
    <t xml:space="preserve">JC MAT </t>
  </si>
  <si>
    <t>00110139L</t>
  </si>
  <si>
    <t>VILLA D AUREE</t>
  </si>
  <si>
    <t>OK</t>
  </si>
  <si>
    <t>CALIPAGE</t>
  </si>
  <si>
    <t>211200052</t>
  </si>
  <si>
    <t>0828540</t>
  </si>
  <si>
    <t xml:space="preserve">VILLA D'AUREE </t>
  </si>
  <si>
    <t>0828129</t>
  </si>
  <si>
    <t>0825140</t>
  </si>
  <si>
    <t>SIGMA BETON</t>
  </si>
  <si>
    <t>121025987</t>
  </si>
  <si>
    <t>VILLA DOREE</t>
  </si>
  <si>
    <t xml:space="preserve">POINT P </t>
  </si>
  <si>
    <t>301C1002316084</t>
  </si>
  <si>
    <t>AUPS</t>
  </si>
  <si>
    <t>301C1002316643</t>
  </si>
  <si>
    <t>CASSIS</t>
  </si>
  <si>
    <t>301C1002325559</t>
  </si>
  <si>
    <t>MAILLET-VION</t>
  </si>
  <si>
    <t>PROLIANS</t>
  </si>
  <si>
    <t>160844</t>
  </si>
  <si>
    <t>POINT S</t>
  </si>
  <si>
    <t>899100799</t>
  </si>
  <si>
    <t>LAFARGE BETON</t>
  </si>
  <si>
    <t>211215660</t>
  </si>
  <si>
    <t>211215661</t>
  </si>
  <si>
    <t>VALLIER</t>
  </si>
  <si>
    <t>211215662</t>
  </si>
  <si>
    <t>MAILLET</t>
  </si>
  <si>
    <t>211215663</t>
  </si>
  <si>
    <t>211215664</t>
  </si>
  <si>
    <t>ST AYGULF</t>
  </si>
  <si>
    <t>VICAT</t>
  </si>
  <si>
    <t>0504830446</t>
  </si>
  <si>
    <t>BONGINI</t>
  </si>
  <si>
    <t xml:space="preserve">CIFFREO BONA </t>
  </si>
  <si>
    <t>406,333/12</t>
  </si>
  <si>
    <t>CIFREO BONA</t>
  </si>
  <si>
    <t>409,333/12</t>
  </si>
  <si>
    <t>BALITRAND</t>
  </si>
  <si>
    <t>11264075</t>
  </si>
  <si>
    <t>11264076</t>
  </si>
  <si>
    <t>STOCK</t>
  </si>
  <si>
    <t>11264077</t>
  </si>
  <si>
    <t>11264078</t>
  </si>
  <si>
    <t>EASYMAT</t>
  </si>
  <si>
    <t>N°21120137</t>
  </si>
  <si>
    <t xml:space="preserve">PRELEVEMENT </t>
  </si>
  <si>
    <t>GENERALI</t>
  </si>
  <si>
    <t>AT 063 421</t>
  </si>
  <si>
    <t>AUTOMOBILE</t>
  </si>
  <si>
    <t>AT 096 205</t>
  </si>
  <si>
    <t xml:space="preserve">AR 601 510 </t>
  </si>
  <si>
    <t xml:space="preserve">AR 600 632 </t>
  </si>
  <si>
    <t>AR 743 728</t>
  </si>
  <si>
    <t xml:space="preserve">AR 600 631 </t>
  </si>
  <si>
    <t>AXA</t>
  </si>
  <si>
    <t xml:space="preserve">BAT N°10769141904 </t>
  </si>
  <si>
    <t xml:space="preserve">AXA - DECENNALE </t>
  </si>
  <si>
    <t xml:space="preserve">EDF </t>
  </si>
  <si>
    <t xml:space="preserve">N° 101 409 343 78 </t>
  </si>
  <si>
    <t xml:space="preserve">25 VALLON DES VAUX </t>
  </si>
  <si>
    <t>SFR</t>
  </si>
  <si>
    <t>CONTRAT 99-NA2L5Q</t>
  </si>
  <si>
    <t xml:space="preserve">IDENTICAR </t>
  </si>
  <si>
    <t>N°</t>
  </si>
  <si>
    <t>VOITURE SKODA</t>
  </si>
  <si>
    <t>F2116513</t>
  </si>
  <si>
    <t xml:space="preserve">AT 028 447 </t>
  </si>
  <si>
    <t>HABITATION</t>
  </si>
  <si>
    <t>URSSAF</t>
  </si>
  <si>
    <t>DECEMBRE 2021</t>
  </si>
  <si>
    <t xml:space="preserve">AR 935 830 </t>
  </si>
  <si>
    <t>1660332281</t>
  </si>
  <si>
    <t>1-1AOLFZ1P4</t>
  </si>
  <si>
    <t xml:space="preserve">CIBTP </t>
  </si>
  <si>
    <t>OCTOBRE 2021</t>
  </si>
  <si>
    <t>BTP PREVOYANCE</t>
  </si>
  <si>
    <t>ALPHA PRINT</t>
  </si>
  <si>
    <t>83125</t>
  </si>
  <si>
    <t>COPIE PHOTOCOPIEUSE</t>
  </si>
  <si>
    <t>N° 10142067557</t>
  </si>
  <si>
    <t xml:space="preserve">JEAN JAURES - FREJUS </t>
  </si>
  <si>
    <t xml:space="preserve">GECECA </t>
  </si>
  <si>
    <t>2021/12-000167</t>
  </si>
  <si>
    <t>PRO BTP</t>
  </si>
  <si>
    <t xml:space="preserve">PGE </t>
  </si>
  <si>
    <t xml:space="preserve">N°12 </t>
  </si>
  <si>
    <t>F2305720</t>
  </si>
  <si>
    <t xml:space="preserve">A PAYER </t>
  </si>
  <si>
    <t>SEFAB</t>
  </si>
  <si>
    <t xml:space="preserve">N°FA 560 -21 </t>
  </si>
  <si>
    <t>N°SA2111L108</t>
  </si>
  <si>
    <t>FA00011</t>
  </si>
  <si>
    <t>SPURGIN</t>
  </si>
  <si>
    <t>U0621110060</t>
  </si>
  <si>
    <t>FC-U0621110090</t>
  </si>
  <si>
    <t>AZUR METAL</t>
  </si>
  <si>
    <t>21 11- 055</t>
  </si>
  <si>
    <t>2112-046</t>
  </si>
  <si>
    <t xml:space="preserve">MAILLET </t>
  </si>
  <si>
    <t>2112-061</t>
  </si>
  <si>
    <t xml:space="preserve">VALLIER </t>
  </si>
  <si>
    <t>2112-029</t>
  </si>
  <si>
    <t>2112-069</t>
  </si>
  <si>
    <t>471</t>
  </si>
  <si>
    <t>25/01/20222</t>
  </si>
  <si>
    <t>2101774</t>
  </si>
  <si>
    <t>2101747</t>
  </si>
  <si>
    <t>MINERVE</t>
  </si>
  <si>
    <t>85</t>
  </si>
  <si>
    <t>90</t>
  </si>
  <si>
    <t xml:space="preserve">A REGLER </t>
  </si>
  <si>
    <t>91</t>
  </si>
  <si>
    <t>N°2101761</t>
  </si>
  <si>
    <t>DEL PISTOLA</t>
  </si>
  <si>
    <t>12/055</t>
  </si>
  <si>
    <t>LOGIC ETUDE EXPERTISE</t>
  </si>
  <si>
    <t>2018 LEE 126/12-103</t>
  </si>
  <si>
    <t>ROSEBAY</t>
  </si>
  <si>
    <t>COFRASUD</t>
  </si>
  <si>
    <t>N° 148983</t>
  </si>
  <si>
    <t>N°148894</t>
  </si>
  <si>
    <t>SCI JBM</t>
  </si>
  <si>
    <t>CAGNES</t>
  </si>
  <si>
    <t>DE LAGE LANDEN</t>
  </si>
  <si>
    <t>850 1 22 0000238</t>
  </si>
  <si>
    <t>INFO BURO</t>
  </si>
  <si>
    <t>27/01</t>
  </si>
  <si>
    <t>25/01/2022</t>
  </si>
  <si>
    <t>TERCA</t>
  </si>
  <si>
    <t>2022024</t>
  </si>
  <si>
    <t>21/01</t>
  </si>
  <si>
    <t xml:space="preserve">RG MATRIAUX </t>
  </si>
  <si>
    <t>000302</t>
  </si>
  <si>
    <t>000320</t>
  </si>
  <si>
    <t xml:space="preserve">TOTAL </t>
  </si>
  <si>
    <t xml:space="preserve">FOURNISSEURS </t>
  </si>
  <si>
    <t>Date de paiement</t>
  </si>
  <si>
    <t>0831660</t>
  </si>
  <si>
    <t>0837780</t>
  </si>
  <si>
    <t>0835730</t>
  </si>
  <si>
    <t>KILOUTOU</t>
  </si>
  <si>
    <t>28584242</t>
  </si>
  <si>
    <t>-</t>
  </si>
  <si>
    <t>POINT P</t>
  </si>
  <si>
    <t>301C1002369228</t>
  </si>
  <si>
    <t>301C1002368593</t>
  </si>
  <si>
    <t>0504831009</t>
  </si>
  <si>
    <t>28626967</t>
  </si>
  <si>
    <t>111295V</t>
  </si>
  <si>
    <t>110552L</t>
  </si>
  <si>
    <t>110968L</t>
  </si>
  <si>
    <t>899100808</t>
  </si>
  <si>
    <t>220110857</t>
  </si>
  <si>
    <t>VION</t>
  </si>
  <si>
    <t>220110856</t>
  </si>
  <si>
    <t>COLLINE DE LA TOUR</t>
  </si>
  <si>
    <t>220110855</t>
  </si>
  <si>
    <t>220110854</t>
  </si>
  <si>
    <t>20174902</t>
  </si>
  <si>
    <t>LA TOUR DE MARE</t>
  </si>
  <si>
    <t>20174903</t>
  </si>
  <si>
    <t>20174904</t>
  </si>
  <si>
    <t>20174905</t>
  </si>
  <si>
    <t>LES ISSAMBRES</t>
  </si>
  <si>
    <t>20174906</t>
  </si>
  <si>
    <t>PHONING</t>
  </si>
  <si>
    <t>20174907</t>
  </si>
  <si>
    <t>CYRILLE GEOFFREY</t>
  </si>
  <si>
    <t>CIFFREO BONA</t>
  </si>
  <si>
    <t>411,787</t>
  </si>
  <si>
    <t>411,788</t>
  </si>
  <si>
    <t>TOUR DE MARE</t>
  </si>
  <si>
    <t>411,789</t>
  </si>
  <si>
    <t>417,342</t>
  </si>
  <si>
    <t>AGAY</t>
  </si>
  <si>
    <t>417,343</t>
  </si>
  <si>
    <t>MANDELIEU</t>
  </si>
  <si>
    <t>411,223</t>
  </si>
  <si>
    <t>411,224</t>
  </si>
  <si>
    <t>272E620,22,18000272</t>
  </si>
  <si>
    <t>432,631/03</t>
  </si>
  <si>
    <t>AVOIR</t>
  </si>
  <si>
    <t>PS 7238</t>
  </si>
  <si>
    <t>EDF</t>
  </si>
  <si>
    <t>10142735389</t>
  </si>
  <si>
    <t xml:space="preserve">ASSURANCE DECENALE </t>
  </si>
  <si>
    <t>10142970680</t>
  </si>
  <si>
    <t>PUGET</t>
  </si>
  <si>
    <t>F2404374</t>
  </si>
  <si>
    <t xml:space="preserve">EASY MAT </t>
  </si>
  <si>
    <t>22010122</t>
  </si>
  <si>
    <t>ULYS</t>
  </si>
  <si>
    <t>IA00216477</t>
  </si>
  <si>
    <t>21/02/202</t>
  </si>
  <si>
    <t>GECECA</t>
  </si>
  <si>
    <t>2022/02-000170</t>
  </si>
  <si>
    <t>COMPTABLE</t>
  </si>
  <si>
    <t>1667336958</t>
  </si>
  <si>
    <t>1-HCXV2G79</t>
  </si>
  <si>
    <t>F2602461</t>
  </si>
  <si>
    <t>MAT ILD</t>
  </si>
  <si>
    <t>F186C940,22,18001593</t>
  </si>
  <si>
    <t xml:space="preserve">MAT ILD </t>
  </si>
  <si>
    <t>F186C940,18001592</t>
  </si>
  <si>
    <t>CAVEM</t>
  </si>
  <si>
    <t>202200044</t>
  </si>
  <si>
    <t>LOYER ARMAND</t>
  </si>
  <si>
    <t>02.2022</t>
  </si>
  <si>
    <t>TERRAIN</t>
  </si>
  <si>
    <t>PACANIER</t>
  </si>
  <si>
    <t>10</t>
  </si>
  <si>
    <t xml:space="preserve">LOYER TERRAIN DE STOCKAGE </t>
  </si>
  <si>
    <t>U0621120042</t>
  </si>
  <si>
    <t>BH TERRASSEMENT</t>
  </si>
  <si>
    <t>2022/01/007</t>
  </si>
  <si>
    <t xml:space="preserve">INTER SERVICE VAROIS </t>
  </si>
  <si>
    <t>2022/01/00111</t>
  </si>
  <si>
    <t>ACOMPTE DE 472- villa rouge</t>
  </si>
  <si>
    <t xml:space="preserve">AZUR METAL </t>
  </si>
  <si>
    <t>2201091</t>
  </si>
  <si>
    <t>SA2112L103</t>
  </si>
  <si>
    <t xml:space="preserve">CCA </t>
  </si>
  <si>
    <t>2200048</t>
  </si>
  <si>
    <t>106</t>
  </si>
  <si>
    <t>THIERRY - VILLA D AUREE</t>
  </si>
  <si>
    <t>105</t>
  </si>
  <si>
    <t>98</t>
  </si>
  <si>
    <t>97</t>
  </si>
  <si>
    <t>EO GEO</t>
  </si>
  <si>
    <t>22-1375</t>
  </si>
  <si>
    <t>01/055</t>
  </si>
  <si>
    <t>02/405</t>
  </si>
  <si>
    <t>AVOIR -1500 VILLA D AUREE</t>
  </si>
  <si>
    <t>LOYER 02.2022</t>
  </si>
  <si>
    <t>CAGNES SUR MER</t>
  </si>
  <si>
    <t xml:space="preserve">RG MATERIAUX </t>
  </si>
  <si>
    <t>31/12/2021</t>
  </si>
  <si>
    <t>DIVERS CHANTIERS</t>
  </si>
  <si>
    <t>MARCHAL</t>
  </si>
  <si>
    <t xml:space="preserve">LOYER APPRT FREJUS </t>
  </si>
  <si>
    <t>SCI OFFICE 2 M</t>
  </si>
  <si>
    <t>LOYER NUREAU FREJUS</t>
  </si>
  <si>
    <t xml:space="preserve">Achats divers </t>
  </si>
  <si>
    <t>0843467</t>
  </si>
  <si>
    <t xml:space="preserve">AVOIR </t>
  </si>
  <si>
    <t>0846552</t>
  </si>
  <si>
    <t>0840416</t>
  </si>
  <si>
    <t xml:space="preserve">DM FAÇADE </t>
  </si>
  <si>
    <t>28842156</t>
  </si>
  <si>
    <t>REPARATION</t>
  </si>
  <si>
    <t>28790980</t>
  </si>
  <si>
    <t>28779960</t>
  </si>
  <si>
    <t xml:space="preserve">RESTE A PAYER </t>
  </si>
  <si>
    <t>28862884</t>
  </si>
  <si>
    <t>121027380</t>
  </si>
  <si>
    <t>301C1002414966</t>
  </si>
  <si>
    <t>VION-MAILLET</t>
  </si>
  <si>
    <t>301C1002410255</t>
  </si>
  <si>
    <t xml:space="preserve">RESTE LCR </t>
  </si>
  <si>
    <t>899100841</t>
  </si>
  <si>
    <t>422899/02</t>
  </si>
  <si>
    <t>CARRE DES VIGNES</t>
  </si>
  <si>
    <t>424637/02</t>
  </si>
  <si>
    <t>RESTE PRELEVEMENT</t>
  </si>
  <si>
    <t>418202/02</t>
  </si>
  <si>
    <t>418841/02</t>
  </si>
  <si>
    <t>424112/02</t>
  </si>
  <si>
    <t xml:space="preserve">TOTAL RESTANT DU </t>
  </si>
  <si>
    <t>419678/02</t>
  </si>
  <si>
    <t>418838/02</t>
  </si>
  <si>
    <t>418839/02</t>
  </si>
  <si>
    <t>418840/02</t>
  </si>
  <si>
    <t>418842/02</t>
  </si>
  <si>
    <t>30144352 / 30171061</t>
  </si>
  <si>
    <t>20285858</t>
  </si>
  <si>
    <t>20285859</t>
  </si>
  <si>
    <t>20285860</t>
  </si>
  <si>
    <t>20285861</t>
  </si>
  <si>
    <t>20285862</t>
  </si>
  <si>
    <t>20285863</t>
  </si>
  <si>
    <t>20285864</t>
  </si>
  <si>
    <t>220214894</t>
  </si>
  <si>
    <t>220214896</t>
  </si>
  <si>
    <t>220214891</t>
  </si>
  <si>
    <t>220214897</t>
  </si>
  <si>
    <t>220214895</t>
  </si>
  <si>
    <t>ROQUEBRUNE - BOULEVARD</t>
  </si>
  <si>
    <t>220214892</t>
  </si>
  <si>
    <t>220214893</t>
  </si>
  <si>
    <t>00111973L</t>
  </si>
  <si>
    <t>00112544L</t>
  </si>
  <si>
    <t>30066627</t>
  </si>
  <si>
    <t xml:space="preserve">STOCK </t>
  </si>
  <si>
    <t xml:space="preserve">DLL </t>
  </si>
  <si>
    <t>850 1 22 0002847</t>
  </si>
  <si>
    <t>LOCATION MATERIEL INFO</t>
  </si>
  <si>
    <t>XZ33</t>
  </si>
  <si>
    <t>JURITRAVAIL</t>
  </si>
  <si>
    <t xml:space="preserve">HUBERT </t>
  </si>
  <si>
    <t xml:space="preserve">LOYER FREJUS </t>
  </si>
  <si>
    <t>SCI DYLAN ETHAN</t>
  </si>
  <si>
    <t xml:space="preserve">LOYER PUGET </t>
  </si>
  <si>
    <t xml:space="preserve">INFO BURO </t>
  </si>
  <si>
    <t xml:space="preserve">BUREAUTIQUE </t>
  </si>
  <si>
    <t xml:space="preserve">SCI PACANIER </t>
  </si>
  <si>
    <t xml:space="preserve">ARMAND </t>
  </si>
  <si>
    <t>F2677726</t>
  </si>
  <si>
    <t xml:space="preserve">CHUBB EUROPEAN </t>
  </si>
  <si>
    <t>ASSURANCE TEL</t>
  </si>
  <si>
    <t>2202000131</t>
  </si>
  <si>
    <t>10144716571</t>
  </si>
  <si>
    <t>LES MEISSUGUES</t>
  </si>
  <si>
    <t xml:space="preserve">ALLOMAT </t>
  </si>
  <si>
    <t>523840</t>
  </si>
  <si>
    <t xml:space="preserve">RELEVE FEVRIER </t>
  </si>
  <si>
    <t>MATI'ILD</t>
  </si>
  <si>
    <t>F186C940,22,18000750</t>
  </si>
  <si>
    <t>F183C940,22,18000751</t>
  </si>
  <si>
    <t>F2869514</t>
  </si>
  <si>
    <t xml:space="preserve">AIST </t>
  </si>
  <si>
    <t>5078137</t>
  </si>
  <si>
    <t xml:space="preserve">LA CAVEM </t>
  </si>
  <si>
    <t>20220127</t>
  </si>
  <si>
    <t>MATILD</t>
  </si>
  <si>
    <t>F186C940.22.18000366</t>
  </si>
  <si>
    <t>2201061</t>
  </si>
  <si>
    <t>2201060</t>
  </si>
  <si>
    <t>2202074</t>
  </si>
  <si>
    <t>2202076</t>
  </si>
  <si>
    <t>2202075</t>
  </si>
  <si>
    <t>SCI SIRENE VILLA  LES AGASSES - ST RAPH</t>
  </si>
  <si>
    <t>02/055</t>
  </si>
  <si>
    <t>064</t>
  </si>
  <si>
    <t>INTER SERVICE</t>
  </si>
  <si>
    <t>2022/01/00289</t>
  </si>
  <si>
    <t>RG MATERIAUX</t>
  </si>
  <si>
    <t>2022/03/011</t>
  </si>
  <si>
    <t xml:space="preserve">KRO CERAMIQUE </t>
  </si>
  <si>
    <t>008837</t>
  </si>
  <si>
    <t xml:space="preserve">VILLA ROUGE </t>
  </si>
  <si>
    <t>114</t>
  </si>
  <si>
    <t>THIERRY- VILLA D AUREE</t>
  </si>
  <si>
    <t>113</t>
  </si>
  <si>
    <t>120</t>
  </si>
  <si>
    <t>119</t>
  </si>
  <si>
    <t>LOCAPEINT</t>
  </si>
  <si>
    <t>20128989</t>
  </si>
  <si>
    <t>DOS SANTOS</t>
  </si>
  <si>
    <t>27</t>
  </si>
  <si>
    <t>2022099</t>
  </si>
  <si>
    <t>VILLA DAUREE</t>
  </si>
  <si>
    <t xml:space="preserve">LOPEZ </t>
  </si>
  <si>
    <t xml:space="preserve">AMG LOCATION </t>
  </si>
  <si>
    <t xml:space="preserve">FA 000164 </t>
  </si>
  <si>
    <t xml:space="preserve">GRUE MAILLET </t>
  </si>
  <si>
    <t xml:space="preserve">MB </t>
  </si>
  <si>
    <t>2021-011-</t>
  </si>
  <si>
    <t>VILLA AGATHA</t>
  </si>
  <si>
    <t>05855802</t>
  </si>
  <si>
    <t>0853827</t>
  </si>
  <si>
    <t>28939102</t>
  </si>
  <si>
    <t>28905632</t>
  </si>
  <si>
    <t>28939080</t>
  </si>
  <si>
    <t>28939093</t>
  </si>
  <si>
    <t>29058201</t>
  </si>
  <si>
    <t>29011642</t>
  </si>
  <si>
    <t>JCMAT</t>
  </si>
  <si>
    <t>00113876L</t>
  </si>
  <si>
    <t>00113691L</t>
  </si>
  <si>
    <t>899100865</t>
  </si>
  <si>
    <t>0504831852</t>
  </si>
  <si>
    <t>SEQUIER</t>
  </si>
  <si>
    <t>0504831851</t>
  </si>
  <si>
    <t>426,258</t>
  </si>
  <si>
    <t>429,726</t>
  </si>
  <si>
    <t>426,260</t>
  </si>
  <si>
    <t>BESSE</t>
  </si>
  <si>
    <t>426,259</t>
  </si>
  <si>
    <t>425,579</t>
  </si>
  <si>
    <t>VILLA ROUGE</t>
  </si>
  <si>
    <t>3006910</t>
  </si>
  <si>
    <t>3006909</t>
  </si>
  <si>
    <t>20397841</t>
  </si>
  <si>
    <t>20397842</t>
  </si>
  <si>
    <t>20397843</t>
  </si>
  <si>
    <t>20397844</t>
  </si>
  <si>
    <t>20397845</t>
  </si>
  <si>
    <t>ST RAPH</t>
  </si>
  <si>
    <t>20397846</t>
  </si>
  <si>
    <t>LES TERRES DE CLAVIERS</t>
  </si>
  <si>
    <t>LAFARGE</t>
  </si>
  <si>
    <t>220316682</t>
  </si>
  <si>
    <t xml:space="preserve">RUE DU ROCHER PUGET </t>
  </si>
  <si>
    <t>220316683</t>
  </si>
  <si>
    <t>220316684</t>
  </si>
  <si>
    <t>220316685</t>
  </si>
  <si>
    <t>220316686</t>
  </si>
  <si>
    <t>220316687</t>
  </si>
  <si>
    <t>220316688</t>
  </si>
  <si>
    <t>CHEMIN DES ALLIES</t>
  </si>
  <si>
    <t>220316689</t>
  </si>
  <si>
    <t>CHEMIN DE CLAVIER</t>
  </si>
  <si>
    <t>220316690</t>
  </si>
  <si>
    <t>ALLES DES PINS PARASOLE JUANS LES PÏNS</t>
  </si>
  <si>
    <t xml:space="preserve">DE LAGE </t>
  </si>
  <si>
    <t>850 1 22 00006649</t>
  </si>
  <si>
    <t>F2A45549</t>
  </si>
  <si>
    <t xml:space="preserve">SKODA </t>
  </si>
  <si>
    <t>1TRM 2022</t>
  </si>
  <si>
    <t>83194</t>
  </si>
  <si>
    <t>COPIE</t>
  </si>
  <si>
    <t>COTISATION NOUVEAUX SALARIES</t>
  </si>
  <si>
    <t xml:space="preserve">CAISSE DES CONGES </t>
  </si>
  <si>
    <t xml:space="preserve">RETRAITE </t>
  </si>
  <si>
    <t xml:space="preserve">SFR FIXE ADSL </t>
  </si>
  <si>
    <t>1-1A0LF</t>
  </si>
  <si>
    <t xml:space="preserve">FIXE BUREAU FREJUS </t>
  </si>
  <si>
    <t>10147610617</t>
  </si>
  <si>
    <t>J JAURES</t>
  </si>
  <si>
    <t>22030152</t>
  </si>
  <si>
    <t>RECONDITIONNEMENT BUNGALOW</t>
  </si>
  <si>
    <t>22030153</t>
  </si>
  <si>
    <t>22030154</t>
  </si>
  <si>
    <t>LOCATION MARS 2022</t>
  </si>
  <si>
    <t>MATIL'D</t>
  </si>
  <si>
    <t>22,18001592</t>
  </si>
  <si>
    <t>22.18001593</t>
  </si>
  <si>
    <t>526847</t>
  </si>
  <si>
    <t xml:space="preserve">PEAGE </t>
  </si>
  <si>
    <t xml:space="preserve">CHAMPEAU </t>
  </si>
  <si>
    <t>100FAC-22031371</t>
  </si>
  <si>
    <t xml:space="preserve">LA TRINITE </t>
  </si>
  <si>
    <t xml:space="preserve">OFFICE 2 M </t>
  </si>
  <si>
    <t>ECH 04/04/2022</t>
  </si>
  <si>
    <t>BUREAU FREJUS</t>
  </si>
  <si>
    <t xml:space="preserve">INTERSERVICE </t>
  </si>
  <si>
    <t>2022/01/00315</t>
  </si>
  <si>
    <t xml:space="preserve">MULTI-TRAVAUX </t>
  </si>
  <si>
    <t>2022-0013</t>
  </si>
  <si>
    <t>NETTOYAGE APPRT CAGNES SUR MER</t>
  </si>
  <si>
    <t>151002191</t>
  </si>
  <si>
    <t>LOCATION CAMION</t>
  </si>
  <si>
    <t>ECH 28/02</t>
  </si>
  <si>
    <t>CHANTIERS</t>
  </si>
  <si>
    <t xml:space="preserve">MINERVE </t>
  </si>
  <si>
    <t>129</t>
  </si>
  <si>
    <t>130</t>
  </si>
  <si>
    <t>148</t>
  </si>
  <si>
    <t>VILLA D'AUREE  - THIERRY</t>
  </si>
  <si>
    <t>147</t>
  </si>
  <si>
    <t>2200284</t>
  </si>
  <si>
    <t>2200349</t>
  </si>
  <si>
    <t>2200365</t>
  </si>
  <si>
    <t>2200179</t>
  </si>
  <si>
    <t xml:space="preserve">COFRASUD </t>
  </si>
  <si>
    <t>150501</t>
  </si>
  <si>
    <t xml:space="preserve">DEL PISTOLA </t>
  </si>
  <si>
    <t>03/55</t>
  </si>
  <si>
    <t xml:space="preserve">PENAPAVAGE </t>
  </si>
  <si>
    <t>2022-0097</t>
  </si>
  <si>
    <t>2203061</t>
  </si>
  <si>
    <t>2203060</t>
  </si>
  <si>
    <t>116</t>
  </si>
  <si>
    <t>LCR</t>
  </si>
  <si>
    <t>0862838</t>
  </si>
  <si>
    <t>0865929</t>
  </si>
  <si>
    <t>121028999</t>
  </si>
  <si>
    <t>301C1002514694</t>
  </si>
  <si>
    <t>301C1002519299</t>
  </si>
  <si>
    <t>301C1002459997</t>
  </si>
  <si>
    <t>30510430</t>
  </si>
  <si>
    <t>899100886</t>
  </si>
  <si>
    <t>0504832344</t>
  </si>
  <si>
    <t>0504832343</t>
  </si>
  <si>
    <t>20409440</t>
  </si>
  <si>
    <t>20409441</t>
  </si>
  <si>
    <t>20409442</t>
  </si>
  <si>
    <t>20409443</t>
  </si>
  <si>
    <t>114453L</t>
  </si>
  <si>
    <t>114869L</t>
  </si>
  <si>
    <t>220423324</t>
  </si>
  <si>
    <t>220423325</t>
  </si>
  <si>
    <t>220423326</t>
  </si>
  <si>
    <t>220423327</t>
  </si>
  <si>
    <t>3007206</t>
  </si>
  <si>
    <t>433 474</t>
  </si>
  <si>
    <t>433 475</t>
  </si>
  <si>
    <t>433 476</t>
  </si>
  <si>
    <t>434 980</t>
  </si>
  <si>
    <t>437 376</t>
  </si>
  <si>
    <t>GARY   MIMET</t>
  </si>
  <si>
    <t>425,577</t>
  </si>
  <si>
    <t>432.631/03</t>
  </si>
  <si>
    <t>DIVERS</t>
  </si>
  <si>
    <t>18002409</t>
  </si>
  <si>
    <t>P S 49969</t>
  </si>
  <si>
    <t xml:space="preserve">ADOBE </t>
  </si>
  <si>
    <t xml:space="preserve">ADOBE READER </t>
  </si>
  <si>
    <t xml:space="preserve">QUAI LES MEISSUGUES </t>
  </si>
  <si>
    <t>151002345</t>
  </si>
  <si>
    <t>IVECO BENNE</t>
  </si>
  <si>
    <t>10148559524</t>
  </si>
  <si>
    <t>JEAN JAURES</t>
  </si>
  <si>
    <t>1280037</t>
  </si>
  <si>
    <t>AVOIR AIST</t>
  </si>
  <si>
    <t>1282351</t>
  </si>
  <si>
    <t>NOUVEAU SALARIE</t>
  </si>
  <si>
    <t>PRO BTP PREVOYANCE</t>
  </si>
  <si>
    <t xml:space="preserve">BTP RETRAITE </t>
  </si>
  <si>
    <t>EASY MAT</t>
  </si>
  <si>
    <t>AVOIR 22040014</t>
  </si>
  <si>
    <t>22040143</t>
  </si>
  <si>
    <t>14269</t>
  </si>
  <si>
    <t>COMPTEUR PHOTOCOPIE</t>
  </si>
  <si>
    <t>SCI PACANIER</t>
  </si>
  <si>
    <t>TERRAIN STOCKAGE</t>
  </si>
  <si>
    <t>157</t>
  </si>
  <si>
    <t>VILLA D AUREE - THIERRY</t>
  </si>
  <si>
    <t>156</t>
  </si>
  <si>
    <t>VILLA D'AUREE</t>
  </si>
  <si>
    <t>170</t>
  </si>
  <si>
    <t>169</t>
  </si>
  <si>
    <t xml:space="preserve">VILLA D AUREE </t>
  </si>
  <si>
    <t>04/055</t>
  </si>
  <si>
    <t>INTER SERVICES VAROIS</t>
  </si>
  <si>
    <t>2022/01/00450</t>
  </si>
  <si>
    <t>FA161</t>
  </si>
  <si>
    <t>22-04- 053</t>
  </si>
  <si>
    <t>VILLA CHARASSE</t>
  </si>
  <si>
    <t>FA000303</t>
  </si>
  <si>
    <t xml:space="preserve">CITYLINK </t>
  </si>
  <si>
    <t xml:space="preserve">FAC N° 2022290 </t>
  </si>
  <si>
    <t xml:space="preserve">CARTE VISITE </t>
  </si>
  <si>
    <t>31/03/2022</t>
  </si>
  <si>
    <t>115782L</t>
  </si>
  <si>
    <t>899100908</t>
  </si>
  <si>
    <t>18003334</t>
  </si>
  <si>
    <t>18003335</t>
  </si>
  <si>
    <t>3007517</t>
  </si>
  <si>
    <t>3007152</t>
  </si>
  <si>
    <t>0504832842</t>
  </si>
  <si>
    <t>0504832843</t>
  </si>
  <si>
    <t>CHARASSE</t>
  </si>
  <si>
    <t>CIFFREO</t>
  </si>
  <si>
    <t>447,711</t>
  </si>
  <si>
    <t>440,886</t>
  </si>
  <si>
    <t>441,509</t>
  </si>
  <si>
    <t>441,510</t>
  </si>
  <si>
    <t>442,446</t>
  </si>
  <si>
    <t>20520964</t>
  </si>
  <si>
    <t>20520965</t>
  </si>
  <si>
    <t>CHAUSSURE</t>
  </si>
  <si>
    <t>20520966</t>
  </si>
  <si>
    <t>20520967</t>
  </si>
  <si>
    <t>SEQUIET</t>
  </si>
  <si>
    <t>20520968</t>
  </si>
  <si>
    <t>20520969</t>
  </si>
  <si>
    <t>COFFRET</t>
  </si>
  <si>
    <t>220518695</t>
  </si>
  <si>
    <t>220518696</t>
  </si>
  <si>
    <t>220518697</t>
  </si>
  <si>
    <t>220518698</t>
  </si>
  <si>
    <t xml:space="preserve">VION </t>
  </si>
  <si>
    <t>220518699</t>
  </si>
  <si>
    <t>220518700</t>
  </si>
  <si>
    <t>850 1 22 00010235</t>
  </si>
  <si>
    <t xml:space="preserve">F2677726 </t>
  </si>
  <si>
    <t xml:space="preserve">MATIL'D </t>
  </si>
  <si>
    <t>N° 18002634</t>
  </si>
  <si>
    <t>N°18002633</t>
  </si>
  <si>
    <t>1700285942</t>
  </si>
  <si>
    <t>FIXZ BUREAU PUGET</t>
  </si>
  <si>
    <t xml:space="preserve">PREVOYANCE </t>
  </si>
  <si>
    <t>IE00213689</t>
  </si>
  <si>
    <t>1701555478</t>
  </si>
  <si>
    <t xml:space="preserve">GMF </t>
  </si>
  <si>
    <t>006.249.595P</t>
  </si>
  <si>
    <t xml:space="preserve">VILLA D'AUREE  - MERCEDEZ </t>
  </si>
  <si>
    <t>544</t>
  </si>
  <si>
    <t xml:space="preserve">SG CARRELAGE </t>
  </si>
  <si>
    <t>2022-</t>
  </si>
  <si>
    <t xml:space="preserve">SOUS TRAITANCE CARRELAGE </t>
  </si>
  <si>
    <t>2205-057</t>
  </si>
  <si>
    <t xml:space="preserve">SARL CIN </t>
  </si>
  <si>
    <t>2205-056</t>
  </si>
  <si>
    <t>FA204</t>
  </si>
  <si>
    <t xml:space="preserve">AMENDE </t>
  </si>
  <si>
    <t>EG-937-WX</t>
  </si>
  <si>
    <t>511</t>
  </si>
  <si>
    <t xml:space="preserve">512 </t>
  </si>
  <si>
    <t>05/055</t>
  </si>
  <si>
    <t>175</t>
  </si>
  <si>
    <t>176</t>
  </si>
  <si>
    <t>195</t>
  </si>
  <si>
    <t>196</t>
  </si>
  <si>
    <t>K.RENOV</t>
  </si>
  <si>
    <t>2207076</t>
  </si>
  <si>
    <t>JA HOLDING</t>
  </si>
  <si>
    <t>2022-32</t>
  </si>
  <si>
    <t>2022-33</t>
  </si>
  <si>
    <t>CARCES</t>
  </si>
  <si>
    <t>2022-35</t>
  </si>
  <si>
    <t>18004036</t>
  </si>
  <si>
    <t>18004037</t>
  </si>
  <si>
    <t>0504833584</t>
  </si>
  <si>
    <t>899100928</t>
  </si>
  <si>
    <t>3007794</t>
  </si>
  <si>
    <t>453,029</t>
  </si>
  <si>
    <t>32630</t>
  </si>
  <si>
    <t>32631</t>
  </si>
  <si>
    <t>32632</t>
  </si>
  <si>
    <t>32633</t>
  </si>
  <si>
    <t>32634</t>
  </si>
  <si>
    <t>32635</t>
  </si>
  <si>
    <t>450,185</t>
  </si>
  <si>
    <t>449,189</t>
  </si>
  <si>
    <t>449,188</t>
  </si>
  <si>
    <t>449,187</t>
  </si>
  <si>
    <t>449,186</t>
  </si>
  <si>
    <t>449,185</t>
  </si>
  <si>
    <t>449,184</t>
  </si>
  <si>
    <t>448,546</t>
  </si>
  <si>
    <t>00117437L</t>
  </si>
  <si>
    <t>220623041</t>
  </si>
  <si>
    <t>220623042</t>
  </si>
  <si>
    <t>220623043</t>
  </si>
  <si>
    <t>ROBERT</t>
  </si>
  <si>
    <t>220623044</t>
  </si>
  <si>
    <t>220623045</t>
  </si>
  <si>
    <t>220623046</t>
  </si>
  <si>
    <t xml:space="preserve">COTE </t>
  </si>
  <si>
    <t>10151464034</t>
  </si>
  <si>
    <t>PEREZ</t>
  </si>
  <si>
    <t>85012200014369</t>
  </si>
  <si>
    <t>AT 063 431</t>
  </si>
  <si>
    <t>10151976995</t>
  </si>
  <si>
    <t xml:space="preserve">BUREAU PUGET </t>
  </si>
  <si>
    <t>2206000134</t>
  </si>
  <si>
    <t>F2C46534</t>
  </si>
  <si>
    <t>GAZOIL</t>
  </si>
  <si>
    <t>25/04/2022</t>
  </si>
  <si>
    <t>IF00213074</t>
  </si>
  <si>
    <t>30751147</t>
  </si>
  <si>
    <t xml:space="preserve">DLM </t>
  </si>
  <si>
    <t>22060162</t>
  </si>
  <si>
    <t>FA000483</t>
  </si>
  <si>
    <t xml:space="preserve">MAILLET - GRUE </t>
  </si>
  <si>
    <t xml:space="preserve">ECH 31/05 </t>
  </si>
  <si>
    <t xml:space="preserve">CHANTIERS </t>
  </si>
  <si>
    <t>2022-39</t>
  </si>
  <si>
    <t>2022-40</t>
  </si>
  <si>
    <t>INTERSERVICES</t>
  </si>
  <si>
    <t>664</t>
  </si>
  <si>
    <t>MENAGE VILLA D AUREE</t>
  </si>
  <si>
    <t>IDEAL FACADE</t>
  </si>
  <si>
    <t>1-116</t>
  </si>
  <si>
    <t>FACADE VILLA D AUREE</t>
  </si>
  <si>
    <t>BOUGADOUHA</t>
  </si>
  <si>
    <t>60005</t>
  </si>
  <si>
    <t xml:space="preserve">DECHET MANDELIEU </t>
  </si>
  <si>
    <t>06/202</t>
  </si>
  <si>
    <t>212</t>
  </si>
  <si>
    <t>287</t>
  </si>
  <si>
    <t>2121/1007</t>
  </si>
  <si>
    <t>CARRELAGE VILLA D AUREE</t>
  </si>
  <si>
    <t xml:space="preserve">PRO G MAT </t>
  </si>
  <si>
    <t>14363</t>
  </si>
  <si>
    <t>2206067</t>
  </si>
  <si>
    <t>2206068</t>
  </si>
  <si>
    <t xml:space="preserve">SALAIRE </t>
  </si>
  <si>
    <t>OUI</t>
  </si>
  <si>
    <t>Sbhal</t>
  </si>
  <si>
    <t>AAAAAA</t>
  </si>
  <si>
    <t>16/08/2022</t>
  </si>
  <si>
    <t>1289820</t>
  </si>
</sst>
</file>

<file path=xl/styles.xml><?xml version="1.0" encoding="utf-8"?>
<styleSheet xmlns="http://schemas.openxmlformats.org/spreadsheetml/2006/main" xml:space="preserve">
  <numFmts count="7">
    <numFmt numFmtId="164" formatCode="#,##0.00&quot; €&quot;"/>
    <numFmt numFmtId="165" formatCode="_-* #,##0.00&quot; €&quot;_-;\-* #,##0.00&quot; €&quot;_-;_-* \-??&quot; €&quot;_-;_-@_-"/>
    <numFmt numFmtId="166" formatCode="dd/mm/yyyy"/>
    <numFmt numFmtId="167" formatCode="_-* #,##0.00_-;\-* #,##0.00_-;_-* \-??_-;_-@_-"/>
    <numFmt numFmtId="168" formatCode="_-* #,##0.0_-;\-* #,##0.0_-;_-* \-??_-;_-@_-"/>
    <numFmt numFmtId="169" formatCode="#,##0.00&quot; €&quot;;[RED]\-#,##0.00&quot; €&quot;"/>
    <numFmt numFmtId="170" formatCode="mmm\-yy"/>
  </numFmts>
  <fonts count="86">
    <font>
      <b val="0"/>
      <i val="0"/>
      <strike val="0"/>
      <u val="none"/>
      <sz val="10"/>
      <color rgb="FF262626"/>
      <name val="Calibri"/>
    </font>
    <font>
      <b val="1"/>
      <i val="0"/>
      <strike val="0"/>
      <u val="none"/>
      <sz val="10"/>
      <color rgb="FF2F5597"/>
      <name val="Book Antiqua"/>
    </font>
    <font>
      <b val="1"/>
      <i val="0"/>
      <strike val="0"/>
      <u val="none"/>
      <sz val="10"/>
      <color rgb="FFED7D31"/>
      <name val="Book Antiqua"/>
    </font>
    <font>
      <b val="0"/>
      <i val="0"/>
      <strike val="0"/>
      <u val="none"/>
      <sz val="10"/>
      <color rgb="FF2F5597"/>
      <name val="Book Antiqua"/>
    </font>
    <font>
      <b val="1"/>
      <i val="0"/>
      <strike val="0"/>
      <u val="none"/>
      <sz val="12"/>
      <color rgb="FFFFFFFF"/>
      <name val="Book Antiqua"/>
    </font>
    <font>
      <b val="1"/>
      <i val="0"/>
      <strike val="0"/>
      <u val="none"/>
      <sz val="12"/>
      <color rgb="FFED7D31"/>
      <name val="Book Antiqua"/>
    </font>
    <font>
      <b val="0"/>
      <i val="0"/>
      <strike val="0"/>
      <u val="none"/>
      <sz val="12"/>
      <color rgb="FF2F5597"/>
      <name val="Book Antiqua"/>
    </font>
    <font>
      <b val="1"/>
      <i val="0"/>
      <strike val="0"/>
      <u val="none"/>
      <sz val="12"/>
      <color rgb="FF2F5597"/>
      <name val="Book Antiqua"/>
    </font>
    <font>
      <b val="1"/>
      <i val="0"/>
      <strike val="0"/>
      <u val="none"/>
      <sz val="14"/>
      <color rgb="FFFF0000"/>
      <name val="Book Antiqua"/>
    </font>
    <font>
      <b val="0"/>
      <i val="0"/>
      <strike val="0"/>
      <u val="none"/>
      <sz val="10"/>
      <color rgb="FF44546A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C55A11"/>
      <name val="Book Antiqua"/>
    </font>
    <font>
      <b val="1"/>
      <i val="0"/>
      <strike val="0"/>
      <u val="none"/>
      <sz val="15"/>
      <color rgb="FFFF0000"/>
      <name val="Book Antiqua"/>
    </font>
    <font>
      <b val="1"/>
      <i val="0"/>
      <strike val="0"/>
      <u val="none"/>
      <sz val="15"/>
      <color rgb="FF2F5597"/>
      <name val="Book Antiqua"/>
    </font>
    <font>
      <b val="1"/>
      <i val="0"/>
      <strike val="0"/>
      <u val="none"/>
      <sz val="16"/>
      <color rgb="FFFF0000"/>
      <name val="Book Antiqua"/>
    </font>
    <font>
      <b val="1"/>
      <i val="0"/>
      <strike val="0"/>
      <u val="none"/>
      <sz val="16"/>
      <color rgb="FF548235"/>
      <name val="Book Antiqua"/>
    </font>
    <font>
      <b val="1"/>
      <i val="0"/>
      <strike val="0"/>
      <u val="none"/>
      <sz val="15"/>
      <color rgb="FFED7D31"/>
      <name val="Book Antiqua"/>
    </font>
    <font>
      <b val="1"/>
      <i val="0"/>
      <strike val="0"/>
      <u val="none"/>
      <sz val="18"/>
      <color rgb="FF2F5597"/>
      <name val="Book Antiqua"/>
    </font>
    <font>
      <b val="0"/>
      <i val="0"/>
      <strike val="0"/>
      <u val="none"/>
      <sz val="14"/>
      <color rgb="FF262626"/>
      <name val="Calibri"/>
    </font>
    <font>
      <b val="0"/>
      <i val="0"/>
      <strike val="0"/>
      <u val="none"/>
      <sz val="14"/>
      <color rgb="FF262626"/>
      <name val="Calibri Light"/>
    </font>
    <font>
      <b val="0"/>
      <i val="0"/>
      <strike val="0"/>
      <u val="none"/>
      <sz val="9"/>
      <color rgb="FF262626"/>
      <name val="Calibri"/>
    </font>
    <font>
      <b val="0"/>
      <i val="0"/>
      <strike val="0"/>
      <u val="none"/>
      <sz val="18"/>
      <color rgb="FF262626"/>
      <name val="Calibri Light"/>
    </font>
    <font>
      <b val="1"/>
      <i val="0"/>
      <strike val="0"/>
      <u val="none"/>
      <sz val="12"/>
      <color rgb="FF262626"/>
      <name val="Calibri Light"/>
    </font>
    <font>
      <b val="1"/>
      <i val="0"/>
      <strike val="0"/>
      <u val="none"/>
      <sz val="12"/>
      <color rgb="FF262626"/>
      <name val="Calibri"/>
    </font>
    <font>
      <b val="0"/>
      <i val="0"/>
      <strike val="0"/>
      <u val="none"/>
      <sz val="10"/>
      <color rgb="FFC55A11"/>
      <name val="Calibri"/>
    </font>
    <font>
      <b val="1"/>
      <i val="0"/>
      <strike val="0"/>
      <u val="none"/>
      <sz val="11"/>
      <color rgb="FF2F5597"/>
      <name val="Calibri"/>
    </font>
    <font>
      <b val="0"/>
      <i val="0"/>
      <strike val="0"/>
      <u val="none"/>
      <sz val="14"/>
      <color rgb="FF7F7F7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4472C4"/>
      <name val="Calibri"/>
    </font>
    <font>
      <b val="0"/>
      <i val="0"/>
      <strike val="0"/>
      <u val="none"/>
      <sz val="11"/>
      <color rgb="FFFFFFFF"/>
      <name val="Calibri"/>
    </font>
    <font>
      <b val="1"/>
      <i val="1"/>
      <strike val="1"/>
      <u val="none"/>
      <sz val="10"/>
      <color rgb="FF262626"/>
      <name val="Calibri"/>
    </font>
    <font>
      <b val="1"/>
      <i val="0"/>
      <strike val="0"/>
      <u val="none"/>
      <sz val="14"/>
      <color rgb="FF7C7C7C"/>
      <name val="Calibri"/>
    </font>
    <font>
      <b val="0"/>
      <i val="0"/>
      <strike val="0"/>
      <u val="none"/>
      <sz val="10"/>
      <color rgb="FF7C7C7C"/>
      <name val="Calibri"/>
    </font>
    <font>
      <b val="1"/>
      <i val="1"/>
      <strike val="1"/>
      <u val="none"/>
      <sz val="10"/>
      <color rgb="FF7C7C7C"/>
      <name val="Calibri"/>
    </font>
    <font>
      <b val="0"/>
      <i val="0"/>
      <strike val="0"/>
      <u val="none"/>
      <sz val="14"/>
      <color rgb="FF7C7C7C"/>
      <name val="Calibri"/>
    </font>
    <font>
      <b val="0"/>
      <i val="0"/>
      <strike val="0"/>
      <u val="none"/>
      <sz val="14"/>
      <color rgb="FFC55A11"/>
      <name val="Calibri"/>
    </font>
    <font>
      <b val="0"/>
      <i val="0"/>
      <strike val="0"/>
      <u val="none"/>
      <sz val="10"/>
      <color rgb="FF767171"/>
      <name val="Calibri"/>
    </font>
    <font>
      <b val="1"/>
      <i val="1"/>
      <strike val="1"/>
      <u val="none"/>
      <sz val="10"/>
      <color rgb="FFC55A11"/>
      <name val="Calibri"/>
    </font>
    <font>
      <b val="0"/>
      <i val="0"/>
      <strike val="0"/>
      <u val="single"/>
      <sz val="10"/>
      <color rgb="FFC55A11"/>
      <name val="Calibri"/>
    </font>
    <font>
      <b val="0"/>
      <i val="0"/>
      <strike val="0"/>
      <u val="none"/>
      <sz val="10"/>
      <color rgb="FFED7D31"/>
      <name val="Calibri"/>
    </font>
    <font>
      <b val="1"/>
      <i val="0"/>
      <strike val="0"/>
      <u val="none"/>
      <sz val="14"/>
      <color rgb="FFED7D31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C55A11"/>
      <name val="Calibri"/>
    </font>
    <font>
      <b val="0"/>
      <i val="0"/>
      <strike val="0"/>
      <u val="none"/>
      <sz val="14"/>
      <color rgb="FF535353"/>
      <name val="Calibri"/>
    </font>
    <font>
      <b val="0"/>
      <i val="0"/>
      <strike val="0"/>
      <u val="none"/>
      <sz val="14"/>
      <color rgb="FFA5A5A5"/>
      <name val="Calibri"/>
    </font>
    <font>
      <b val="0"/>
      <i val="0"/>
      <strike val="0"/>
      <u val="none"/>
      <sz val="10"/>
      <color rgb="FF00B050"/>
      <name val="Calibri"/>
    </font>
    <font>
      <b val="1"/>
      <i val="0"/>
      <strike val="0"/>
      <u val="none"/>
      <sz val="36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FF0000"/>
      <name val="Book Antiqua"/>
    </font>
    <font>
      <b val="1"/>
      <i val="0"/>
      <strike val="0"/>
      <u val="none"/>
      <sz val="12"/>
      <color rgb="FF548235"/>
      <name val="Book Antiqua"/>
    </font>
    <font>
      <b val="0"/>
      <i val="0"/>
      <strike val="0"/>
      <u val="none"/>
      <sz val="12"/>
      <color rgb="FF548235"/>
      <name val="Book Antiqua"/>
    </font>
    <font>
      <b val="0"/>
      <i val="0"/>
      <strike val="0"/>
      <u val="none"/>
      <sz val="12"/>
      <color rgb="FFFF0000"/>
      <name val="Book Antiqua"/>
    </font>
    <font>
      <b val="1"/>
      <i val="0"/>
      <strike val="0"/>
      <u val="none"/>
      <sz val="18"/>
      <color rgb="FF000000"/>
      <name val="Book Antiqua"/>
    </font>
    <font>
      <b val="1"/>
      <i val="0"/>
      <strike val="0"/>
      <u val="none"/>
      <sz val="12"/>
      <color rgb="FFFF0000"/>
      <name val="Book Antiqua"/>
    </font>
    <font>
      <b val="0"/>
      <i val="0"/>
      <strike val="0"/>
      <u val="none"/>
      <sz val="10"/>
      <color rgb="FFFF0000"/>
      <name val="Book Antiqua"/>
    </font>
    <font>
      <b val="1"/>
      <i val="0"/>
      <strike val="0"/>
      <u val="none"/>
      <sz val="16"/>
      <color rgb="FF4472C4"/>
      <name val="Book Antiqua"/>
    </font>
    <font>
      <b val="0"/>
      <i val="0"/>
      <strike val="0"/>
      <u val="none"/>
      <sz val="16"/>
      <color rgb="FF4472C4"/>
      <name val="Book Antiqua"/>
    </font>
    <font>
      <b val="1"/>
      <i val="0"/>
      <strike val="0"/>
      <u val="none"/>
      <sz val="14"/>
      <color rgb="FF2F5597"/>
      <name val="Corbel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6"/>
      <color rgb="FF000000"/>
      <name val="Book Antiqua"/>
    </font>
    <font>
      <b val="1"/>
      <i val="0"/>
      <strike val="0"/>
      <u val="none"/>
      <sz val="12"/>
      <color rgb="FF843C0B"/>
      <name val="Book Antiqua"/>
    </font>
    <font>
      <b val="1"/>
      <i val="0"/>
      <strike val="0"/>
      <u val="none"/>
      <sz val="22"/>
      <color rgb="FF000000"/>
      <name val="Book Antiqua"/>
    </font>
    <font>
      <b val="0"/>
      <i val="0"/>
      <strike val="0"/>
      <u val="none"/>
      <sz val="10"/>
      <color rgb="FF548235"/>
      <name val="Book Antiqua"/>
    </font>
    <font>
      <b val="1"/>
      <i val="0"/>
      <strike val="0"/>
      <u val="none"/>
      <sz val="12"/>
      <color rgb="FF385724"/>
      <name val="Book Antiqua"/>
    </font>
    <font>
      <b val="0"/>
      <i val="0"/>
      <strike val="0"/>
      <u val="none"/>
      <sz val="10"/>
      <color rgb="FF385724"/>
      <name val="Book Antiqua"/>
    </font>
    <font>
      <b val="0"/>
      <i val="0"/>
      <strike val="0"/>
      <u val="none"/>
      <sz val="12"/>
      <color rgb="FF385724"/>
      <name val="Book Antiqua"/>
    </font>
    <font>
      <b val="1"/>
      <i val="0"/>
      <strike val="0"/>
      <u val="none"/>
      <sz val="14"/>
      <color rgb="FF385724"/>
      <name val="Corbel"/>
    </font>
    <font>
      <b val="1"/>
      <i val="0"/>
      <strike val="0"/>
      <u val="none"/>
      <sz val="12"/>
      <color rgb="FF7030A0"/>
      <name val="Book Antiqua"/>
    </font>
    <font>
      <b val="0"/>
      <i val="0"/>
      <strike val="0"/>
      <u val="none"/>
      <sz val="10"/>
      <color rgb="FF7030A0"/>
      <name val="Book Antiqua"/>
    </font>
    <font>
      <b val="0"/>
      <i val="0"/>
      <strike val="0"/>
      <u val="none"/>
      <sz val="12"/>
      <color rgb="FF7030A0"/>
      <name val="Book Antiqua"/>
    </font>
    <font>
      <b val="1"/>
      <i val="0"/>
      <strike val="0"/>
      <u val="none"/>
      <sz val="14"/>
      <color rgb="FF7030A0"/>
      <name val="Corbel"/>
    </font>
    <font>
      <b val="1"/>
      <i val="0"/>
      <strike val="0"/>
      <u val="none"/>
      <sz val="14"/>
      <color rgb="FFFF0000"/>
      <name val="Corbel"/>
    </font>
    <font>
      <b val="0"/>
      <i val="0"/>
      <strike val="0"/>
      <u val="none"/>
      <sz val="14"/>
      <color rgb="FFC00000"/>
      <name val="Book Antiqua"/>
    </font>
    <font>
      <b val="0"/>
      <i val="0"/>
      <strike val="0"/>
      <u val="none"/>
      <sz val="14"/>
      <color rgb="FF548235"/>
      <name val="Book Antiqua"/>
    </font>
    <font>
      <b val="1"/>
      <i val="0"/>
      <strike val="0"/>
      <u val="none"/>
      <sz val="14"/>
      <color rgb="FF385724"/>
      <name val="Book Antiqua"/>
    </font>
    <font>
      <b val="0"/>
      <i val="0"/>
      <strike val="0"/>
      <u val="none"/>
      <sz val="14"/>
      <color rgb="FF385724"/>
      <name val="Book Antiqua"/>
    </font>
    <font>
      <b val="1"/>
      <i val="0"/>
      <strike val="0"/>
      <u val="none"/>
      <sz val="14"/>
      <color rgb="FFED7D31"/>
      <name val="Book Antiqua"/>
    </font>
    <font>
      <b val="1"/>
      <i val="0"/>
      <strike val="0"/>
      <u val="none"/>
      <sz val="15"/>
      <color rgb="FF385724"/>
      <name val="Book Antiqua"/>
    </font>
    <font>
      <b val="0"/>
      <i val="0"/>
      <strike val="0"/>
      <u val="none"/>
      <sz val="15"/>
      <color rgb="FF385724"/>
      <name val="Book Antiqua"/>
    </font>
    <font>
      <b val="1"/>
      <i val="0"/>
      <strike val="0"/>
      <u val="none"/>
      <sz val="15"/>
      <color rgb="FF385724"/>
      <name val="Corbel"/>
    </font>
    <font>
      <b val="1"/>
      <i val="0"/>
      <strike val="0"/>
      <u val="none"/>
      <sz val="13"/>
      <color rgb="FFFF0000"/>
      <name val="Book Antiqua"/>
    </font>
    <font>
      <b val="0"/>
      <i val="0"/>
      <strike val="0"/>
      <u val="none"/>
      <sz val="13"/>
      <color rgb="FFFF0000"/>
      <name val="Book Antiqua"/>
    </font>
    <font>
      <b val="1"/>
      <i val="0"/>
      <strike val="0"/>
      <u val="none"/>
      <sz val="13"/>
      <color rgb="FFFF0000"/>
      <name val="Corbel"/>
    </font>
    <font>
      <b val="1"/>
      <i val="0"/>
      <strike val="0"/>
      <u val="none"/>
      <sz val="18"/>
      <color rgb="FFFF0000"/>
      <name val="Book Antiqua"/>
    </font>
  </fonts>
  <fills count="15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D0CECE"/>
      </patternFill>
    </fill>
    <fill>
      <patternFill patternType="solid">
        <fgColor rgb="FF5B9BD5"/>
        <bgColor rgb="FF8FAADC"/>
      </patternFill>
    </fill>
    <fill>
      <patternFill patternType="solid">
        <fgColor rgb="FFF4B183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D0CECE"/>
        <bgColor rgb="FFD9D9D9"/>
      </patternFill>
    </fill>
  </fills>
  <borders count="8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</border>
    <border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thin">
        <color rgb="FFA6A6A6"/>
      </left>
      <bottom style="double">
        <color rgb="FF000000"/>
      </bottom>
    </border>
    <border>
      <bottom style="double">
        <color rgb="FF000000"/>
      </bottom>
    </border>
    <border>
      <right style="dotted">
        <color rgb="FFBFBFBF"/>
      </right>
      <bottom style="double">
        <color rgb="FF000000"/>
      </bottom>
    </border>
    <border>
      <left style="dotted">
        <color rgb="FFBFBFBF"/>
      </left>
      <right style="dotted">
        <color rgb="FFBFBFBF"/>
      </right>
      <bottom style="double">
        <color rgb="FF000000"/>
      </bottom>
    </border>
    <border>
      <left style="thin">
        <color rgb="FFA6A6A6"/>
      </left>
      <right style="dotted">
        <color rgb="FFBFBFBF"/>
      </right>
      <bottom style="double">
        <color rgb="FF000000"/>
      </bottom>
    </border>
    <border>
      <left style="dotted">
        <color rgb="FFA6A6A6"/>
      </left>
      <right style="dotted">
        <color rgb="FFA6A6A6"/>
      </right>
    </border>
    <border>
      <left style="dotted">
        <color rgb="FFA6A6A6"/>
      </left>
      <right style="dotted">
        <color rgb="FFA6A6A6"/>
      </right>
      <top style="thin">
        <color rgb="FFFFFFFF"/>
      </top>
      <bottom style="thin">
        <color rgb="FFFFFFFF"/>
      </bottom>
    </border>
    <border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</border>
    <border>
      <left style="dotted">
        <color rgb="FFA6A6A6"/>
      </left>
      <right style="dotted">
        <color rgb="FFA6A6A6"/>
      </right>
      <bottom style="thick">
        <color rgb="FF4472C4"/>
      </bottom>
    </border>
    <border>
      <top style="thin">
        <color rgb="FFFFFFFF"/>
      </top>
      <bottom style="thin">
        <color rgb="FFFFFFFF"/>
      </bottom>
    </border>
    <border>
      <right style="dotted">
        <color rgb="FFA6A6A6"/>
      </right>
      <bottom style="medium">
        <color rgb="FF8FAADC"/>
      </bottom>
    </border>
    <border>
      <left style="dotted">
        <color rgb="FFA6A6A6"/>
      </left>
      <right style="dotted">
        <color rgb="FFA6A6A6"/>
      </right>
      <bottom style="medium">
        <color rgb="FF8FAADC"/>
      </bottom>
    </border>
    <border>
      <top style="thin">
        <color rgb="FFFFFFFF"/>
      </top>
    </border>
    <border>
      <bottom style="thick">
        <color rgb="FFFFFFFF"/>
      </bottom>
    </border>
    <border>
      <left style="dotted">
        <color rgb="FFA6A6A6"/>
      </left>
      <top style="thin">
        <color rgb="FFFFFFFF"/>
      </top>
      <bottom style="thin">
        <color rgb="FFFFFFFF"/>
      </bottom>
    </border>
    <border>
      <right style="dotted">
        <color rgb="FFA6A6A6"/>
      </right>
      <top style="thin">
        <color rgb="FFA6A6A6"/>
      </top>
      <bottom style="thin">
        <color rgb="FFA6A6A6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dotted">
        <color rgb="FF808080"/>
      </bottom>
    </border>
    <border>
      <left style="thin">
        <color rgb="FF808080"/>
      </left>
      <right style="thin">
        <color rgb="FF808080"/>
      </right>
      <top style="dotted">
        <color rgb="FF808080"/>
      </top>
      <bottom style="dotted">
        <color rgb="FF808080"/>
      </bottom>
    </border>
    <border>
      <left style="thin">
        <color rgb="FF808080"/>
      </left>
      <right style="thin">
        <color rgb="FF808080"/>
      </right>
      <top style="dotted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right style="thin">
        <color rgb="FF808080"/>
      </right>
      <top style="dotted">
        <color rgb="FF808080"/>
      </top>
    </border>
    <border>
      <left style="thin">
        <color rgb="FF808080"/>
      </left>
      <right style="thin">
        <color rgb="FFA6A6A6"/>
      </right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 style="thin">
        <color rgb="FFA6A6A6"/>
      </left>
      <right style="dotted">
        <color rgb="FFBFBFBF"/>
      </right>
      <bottom style="dotted">
        <color rgb="FFBFBFBF"/>
      </bottom>
    </border>
    <border>
      <right style="dotted">
        <color rgb="FFBFBFBF"/>
      </right>
      <bottom style="dotted">
        <color rgb="FFBFBFBF"/>
      </bottom>
    </border>
    <border>
      <left style="thin">
        <color rgb="FFA6A6A6"/>
      </left>
      <right style="dotted">
        <color rgb="FFBFBFBF"/>
      </right>
      <top style="dotted">
        <color rgb="FFBFBFBF"/>
      </top>
    </border>
    <border>
      <left style="dotted">
        <color rgb="FFBFBFBF"/>
      </left>
      <right style="dotted">
        <color rgb="FFBFBFBF"/>
      </right>
      <top style="dotted">
        <color rgb="FFBFBFBF"/>
      </top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</border>
    <border>
      <right style="dotted">
        <color rgb="FFBFBFBF"/>
      </right>
      <top style="dotted">
        <color rgb="FFBFBFBF"/>
      </top>
      <bottom style="thin">
        <color rgb="FFA6A6A6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</border>
    <border>
      <right style="dotted">
        <color rgb="FFBFBFBF"/>
      </right>
      <top style="dotted">
        <color rgb="FFBFBFBF"/>
      </top>
    </border>
    <border>
      <left style="thin">
        <color rgb="FF808080"/>
      </left>
    </border>
    <border>
      <left style="thin">
        <color rgb="FF808080"/>
      </left>
      <top style="thin">
        <color rgb="FF808080"/>
      </top>
    </border>
    <border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</border>
    <border>
      <right style="dotted">
        <color rgb="FFBFBFBF"/>
      </right>
      <top style="thin">
        <color rgb="FFA6A6A6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</border>
    <border>
      <left style="thin">
        <color rgb="FFA6A6A6"/>
      </left>
      <right style="dotted">
        <color rgb="FFBFBFBF"/>
      </right>
    </border>
    <border>
      <right style="dotted">
        <color rgb="FFBFBFBF"/>
      </right>
    </border>
    <border>
      <left style="dotted">
        <color rgb="FFBFBFBF"/>
      </left>
      <right style="dotted">
        <color rgb="FFBFBFBF"/>
      </right>
    </border>
    <border>
      <bottom style="thin">
        <color rgb="FF000000"/>
      </bottom>
    </border>
    <border>
      <left style="thin">
        <color rgb="FFA6A6A6"/>
      </left>
      <right style="dotted">
        <color rgb="FFBFBFBF"/>
      </right>
      <bottom style="thin">
        <color rgb="FF000000"/>
      </bottom>
    </border>
    <border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000000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000000"/>
      </bottom>
    </border>
    <border>
      <right style="dotted">
        <color rgb="FFBFBFBF"/>
      </right>
      <top style="dotted">
        <color rgb="FFBFBFBF"/>
      </top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A6A6A6"/>
      </bottom>
    </border>
    <border>
      <top style="dotted">
        <color rgb="FFBFBFBF"/>
      </top>
      <bottom style="dotted">
        <color rgb="FFBFBFBF"/>
      </bottom>
    </border>
    <border>
      <left style="thin">
        <color rgb="FFBFBFBF"/>
      </left>
      <right style="dashed">
        <color rgb="FFBFBFBF"/>
      </right>
      <top style="thin">
        <color rgb="FFFFFFF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thin">
        <color rgb="FFFFFFFF"/>
      </top>
      <bottom style="dotted">
        <color rgb="FFBFBFBF"/>
      </bottom>
    </border>
    <border>
      <left style="dashed">
        <color rgb="FFBFBFBF"/>
      </left>
      <right style="thin">
        <color rgb="FFBFBFBF"/>
      </right>
      <top style="thin">
        <color rgb="FFFFFFFF"/>
      </top>
      <bottom style="dotted">
        <color rgb="FFBFBFBF"/>
      </bottom>
    </border>
    <border>
      <left style="thin">
        <color rgb="FFBFBFBF"/>
      </left>
      <right style="dashed">
        <color rgb="FFBFBFBF"/>
      </right>
      <bottom style="dotted">
        <color rgb="FFBFBFBF"/>
      </bottom>
    </border>
    <border>
      <left style="dashed">
        <color rgb="FFBFBFBF"/>
      </left>
      <right style="dashed">
        <color rgb="FFBFBFBF"/>
      </right>
      <bottom style="dotted">
        <color rgb="FFBFBFBF"/>
      </bottom>
    </border>
    <border>
      <left style="dashed">
        <color rgb="FFBFBFBF"/>
      </left>
      <right style="thin">
        <color rgb="FFBFBFBF"/>
      </right>
      <top style="dotted">
        <color rgb="FFBFBFB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dotted">
        <color rgb="FFBFBFBF"/>
      </top>
      <bottom style="dotted">
        <color rgb="FFBFBFBF"/>
      </bottom>
    </border>
    <border>
      <left style="thin">
        <color rgb="FFBFBFBF"/>
      </left>
      <right style="dashed">
        <color rgb="FFBFBFBF"/>
      </right>
      <top style="dotted">
        <color rgb="FFBFBFBF"/>
      </top>
      <bottom style="dotted">
        <color rgb="FFBFBFBF"/>
      </bottom>
    </border>
    <border>
      <left style="thin">
        <color rgb="FFA6A6A6"/>
      </left>
      <top style="dotted">
        <color rgb="FFBFBFB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dotted">
        <color rgb="FFBFBFBF"/>
      </top>
    </border>
    <border>
      <left style="thin">
        <color rgb="FFBFBFBF"/>
      </left>
      <right style="dashed">
        <color rgb="FFBFBFBF"/>
      </right>
    </border>
    <border>
      <left style="dashed">
        <color rgb="FFBFBFBF"/>
      </left>
      <right style="dashed">
        <color rgb="FFBFBFBF"/>
      </right>
    </border>
    <border>
      <left style="thin">
        <color rgb="FFBFBFBF"/>
      </left>
      <right style="dashed">
        <color rgb="FFBFBFBF"/>
      </right>
      <bottom style="double">
        <color rgb="FF000000"/>
      </bottom>
    </border>
    <border>
      <left style="dashed">
        <color rgb="FFBFBFBF"/>
      </left>
      <right style="dashed">
        <color rgb="FFBFBFBF"/>
      </right>
      <bottom style="double">
        <color rgb="FF000000"/>
      </bottom>
    </border>
    <border>
      <left style="dashed">
        <color rgb="FFBFBFBF"/>
      </left>
      <right style="thin">
        <color rgb="FFBFBFBF"/>
      </right>
      <bottom style="double">
        <color rgb="FF000000"/>
      </bottom>
    </border>
    <border>
      <left style="dashed">
        <color rgb="FFBFBFBF"/>
      </left>
      <right style="thin">
        <color rgb="FFBFBFBF"/>
      </right>
    </border>
    <border>
      <left style="thin">
        <color rgb="FF808080"/>
      </left>
      <right style="thin">
        <color rgb="FFA6A6A6"/>
      </right>
    </border>
    <border>
      <left style="thin">
        <color rgb="FFBFBFBF"/>
      </left>
      <right style="dashed">
        <color rgb="FFBFBFBF"/>
      </right>
      <bottom style="thin">
        <color rgb="FFA6A6A6"/>
      </bottom>
    </border>
    <border>
      <left style="dashed">
        <color rgb="FFBFBFBF"/>
      </left>
      <right style="thin">
        <color rgb="FFBFBFBF"/>
      </right>
      <bottom style="dotted">
        <color rgb="FFBFBFBF"/>
      </bottom>
    </border>
    <border>
      <left style="thin">
        <color rgb="FFBFBFBF"/>
      </left>
      <right style="dashed">
        <color rgb="FFBFBFBF"/>
      </right>
      <top style="dotted">
        <color rgb="FFBFBFBF"/>
      </top>
    </border>
    <border>
      <top style="dotted">
        <color rgb="FFBFBFBF"/>
      </top>
    </border>
    <border>
      <top style="dotted">
        <color rgb="FFBFBFBF"/>
      </top>
      <bottom style="thin">
        <color rgb="FF000000"/>
      </bottom>
    </border>
    <border>
      <left style="thin">
        <color rgb="FFBFBFBF"/>
      </left>
      <right style="dashed">
        <color rgb="FFBFBFBF"/>
      </right>
      <top style="dotted">
        <color rgb="FFBFBFBF"/>
      </top>
      <bottom style="thin">
        <color rgb="FF000000"/>
      </bottom>
    </border>
    <border>
      <left style="dashed">
        <color rgb="FFBFBFBF"/>
      </left>
      <right style="dashed">
        <color rgb="FFBFBFBF"/>
      </right>
      <top style="dotted">
        <color rgb="FFBFBFBF"/>
      </top>
      <bottom style="thin">
        <color rgb="FF000000"/>
      </bottom>
    </border>
    <border>
      <left style="dashed">
        <color rgb="FFBFBFBF"/>
      </left>
      <right style="thin">
        <color rgb="FFBFBFBF"/>
      </right>
      <bottom style="thin">
        <color rgb="FF000000"/>
      </bottom>
    </border>
    <border>
      <left style="thin">
        <color rgb="FF808080"/>
      </left>
      <right style="thin">
        <color rgb="FFA6A6A6"/>
      </right>
      <top style="thin">
        <color rgb="FFFFFFFF"/>
      </top>
    </border>
  </borders>
  <cellStyleXfs count="1">
    <xf numFmtId="0" fontId="0" fillId="0" borderId="0"/>
  </cellStyleXfs>
  <cellXfs count="495">
    <xf xfId="0" fontId="0" numFmtId="0" fillId="0" borderId="0" applyFont="0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3" numFmtId="164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164" fillId="2" borderId="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12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2" numFmtId="165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7" numFmtId="49" fillId="0" borderId="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4" numFmtId="165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5" numFmtId="165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7" numFmtId="165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8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9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20" numFmtId="167" fillId="0" borderId="11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21" numFmtId="167" fillId="0" borderId="11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22" numFmtId="167" fillId="3" borderId="12" applyFont="1" applyNumberFormat="1" applyFill="1" applyBorder="1" applyAlignment="1" applyProtection="true">
      <alignment horizontal="right" vertical="center" textRotation="0" wrapText="true" shrinkToFit="false"/>
      <protection locked="true" hidden="false"/>
    </xf>
    <xf xfId="0" fontId="23" numFmtId="167" fillId="0" borderId="11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24" numFmtId="167" fillId="4" borderId="13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8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0" borderId="14" applyFont="0" applyNumberFormat="1" applyFill="0" applyBorder="1" applyAlignment="1" applyProtection="true">
      <alignment horizontal="right" vertical="bottom" textRotation="0" wrapText="true" shrinkToFit="false" indent="1"/>
      <protection locked="true" hidden="false"/>
    </xf>
    <xf xfId="0" fontId="20" numFmtId="167" fillId="3" borderId="12" applyFont="1" applyNumberFormat="1" applyFill="1" applyBorder="1" applyAlignment="1" applyProtection="true">
      <alignment horizontal="right" vertical="bottom" textRotation="0" wrapText="true" shrinkToFit="false" indent="1"/>
      <protection locked="true" hidden="false"/>
    </xf>
    <xf xfId="0" fontId="20" numFmtId="167" fillId="0" borderId="11" applyFont="1" applyNumberFormat="1" applyFill="0" applyBorder="1" applyAlignment="1" applyProtection="true">
      <alignment horizontal="right" vertical="bottom" textRotation="0" wrapText="true" shrinkToFit="false" indent="1"/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bottom" textRotation="0" wrapText="true" shrinkToFit="false" indent="1"/>
      <protection locked="true" hidden="false"/>
    </xf>
    <xf xfId="0" fontId="20" numFmtId="167" fillId="0" borderId="0" applyFont="1" applyNumberFormat="1" applyFill="0" applyBorder="0" applyAlignment="1" applyProtection="true">
      <alignment horizontal="right" vertical="bottom" textRotation="0" wrapText="true" shrinkToFit="false" indent="1"/>
      <protection locked="true" hidden="false"/>
    </xf>
    <xf xfId="0" fontId="20" numFmtId="167" fillId="3" borderId="15" applyFont="1" applyNumberFormat="1" applyFill="1" applyBorder="1" applyAlignment="1" applyProtection="true">
      <alignment horizontal="right" vertical="bottom" textRotation="0" wrapText="true" shrinkToFit="false" indent="1"/>
      <protection locked="true" hidden="false"/>
    </xf>
    <xf xfId="0" fontId="19" numFmtId="167" fillId="0" borderId="16" applyFont="1" applyNumberFormat="1" applyFill="0" applyBorder="1" applyAlignment="1" applyProtection="true">
      <alignment horizontal="left" vertical="center" textRotation="0" wrapText="false" shrinkToFit="false"/>
      <protection locked="true" hidden="false"/>
    </xf>
    <xf xfId="0" fontId="0" numFmtId="167" fillId="0" borderId="17" applyFont="0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0" numFmtId="167" fillId="3" borderId="12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5" numFmtId="167" fillId="0" borderId="1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20" numFmtId="167" fillId="0" borderId="1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9" numFmtId="167" fillId="0" borderId="0" applyFont="1" applyNumberFormat="1" applyFill="0" applyBorder="0" applyAlignment="1" applyProtection="true">
      <alignment horizontal="left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3" borderId="15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5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9" numFmtId="167" fillId="5" borderId="17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3" borderId="15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26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24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3" borderId="18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7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3" borderId="19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0" numFmtId="167" fillId="3" borderId="15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19" numFmtId="167" fillId="5" borderId="16" applyFont="1" applyNumberFormat="1" applyFill="1" applyBorder="1" applyAlignment="1" applyProtection="true">
      <alignment horizontal="left" vertical="center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20" numFmtId="167" fillId="5" borderId="17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3" borderId="20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5" borderId="17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17" applyFont="0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8" numFmtId="167" fillId="6" borderId="21" applyFont="1" applyNumberFormat="1" applyFill="1" applyBorder="1" applyAlignment="1" applyProtection="true">
      <alignment horizontal="left" vertical="center" textRotation="0" wrapText="false" shrinkToFit="false" indent="1"/>
      <protection locked="true" hidden="false"/>
    </xf>
    <xf xfId="0" fontId="28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29" numFmtId="167" fillId="7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0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31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32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32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3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32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34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32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24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5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24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6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7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38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9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3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39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2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0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6" borderId="0" applyFont="0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29" numFmtId="167" fillId="8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24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0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37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24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9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7" numFmtId="167" fillId="9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9" borderId="0" applyFont="1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24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24" numFmtId="168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1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42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41" numFmtId="167" fillId="9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3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24" numFmtId="167" fillId="4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44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18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36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9" numFmtId="167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25" numFmtId="167" fillId="0" borderId="1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5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6" numFmtId="0" fillId="3" borderId="23" applyFont="1" applyNumberFormat="0" applyFill="1" applyBorder="1" applyAlignment="1" applyProtection="true">
      <alignment horizontal="center" vertical="center" textRotation="135" wrapText="true" shrinkToFit="false"/>
      <protection locked="true" hidden="false"/>
    </xf>
    <xf xfId="0" fontId="47" numFmtId="49" fillId="0" borderId="2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2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2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9" numFmtId="165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49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0" numFmtId="49" fillId="0" borderId="26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165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6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0" fillId="3" borderId="27" applyFont="1" applyNumberFormat="0" applyFill="1" applyBorder="1" applyAlignment="1" applyProtection="true">
      <alignment horizontal="left" vertical="center" textRotation="135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51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49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5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166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6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3" numFmtId="165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53" numFmtId="165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8" numFmtId="49" fillId="0" borderId="2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0" numFmtId="49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165" fillId="0" borderId="2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4" numFmtId="0" fillId="3" borderId="29" applyFont="1" applyNumberFormat="0" applyFill="1" applyBorder="1" applyAlignment="1" applyProtection="true">
      <alignment horizontal="center" vertical="center" textRotation="135" wrapText="true" shrinkToFit="false"/>
      <protection locked="true" hidden="false"/>
    </xf>
    <xf xfId="0" fontId="55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3" numFmtId="49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6" numFmtId="165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10" borderId="2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10" borderId="2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10" borderId="2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10" borderId="2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7" numFmtId="49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49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165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166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0" fillId="11" borderId="25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10" numFmtId="165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30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3" numFmtId="0" fillId="0" borderId="3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3" numFmtId="0" fillId="0" borderId="3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165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" numFmtId="0" fillId="0" borderId="3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31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3" numFmtId="0" fillId="0" borderId="32" applyFont="1" applyNumberFormat="0" applyFill="0" applyBorder="1" applyAlignment="1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4" numFmtId="0" fillId="2" borderId="1" applyFont="1" applyNumberFormat="0" applyFill="1" applyBorder="1" applyAlignment="1" applyProtection="true">
      <alignment horizontal="right" vertical="center" textRotation="0" wrapText="false" shrinkToFit="false" indent="1"/>
      <protection locked="true" hidden="false"/>
    </xf>
    <xf xfId="0" fontId="4" numFmtId="0" fillId="2" borderId="1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54" numFmtId="0" fillId="6" borderId="33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10" numFmtId="49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3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3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9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49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3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9" numFmtId="0" fillId="0" borderId="3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0" numFmtId="165" fillId="10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12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12" borderId="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12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12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12" borderId="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3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3" numFmtId="49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3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6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5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5" numFmtId="165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3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0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0" numFmtId="166" fillId="0" borderId="4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1" numFmtId="0" fillId="3" borderId="30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62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7" numFmtId="49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3" numFmtId="165" fillId="10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1" numFmtId="0" fillId="6" borderId="29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9" numFmtId="165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7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5" fillId="13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4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48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165" fillId="12" borderId="4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9" numFmtId="0" fillId="0" borderId="2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1" numFmtId="0" fillId="6" borderId="42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10" numFmtId="165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7" numFmtId="0" fillId="3" borderId="43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14" numFmtId="49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165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4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4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49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165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3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3" numFmtId="0" fillId="6" borderId="42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55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47" numFmtId="0" fillId="6" borderId="42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7" numFmtId="165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5" numFmtId="49" fillId="0" borderId="4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7" numFmtId="49" fillId="10" borderId="0" applyFont="1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5" numFmtId="49" fillId="10" borderId="4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10" borderId="47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10" borderId="4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10" borderId="49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10" borderId="49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0" borderId="5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4" numFmtId="49" fillId="0" borderId="5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5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5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5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5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5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0" fillId="0" borderId="5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1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49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4" numFmtId="166" fillId="0" borderId="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6" fillId="0" borderId="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1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1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1" numFmtId="49" fillId="0" borderId="2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1" numFmtId="165" fillId="0" borderId="2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0" numFmtId="166" fillId="0" borderId="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4" numFmtId="49" fillId="0" borderId="5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4" numFmtId="49" fillId="0" borderId="5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5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5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5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5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166" fillId="0" borderId="5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3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0" numFmtId="166" fillId="0" borderId="5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0" fillId="0" borderId="4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49" fillId="0" borderId="3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166" fillId="0" borderId="3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4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7" numFmtId="165" fillId="14" borderId="0" applyFont="1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5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6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6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6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6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5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6" fillId="0" borderId="6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5" fillId="0" borderId="6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6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7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7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73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3" borderId="29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5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5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6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166" fillId="0" borderId="6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4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5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166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5" numFmtId="165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6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67" numFmtId="166" fillId="0" borderId="6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1" numFmtId="165" fillId="0" borderId="7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47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1" numFmtId="165" fillId="0" borderId="7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6" borderId="75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10" numFmtId="166" fillId="0" borderId="7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7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0" fillId="0" borderId="4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9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0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9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2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9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2" numFmtId="0" fillId="0" borderId="4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5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6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3" numFmtId="166" fillId="0" borderId="6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3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5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0" fillId="0" borderId="4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3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166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16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3" numFmtId="164" fillId="0" borderId="6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5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3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3" numFmtId="166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3" numFmtId="166" fillId="0" borderId="7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3" numFmtId="164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6" fillId="0" borderId="7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0" fillId="0" borderId="4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7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9" numFmtId="165" fillId="0" borderId="7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8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8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8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83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0" fillId="0" borderId="5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3" numFmtId="0" fillId="6" borderId="84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49" numFmtId="165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4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9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8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2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5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4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9" numFmtId="165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48" numFmtId="166" fillId="0" borderId="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6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3" borderId="75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76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6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6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7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7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6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8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6" numFmtId="165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7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6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7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166" fillId="0" borderId="3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165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53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3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5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10" borderId="37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79" numFmtId="49" fillId="10" borderId="2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79" numFmtId="49" fillId="10" borderId="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9" numFmtId="165" fillId="10" borderId="2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80" numFmtId="165" fillId="10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0" numFmtId="166" fillId="10" borderId="4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80" numFmtId="164" fillId="10" borderId="4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79" numFmtId="165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1" numFmtId="166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70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10" borderId="2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10" borderId="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3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69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82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82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2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83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6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3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2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4" numFmtId="166" fillId="0" borderId="3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5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4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5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66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166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5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6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48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4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0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2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2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</cellXfs>
  <cellStyles count="1">
    <cellStyle name="Normal" xfId="0" builtinId="0"/>
  </cellStyles>
  <dxfs count="9">
    <dxf>
      <font/>
      <fill>
        <patternFill patternType="solid">
          <bgColor rgb="FFD9D9D9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drawings/_rels/vmlDrawing2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_rels/vmlDrawing4.vml.rels><?xml version="1.0" encoding="UTF-8" standalone="yes"?>
<Relationships xmlns="http://schemas.openxmlformats.org/package/2006/relationships"/>
</file>

<file path=xl/drawings/_rels/vmlDrawing6.vml.rels><?xml version="1.0" encoding="UTF-8" standalone="yes"?>
<Relationships xmlns="http://schemas.openxmlformats.org/package/2006/relationships"/>
</file>

<file path=xl/drawings/_rels/vmlDrawing9.vml.rels><?xml version="1.0" encoding="UTF-8" standalone="yes"?>
<Relationships xmlns="http://schemas.openxmlformats.org/package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7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8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759240</xdr:colOff>
      <xdr:row>0</xdr:row>
      <xdr:rowOff>360</xdr:rowOff>
    </xdr:to>
    <xdr:sp>
      <xdr:nvSpPr>
        <xdr:cNvPr id="0" name="CustomShape 1"/>
        <xdr:cNvSpPr/>
      </xdr:nvSpPr>
      <xdr:spPr>
        <a:xfrm>
          <a:off x="12942720" y="0"/>
          <a:ext cx="758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759240</xdr:colOff>
      <xdr:row>0</xdr:row>
      <xdr:rowOff>360</xdr:rowOff>
    </xdr:to>
    <xdr:sp>
      <xdr:nvSpPr>
        <xdr:cNvPr id="1" name="CustomShape 1"/>
        <xdr:cNvSpPr/>
      </xdr:nvSpPr>
      <xdr:spPr>
        <a:xfrm>
          <a:off x="11507040" y="0"/>
          <a:ext cx="758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2" name="CustomShape 1"/>
        <xdr:cNvSpPr/>
      </xdr:nvSpPr>
      <xdr:spPr>
        <a:xfrm>
          <a:off x="1254960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3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4" name="CustomShape 1"/>
        <xdr:cNvSpPr/>
      </xdr:nvSpPr>
      <xdr:spPr>
        <a:xfrm>
          <a:off x="1339164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5" name="CustomShape 1"/>
        <xdr:cNvSpPr/>
      </xdr:nvSpPr>
      <xdr:spPr>
        <a:xfrm>
          <a:off x="1356552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6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32"/>
  <sheetViews>
    <sheetView tabSelected="0" workbookViewId="0" showGridLines="true" showRowColHeaders="1">
      <pane ySplit="1" topLeftCell="A2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7.14" customWidth="true" style="1"/>
    <col min="2" max="2" width="24.57" customWidth="true" style="2"/>
    <col min="3" max="3" width="24" customWidth="true" style="1"/>
    <col min="4" max="4" width="37.85" customWidth="true" style="3"/>
    <col min="5" max="5" width="20.42" customWidth="true" style="4"/>
    <col min="6" max="6" width="20.42" customWidth="true" style="5"/>
    <col min="7" max="7" width="21" customWidth="true" style="3"/>
    <col min="8" max="8" width="9.13" customWidth="true" style="6"/>
    <col min="9" max="9" width="9.13" customWidth="true" style="6"/>
    <col min="10" max="10" width="11.43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</row>
    <row r="2" spans="1:1024" customHeight="1" ht="18.6">
      <c r="A2" s="11" t="s">
        <v>7</v>
      </c>
      <c r="B2" s="12"/>
      <c r="C2" s="13">
        <v>5158.54</v>
      </c>
      <c r="D2" s="14" t="s">
        <v>8</v>
      </c>
      <c r="E2" s="15">
        <v>44742</v>
      </c>
      <c r="F2" s="16"/>
      <c r="G2" s="17" t="str">
        <f>C2-F2</f>
        <v>0</v>
      </c>
    </row>
    <row r="3" spans="1:1024" customHeight="1" ht="18.6">
      <c r="A3" s="11" t="s">
        <v>7</v>
      </c>
      <c r="B3" s="12"/>
      <c r="C3" s="13">
        <v>27275.71</v>
      </c>
      <c r="D3" s="14"/>
      <c r="E3" s="15"/>
      <c r="F3" s="16"/>
      <c r="G3" s="17" t="str">
        <f>C3-F3</f>
        <v>0</v>
      </c>
    </row>
    <row r="4" spans="1:1024" customHeight="1" ht="18.6">
      <c r="A4" s="11" t="s">
        <v>9</v>
      </c>
      <c r="B4" s="12" t="s">
        <v>10</v>
      </c>
      <c r="C4" s="13">
        <v>4685.07</v>
      </c>
      <c r="D4" s="14"/>
      <c r="E4" s="15"/>
      <c r="F4" s="16"/>
      <c r="G4" s="17" t="str">
        <f>C4-F4</f>
        <v>0</v>
      </c>
      <c r="I4" s="18"/>
    </row>
    <row r="5" spans="1:1024" customHeight="1" ht="18.6">
      <c r="A5" s="11" t="s">
        <v>11</v>
      </c>
      <c r="B5" s="12" t="s">
        <v>12</v>
      </c>
      <c r="C5" s="13">
        <v>49386.91</v>
      </c>
      <c r="D5" s="14" t="s">
        <v>13</v>
      </c>
      <c r="E5" s="15">
        <v>44686</v>
      </c>
      <c r="F5" s="16"/>
      <c r="G5" s="17" t="str">
        <f>C5-F5</f>
        <v>0</v>
      </c>
      <c r="I5" s="19"/>
    </row>
    <row r="6" spans="1:1024" customHeight="1" ht="18.6">
      <c r="A6" s="11" t="s">
        <v>7</v>
      </c>
      <c r="B6" s="12" t="s">
        <v>14</v>
      </c>
      <c r="C6" s="13">
        <v>22327.55</v>
      </c>
      <c r="D6" s="14" t="s">
        <v>15</v>
      </c>
      <c r="E6" s="15"/>
      <c r="F6" s="16"/>
      <c r="G6" s="17" t="str">
        <f>C6-F6</f>
        <v>0</v>
      </c>
      <c r="I6" s="19"/>
    </row>
    <row r="7" spans="1:1024" customHeight="1" ht="18.6">
      <c r="A7" s="11" t="s">
        <v>7</v>
      </c>
      <c r="B7" s="12" t="s">
        <v>16</v>
      </c>
      <c r="C7" s="13">
        <v>30596.59</v>
      </c>
      <c r="D7" s="14" t="s">
        <v>17</v>
      </c>
      <c r="E7" s="15"/>
      <c r="F7" s="16"/>
      <c r="G7" s="17" t="str">
        <f>C7-F7</f>
        <v>0</v>
      </c>
      <c r="I7" s="19"/>
    </row>
    <row r="8" spans="1:1024" customHeight="1" ht="18.6">
      <c r="A8" s="11" t="s">
        <v>18</v>
      </c>
      <c r="B8" s="12" t="s">
        <v>19</v>
      </c>
      <c r="C8" s="13">
        <v>10625.22</v>
      </c>
      <c r="D8" s="14"/>
      <c r="E8" s="15"/>
      <c r="F8" s="16"/>
      <c r="G8" s="17" t="str">
        <f>C8-F8</f>
        <v>0</v>
      </c>
      <c r="I8" s="20"/>
      <c r="J8" s="20"/>
    </row>
    <row r="9" spans="1:1024" customHeight="1" ht="18.6">
      <c r="A9" s="11"/>
      <c r="B9" s="12"/>
      <c r="C9" s="13"/>
      <c r="D9" s="14"/>
      <c r="E9" s="15"/>
      <c r="F9" s="16"/>
      <c r="G9" s="17" t="str">
        <f>C9-F9</f>
        <v>0</v>
      </c>
      <c r="I9" s="19"/>
    </row>
    <row r="10" spans="1:1024" customHeight="1" ht="18.6">
      <c r="A10" s="11"/>
      <c r="B10" s="12"/>
      <c r="C10" s="13"/>
      <c r="D10" s="14"/>
      <c r="E10" s="15"/>
      <c r="F10" s="16"/>
      <c r="G10" s="17" t="str">
        <f>C10-F10</f>
        <v>0</v>
      </c>
      <c r="I10" s="20"/>
      <c r="J10" s="20"/>
    </row>
    <row r="11" spans="1:1024" customHeight="1" ht="18.6">
      <c r="A11" s="11"/>
      <c r="B11" s="12"/>
      <c r="C11" s="13"/>
      <c r="D11" s="14"/>
      <c r="E11" s="15"/>
      <c r="F11" s="16"/>
      <c r="G11" s="17" t="str">
        <f>C11-F11</f>
        <v>0</v>
      </c>
    </row>
    <row r="12" spans="1:1024" customHeight="1" ht="18.6">
      <c r="A12" s="11"/>
      <c r="B12" s="12"/>
      <c r="C12" s="13"/>
      <c r="D12" s="14"/>
      <c r="E12" s="15"/>
      <c r="F12" s="16"/>
      <c r="G12" s="17" t="str">
        <f>C12-F12</f>
        <v>0</v>
      </c>
      <c r="I12" s="19"/>
    </row>
    <row r="13" spans="1:1024" customHeight="1" ht="18.6">
      <c r="A13" s="11"/>
      <c r="B13" s="12"/>
      <c r="C13" s="13"/>
      <c r="D13" s="14"/>
      <c r="E13" s="15"/>
      <c r="F13" s="16"/>
      <c r="G13" s="17"/>
      <c r="I13" s="20"/>
      <c r="J13" s="20"/>
    </row>
    <row r="14" spans="1:1024" customHeight="1" ht="18.6">
      <c r="A14" s="11" t="s">
        <v>20</v>
      </c>
      <c r="B14" s="12" t="s">
        <v>21</v>
      </c>
      <c r="C14" s="13">
        <v>19148.63</v>
      </c>
      <c r="D14" s="14"/>
      <c r="E14" s="15">
        <v>44757</v>
      </c>
      <c r="F14" s="16"/>
      <c r="G14" s="17" t="str">
        <f>C14-F14</f>
        <v>0</v>
      </c>
    </row>
    <row r="15" spans="1:1024" customHeight="1" ht="18.6">
      <c r="A15" s="11" t="s">
        <v>20</v>
      </c>
      <c r="B15" s="12" t="s">
        <v>22</v>
      </c>
      <c r="C15" s="13">
        <v>7345.36</v>
      </c>
      <c r="D15" s="14"/>
      <c r="E15" s="15">
        <v>44757</v>
      </c>
      <c r="F15" s="16"/>
      <c r="G15" s="17" t="str">
        <f>C15-F15</f>
        <v>0</v>
      </c>
      <c r="I15" s="19"/>
    </row>
    <row r="16" spans="1:1024" customHeight="1" ht="18.6">
      <c r="A16" s="11"/>
      <c r="B16" s="12"/>
      <c r="C16" s="13"/>
      <c r="D16" s="14"/>
      <c r="E16" s="15"/>
      <c r="F16" s="16"/>
      <c r="G16" s="17" t="str">
        <f>C16-F16</f>
        <v>0</v>
      </c>
      <c r="I16" s="21"/>
      <c r="J16" s="21"/>
      <c r="K16" s="21"/>
    </row>
    <row r="17" spans="1:1024" customHeight="1" ht="18.6">
      <c r="A17" s="11" t="s">
        <v>23</v>
      </c>
      <c r="B17" s="12" t="s">
        <v>24</v>
      </c>
      <c r="C17" s="13">
        <v>19200</v>
      </c>
      <c r="D17" s="14"/>
      <c r="E17" s="15"/>
      <c r="F17" s="16"/>
      <c r="G17" s="17" t="str">
        <f>C17-F17</f>
        <v>0</v>
      </c>
    </row>
    <row r="18" spans="1:1024" customHeight="1" ht="18.6">
      <c r="A18" s="11" t="s">
        <v>25</v>
      </c>
      <c r="B18" s="12" t="s">
        <v>26</v>
      </c>
      <c r="C18" s="13">
        <v>12440.99</v>
      </c>
      <c r="D18" s="14" t="s">
        <v>27</v>
      </c>
      <c r="E18" s="15">
        <v>44559</v>
      </c>
      <c r="F18" s="16"/>
      <c r="G18" s="17" t="str">
        <f>C18-F18</f>
        <v>0</v>
      </c>
    </row>
    <row r="19" spans="1:1024" customHeight="1" ht="18.6">
      <c r="A19" s="11"/>
      <c r="B19" s="12"/>
      <c r="C19" s="13"/>
      <c r="D19" s="14"/>
      <c r="E19" s="15"/>
      <c r="F19" s="16"/>
      <c r="G19" s="17" t="str">
        <f>C19-F19</f>
        <v>0</v>
      </c>
    </row>
    <row r="20" spans="1:1024" customHeight="1" ht="18.6">
      <c r="A20" s="11" t="s">
        <v>28</v>
      </c>
      <c r="B20" s="12" t="s">
        <v>29</v>
      </c>
      <c r="C20" s="13">
        <v>500.01</v>
      </c>
      <c r="D20" s="14"/>
      <c r="E20" s="15">
        <v>44356</v>
      </c>
      <c r="F20" s="16"/>
      <c r="G20" s="17" t="str">
        <f>C20-F20</f>
        <v>0</v>
      </c>
    </row>
    <row r="21" spans="1:1024" customHeight="1" ht="18.6">
      <c r="A21" s="11" t="s">
        <v>28</v>
      </c>
      <c r="B21" s="12" t="s">
        <v>30</v>
      </c>
      <c r="C21" s="13">
        <v>984.96</v>
      </c>
      <c r="D21" s="14"/>
      <c r="E21" s="15">
        <v>44356</v>
      </c>
      <c r="F21" s="16"/>
      <c r="G21" s="17" t="str">
        <f>C21-F21</f>
        <v>0</v>
      </c>
    </row>
    <row r="22" spans="1:1024" customHeight="1" ht="18.6">
      <c r="A22" s="11" t="s">
        <v>28</v>
      </c>
      <c r="B22" s="12" t="s">
        <v>31</v>
      </c>
      <c r="C22" s="13">
        <v>5160.1</v>
      </c>
      <c r="D22" s="14"/>
      <c r="E22" s="15">
        <v>44356</v>
      </c>
      <c r="F22" s="16"/>
      <c r="G22" s="17" t="str">
        <f>C22-F22</f>
        <v>0</v>
      </c>
    </row>
    <row r="23" spans="1:1024" customHeight="1" ht="18.6">
      <c r="A23" s="11" t="s">
        <v>28</v>
      </c>
      <c r="B23" s="12" t="s">
        <v>32</v>
      </c>
      <c r="C23" s="13">
        <v>250</v>
      </c>
      <c r="D23" s="14"/>
      <c r="E23" s="15">
        <v>44356</v>
      </c>
      <c r="F23" s="16"/>
      <c r="G23" s="17" t="str">
        <f>C23-F23</f>
        <v>0</v>
      </c>
    </row>
    <row r="24" spans="1:1024" customHeight="1" ht="18.6">
      <c r="A24" s="11" t="s">
        <v>28</v>
      </c>
      <c r="B24" s="12" t="s">
        <v>33</v>
      </c>
      <c r="C24" s="13">
        <v>1056</v>
      </c>
      <c r="D24" s="14"/>
      <c r="E24" s="15">
        <v>44356</v>
      </c>
      <c r="F24" s="16"/>
      <c r="G24" s="17" t="str">
        <f>C24-F24</f>
        <v>0</v>
      </c>
    </row>
    <row r="25" spans="1:1024" customHeight="1" ht="18.6">
      <c r="A25" s="11" t="s">
        <v>28</v>
      </c>
      <c r="B25" s="12" t="s">
        <v>34</v>
      </c>
      <c r="C25" s="13">
        <v>450.24</v>
      </c>
      <c r="D25" s="14"/>
      <c r="E25" s="15">
        <v>44356</v>
      </c>
      <c r="F25" s="16"/>
      <c r="G25" s="17" t="str">
        <f>C25-F25</f>
        <v>0</v>
      </c>
    </row>
    <row r="26" spans="1:1024" customHeight="1" ht="18.6">
      <c r="A26" s="11"/>
      <c r="B26" s="12"/>
      <c r="C26" s="13"/>
      <c r="D26" s="14"/>
      <c r="E26" s="15"/>
      <c r="F26" s="16"/>
      <c r="G26" s="17" t="str">
        <f>C26-F26</f>
        <v>0</v>
      </c>
    </row>
    <row r="27" spans="1:1024" customHeight="1" ht="18.6">
      <c r="A27" s="22"/>
      <c r="B27" s="23"/>
      <c r="C27" s="23"/>
      <c r="D27" s="24"/>
      <c r="E27" s="25"/>
      <c r="F27" s="26"/>
      <c r="G27" s="27"/>
    </row>
    <row r="28" spans="1:1024" customHeight="1" ht="18.6">
      <c r="A28" s="28" t="s">
        <v>35</v>
      </c>
      <c r="B28" s="22"/>
      <c r="C28" s="29" t="str">
        <f>+SUM(C2:C26)</f>
        <v>0</v>
      </c>
      <c r="D28" s="24"/>
      <c r="E28" s="25"/>
      <c r="F28" s="26"/>
      <c r="G28" s="30" t="str">
        <f>+SUM(G2:G26)</f>
        <v>0</v>
      </c>
    </row>
    <row r="29" spans="1:1024" customHeight="1" ht="21">
      <c r="A29" s="31"/>
      <c r="B29" s="32"/>
      <c r="C29" s="33"/>
      <c r="D29" s="34"/>
    </row>
    <row r="30" spans="1:1024" customHeight="1" ht="21">
      <c r="A30" s="35"/>
      <c r="B30" s="35"/>
      <c r="C30" s="35"/>
      <c r="D30" s="35"/>
    </row>
    <row r="31" spans="1:1024" customHeight="1" ht="21">
      <c r="B31" s="35"/>
      <c r="C31" s="35"/>
      <c r="D31" s="35"/>
    </row>
    <row r="32" spans="1:1024" customHeight="1" ht="21">
      <c r="B32" s="35"/>
      <c r="C32" s="35"/>
      <c r="D3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J8"/>
    <mergeCell ref="I10:J10"/>
    <mergeCell ref="I13:J13"/>
    <mergeCell ref="I16:K16"/>
  </mergeCells>
  <conditionalFormatting sqref="A2:G19">
    <cfRule type="expression" dxfId="0" priority="1">
      <formula>MOD(ROW(),2)=1</formula>
    </cfRule>
  </conditionalFormatting>
  <conditionalFormatting sqref="B20:G20">
    <cfRule type="expression" dxfId="0" priority="2">
      <formula>MOD(ROW(),2)=1</formula>
    </cfRule>
  </conditionalFormatting>
  <conditionalFormatting sqref="A20:A26">
    <cfRule type="expression" dxfId="0" priority="3">
      <formula>MOD(ROW(),2)=1</formula>
    </cfRule>
  </conditionalFormatting>
  <conditionalFormatting sqref="A21:G26">
    <cfRule type="expression" dxfId="0" priority="4">
      <formula>MOD(ROW(),2)=1</formula>
    </cfRule>
  </conditionalFormatting>
  <conditionalFormatting sqref="E2:F2">
    <cfRule type="timePeriod" dxfId="1" priority="5" timePeriod="yesterday">
      <formula/>
    </cfRule>
    <cfRule type="timePeriod" dxfId="1" priority="6" timePeriod="today">
      <formula/>
    </cfRule>
    <cfRule type="cellIs" dxfId="2" priority="7" operator="lessThan">
      <formula>_xludf.today()</formula>
    </cfRule>
    <cfRule type="cellIs" dxfId="3" priority="8" operator="lessThan">
      <formula>TODAY()</formula>
    </cfRule>
    <cfRule type="timePeriod" dxfId="1" priority="9" timePeriod="last7Days">
      <formula/>
    </cfRule>
    <cfRule type="timePeriod" dxfId="1" priority="10" timePeriod="yesterday">
      <formula/>
    </cfRule>
    <cfRule type="timePeriod" dxfId="1" priority="11" timePeriod="lastMonth">
      <formula/>
    </cfRule>
    <cfRule type="timePeriod" dxfId="1" priority="12" timePeriod="yesterday">
      <formula/>
    </cfRule>
    <cfRule type="timePeriod" dxfId="1" priority="13" timePeriod="today">
      <formula/>
    </cfRule>
  </conditionalFormatting>
  <conditionalFormatting sqref="A28:F28">
    <cfRule type="expression" dxfId="0" priority="14">
      <formula>MOD(ROW(),2)=1</formula>
    </cfRule>
  </conditionalFormatting>
  <conditionalFormatting sqref="E28:F28">
    <cfRule type="cellIs" dxfId="3" priority="15" operator="lessThan">
      <formula>TODAY()</formula>
    </cfRule>
    <cfRule type="timePeriod" dxfId="1" priority="16" timePeriod="last7Days">
      <formula/>
    </cfRule>
    <cfRule type="timePeriod" dxfId="1" priority="17" timePeriod="yesterday">
      <formula/>
    </cfRule>
    <cfRule type="timePeriod" dxfId="1" priority="18" timePeriod="lastMonth">
      <formula/>
    </cfRule>
    <cfRule type="timePeriod" dxfId="1" priority="19" timePeriod="yesterday">
      <formula/>
    </cfRule>
    <cfRule type="timePeriod" dxfId="1" priority="20" timePeriod="today">
      <formula/>
    </cfRule>
  </conditionalFormatting>
  <conditionalFormatting sqref="G28">
    <cfRule type="expression" dxfId="0" priority="21">
      <formula>MOD(ROW(),2)=1</formula>
    </cfRule>
  </conditionalFormatting>
  <conditionalFormatting sqref="A27:G27">
    <cfRule type="expression" dxfId="0" priority="22">
      <formula>MOD(ROW(),2)=1</formula>
    </cfRule>
  </conditionalFormatting>
  <conditionalFormatting sqref="E27:F27">
    <cfRule type="cellIs" dxfId="3" priority="23" operator="lessThan">
      <formula>TODAY()</formula>
    </cfRule>
    <cfRule type="timePeriod" dxfId="1" priority="24" timePeriod="last7Days">
      <formula/>
    </cfRule>
    <cfRule type="timePeriod" dxfId="1" priority="25" timePeriod="yesterday">
      <formula/>
    </cfRule>
    <cfRule type="timePeriod" dxfId="1" priority="26" timePeriod="lastMonth">
      <formula/>
    </cfRule>
    <cfRule type="timePeriod" dxfId="1" priority="27" timePeriod="yesterday">
      <formula/>
    </cfRule>
    <cfRule type="timePeriod" dxfId="1" priority="28" timePeriod="today">
      <formula/>
    </cfRule>
  </conditionalFormatting>
  <conditionalFormatting sqref="E3:F26">
    <cfRule type="timePeriod" dxfId="1" priority="29" timePeriod="yesterday">
      <formula/>
    </cfRule>
    <cfRule type="timePeriod" dxfId="1" priority="30" timePeriod="today">
      <formula/>
    </cfRule>
    <cfRule type="cellIs" dxfId="2" priority="31" operator="lessThan">
      <formula>_xludf.today()</formula>
    </cfRule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2"/>
  <sheetViews>
    <sheetView tabSelected="0" workbookViewId="0" zoomScale="85" zoomScaleNormal="85" showGridLines="true" showRowColHeaders="1">
      <pane ySplit="1" topLeftCell="A54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  <c r="AMJ1" s="10"/>
    </row>
    <row r="2" spans="1:1024" customHeight="1" ht="18.6">
      <c r="A2" s="265" t="s">
        <v>248</v>
      </c>
      <c r="B2" s="11" t="s">
        <v>924</v>
      </c>
      <c r="C2" s="12" t="s">
        <v>925</v>
      </c>
      <c r="D2" s="13">
        <v>901</v>
      </c>
      <c r="E2" s="14" t="s">
        <v>926</v>
      </c>
      <c r="F2" s="15" t="s">
        <v>927</v>
      </c>
      <c r="G2" s="16"/>
      <c r="H2" s="17" t="str">
        <f>D2-G2</f>
        <v>0</v>
      </c>
      <c r="I2" s="267"/>
      <c r="AMJ2" s="6"/>
    </row>
    <row r="3" spans="1:1024" customHeight="1" ht="18.6">
      <c r="A3" s="265"/>
      <c r="B3" s="11"/>
      <c r="C3" s="12"/>
      <c r="D3" s="13"/>
      <c r="E3" s="14"/>
      <c r="F3" s="15"/>
      <c r="G3" s="16"/>
      <c r="H3" s="17"/>
      <c r="I3" s="267"/>
      <c r="AMJ3" s="6"/>
    </row>
    <row r="4" spans="1:1024" customHeight="1" ht="18.6">
      <c r="A4" s="265"/>
      <c r="B4" s="11"/>
      <c r="C4" s="12"/>
      <c r="D4" s="268"/>
      <c r="E4" s="14"/>
      <c r="F4" s="15"/>
      <c r="G4" s="16"/>
      <c r="H4" s="17" t="str">
        <f>D4-G4</f>
        <v>0</v>
      </c>
      <c r="I4" s="267"/>
      <c r="AMJ4" s="6"/>
    </row>
    <row r="5" spans="1:1024" customHeight="1" ht="18.6">
      <c r="A5" s="265"/>
      <c r="B5" s="11"/>
      <c r="C5" s="12"/>
      <c r="D5" s="268"/>
      <c r="E5" s="14"/>
      <c r="F5" s="15"/>
      <c r="G5" s="16"/>
      <c r="H5" s="17" t="str">
        <f>D5-G5</f>
        <v>0</v>
      </c>
      <c r="I5" s="267"/>
      <c r="K5" s="18"/>
      <c r="AMJ5" s="6"/>
    </row>
    <row r="6" spans="1:1024" customHeight="1" ht="18.6">
      <c r="A6" s="265"/>
      <c r="B6" s="11"/>
      <c r="C6" s="12"/>
      <c r="D6" s="268"/>
      <c r="E6" s="14"/>
      <c r="F6" s="15"/>
      <c r="G6" s="16"/>
      <c r="H6" s="17" t="str">
        <f>D6-G6</f>
        <v>0</v>
      </c>
      <c r="I6" s="267"/>
      <c r="K6" s="19"/>
      <c r="AMJ6" s="6"/>
    </row>
    <row r="7" spans="1:1024" customHeight="1" ht="18.6">
      <c r="A7" s="265"/>
      <c r="B7" s="11"/>
      <c r="C7" s="12"/>
      <c r="D7" s="268"/>
      <c r="E7" s="14"/>
      <c r="F7" s="15"/>
      <c r="G7" s="16"/>
      <c r="H7" s="17" t="str">
        <f>D7-G7</f>
        <v>0</v>
      </c>
      <c r="I7" s="267"/>
      <c r="K7" s="494"/>
      <c r="AMJ7" s="6"/>
    </row>
    <row r="8" spans="1:1024" customHeight="1" ht="18.6">
      <c r="A8" s="265"/>
      <c r="B8" s="11"/>
      <c r="C8" s="12"/>
      <c r="D8" s="268"/>
      <c r="E8" s="14"/>
      <c r="F8" s="15"/>
      <c r="G8" s="16"/>
      <c r="H8" s="17" t="str">
        <f>D8-G8</f>
        <v>0</v>
      </c>
      <c r="I8" s="267"/>
      <c r="K8" s="19"/>
      <c r="AMJ8" s="6"/>
    </row>
    <row r="9" spans="1:1024" customHeight="1" ht="18.6">
      <c r="A9" s="265"/>
      <c r="B9" s="343"/>
      <c r="C9" s="12"/>
      <c r="D9" s="268"/>
      <c r="E9" s="14"/>
      <c r="F9" s="15"/>
      <c r="G9" s="16"/>
      <c r="H9" s="17" t="str">
        <f>D9-G9</f>
        <v>0</v>
      </c>
      <c r="I9" s="267"/>
      <c r="K9" s="20"/>
      <c r="L9" s="20"/>
      <c r="M9" s="20"/>
      <c r="AMJ9" s="6"/>
    </row>
    <row r="10" spans="1:1024" customHeight="1" ht="18.6">
      <c r="A10" s="265"/>
      <c r="B10" s="11"/>
      <c r="C10" s="12"/>
      <c r="D10" s="268"/>
      <c r="E10" s="14"/>
      <c r="F10" s="15"/>
      <c r="G10" s="16"/>
      <c r="H10" s="17" t="str">
        <f>D10-G10</f>
        <v>0</v>
      </c>
      <c r="I10" s="267"/>
      <c r="K10" s="19"/>
      <c r="AMJ10" s="6"/>
    </row>
    <row r="11" spans="1:1024" customHeight="1" ht="18.6">
      <c r="A11" s="265"/>
      <c r="B11" s="11"/>
      <c r="C11" s="12"/>
      <c r="D11" s="268"/>
      <c r="E11" s="14"/>
      <c r="F11" s="15"/>
      <c r="G11" s="16"/>
      <c r="H11" s="17" t="str">
        <f>D11-G11</f>
        <v>0</v>
      </c>
      <c r="I11" s="269"/>
      <c r="K11" s="20"/>
      <c r="L11" s="20"/>
      <c r="AMJ11" s="6"/>
    </row>
    <row r="12" spans="1:1024" customHeight="1" ht="18.6">
      <c r="A12" s="265"/>
      <c r="B12" s="11"/>
      <c r="C12" s="12"/>
      <c r="D12" s="268"/>
      <c r="E12" s="14"/>
      <c r="F12" s="15"/>
      <c r="G12" s="16"/>
      <c r="H12" s="17" t="str">
        <f>D12-G12</f>
        <v>0</v>
      </c>
      <c r="I12" s="269"/>
      <c r="AMJ12" s="6"/>
    </row>
    <row r="13" spans="1:1024" customHeight="1" ht="18.6">
      <c r="A13" s="265"/>
      <c r="B13" s="11"/>
      <c r="C13" s="12"/>
      <c r="D13" s="13"/>
      <c r="E13" s="439"/>
      <c r="F13" s="15"/>
      <c r="G13" s="16"/>
      <c r="H13" s="17" t="str">
        <f>D13-G13</f>
        <v>0</v>
      </c>
      <c r="I13" s="269"/>
      <c r="K13" s="494"/>
      <c r="AMJ13" s="6"/>
    </row>
    <row r="14" spans="1:1024" customHeight="1" ht="18.6">
      <c r="A14" s="265"/>
      <c r="B14" s="11"/>
      <c r="C14" s="12"/>
      <c r="D14" s="268"/>
      <c r="E14" s="14"/>
      <c r="F14" s="15"/>
      <c r="G14" s="16"/>
      <c r="H14" s="17" t="str">
        <f>D14-G14</f>
        <v>0</v>
      </c>
      <c r="I14" s="269"/>
      <c r="K14" s="20"/>
      <c r="L14" s="20"/>
      <c r="M14" s="20"/>
      <c r="AMJ14" s="6"/>
    </row>
    <row r="15" spans="1:1024" customHeight="1" ht="18.6">
      <c r="A15" s="265"/>
      <c r="B15" s="11"/>
      <c r="C15" s="12"/>
      <c r="D15" s="268"/>
      <c r="E15" s="14"/>
      <c r="F15" s="15"/>
      <c r="G15" s="270"/>
      <c r="H15" s="17" t="str">
        <f>D15-G15</f>
        <v>0</v>
      </c>
      <c r="I15" s="269"/>
      <c r="AMJ15" s="6"/>
    </row>
    <row r="16" spans="1:1024" customHeight="1" ht="18.6">
      <c r="A16" s="265"/>
      <c r="B16" s="11"/>
      <c r="C16" s="12"/>
      <c r="D16" s="268"/>
      <c r="E16" s="14"/>
      <c r="F16" s="15"/>
      <c r="G16" s="270"/>
      <c r="H16" s="17" t="str">
        <f>D16-G16</f>
        <v>0</v>
      </c>
      <c r="I16" s="269"/>
      <c r="K16" s="494"/>
      <c r="AMJ16" s="6"/>
    </row>
    <row r="17" spans="1:1024" customHeight="1" ht="18.6">
      <c r="A17" s="265"/>
      <c r="B17" s="11"/>
      <c r="C17" s="12"/>
      <c r="D17" s="268"/>
      <c r="E17" s="14"/>
      <c r="F17" s="271"/>
      <c r="G17" s="270"/>
      <c r="H17" s="17" t="str">
        <f>D17-G17</f>
        <v>0</v>
      </c>
      <c r="I17" s="269"/>
      <c r="K17" s="21"/>
      <c r="L17" s="21"/>
      <c r="M17" s="21"/>
      <c r="AMJ17" s="6"/>
    </row>
    <row r="18" spans="1:1024" customHeight="1" ht="18.6">
      <c r="A18" s="265"/>
      <c r="B18" s="11"/>
      <c r="C18" s="12"/>
      <c r="D18" s="268"/>
      <c r="E18" s="14"/>
      <c r="F18" s="271"/>
      <c r="G18" s="270"/>
      <c r="H18" s="17" t="str">
        <f>D18-G18</f>
        <v>0</v>
      </c>
      <c r="I18" s="269"/>
      <c r="AMJ18" s="6"/>
    </row>
    <row r="19" spans="1:1024" customHeight="1" ht="18.6">
      <c r="A19" s="265"/>
      <c r="B19" s="11"/>
      <c r="C19" s="12"/>
      <c r="D19" s="268"/>
      <c r="E19" s="14"/>
      <c r="F19" s="15"/>
      <c r="G19" s="270"/>
      <c r="H19" s="17" t="str">
        <f>D19-G19</f>
        <v>0</v>
      </c>
      <c r="I19" s="269"/>
      <c r="AMJ19" s="6"/>
    </row>
    <row r="20" spans="1:1024" customHeight="1" ht="18.6">
      <c r="A20" s="265"/>
      <c r="B20" s="11"/>
      <c r="C20" s="12"/>
      <c r="D20" s="268"/>
      <c r="E20" s="14"/>
      <c r="F20" s="271"/>
      <c r="G20" s="270"/>
      <c r="H20" s="17" t="str">
        <f>D20-G20</f>
        <v>0</v>
      </c>
      <c r="I20" s="269"/>
      <c r="AMJ20" s="6"/>
    </row>
    <row r="21" spans="1:1024" customHeight="1" ht="18.6">
      <c r="A21" s="265"/>
      <c r="B21" s="11"/>
      <c r="C21" s="12"/>
      <c r="D21" s="268"/>
      <c r="E21" s="14"/>
      <c r="F21" s="271"/>
      <c r="G21" s="270"/>
      <c r="H21" s="17" t="str">
        <f>D21-G21</f>
        <v>0</v>
      </c>
      <c r="I21" s="269"/>
      <c r="AMJ21" s="6"/>
    </row>
    <row r="22" spans="1:1024" customHeight="1" ht="18.6">
      <c r="A22" s="265"/>
      <c r="B22" s="11"/>
      <c r="C22" s="12"/>
      <c r="D22" s="13"/>
      <c r="E22" s="14"/>
      <c r="F22" s="271"/>
      <c r="G22" s="270"/>
      <c r="H22" s="17" t="str">
        <f>D22-G22</f>
        <v>0</v>
      </c>
      <c r="I22" s="269"/>
      <c r="AMJ22" s="6"/>
    </row>
    <row r="23" spans="1:1024" customHeight="1" ht="18.6">
      <c r="A23" s="265"/>
      <c r="B23" s="11"/>
      <c r="C23" s="12"/>
      <c r="D23" s="13"/>
      <c r="E23" s="14"/>
      <c r="F23" s="271"/>
      <c r="G23" s="270"/>
      <c r="H23" s="17" t="str">
        <f>D23-G23</f>
        <v>0</v>
      </c>
      <c r="I23" s="269"/>
      <c r="AMJ23" s="6"/>
    </row>
    <row r="24" spans="1:1024" customHeight="1" ht="18.6">
      <c r="A24" s="265"/>
      <c r="B24" s="11"/>
      <c r="C24" s="12"/>
      <c r="D24" s="268"/>
      <c r="E24" s="14"/>
      <c r="F24" s="271"/>
      <c r="G24" s="270"/>
      <c r="H24" s="17" t="str">
        <f>D24-G24</f>
        <v>0</v>
      </c>
      <c r="I24" s="269"/>
      <c r="AMJ24" s="6"/>
    </row>
    <row r="25" spans="1:1024" customHeight="1" ht="18.6">
      <c r="A25" s="265"/>
      <c r="B25" s="11"/>
      <c r="C25" s="12"/>
      <c r="D25" s="13"/>
      <c r="E25" s="461"/>
      <c r="F25" s="271"/>
      <c r="G25" s="270"/>
      <c r="H25" s="17" t="str">
        <f>D25-G25</f>
        <v>0</v>
      </c>
      <c r="I25" s="269"/>
      <c r="AMJ25" s="6"/>
    </row>
    <row r="26" spans="1:1024" customHeight="1" ht="18.6">
      <c r="A26" s="265"/>
      <c r="B26" s="11"/>
      <c r="C26" s="12"/>
      <c r="D26" s="268"/>
      <c r="E26" s="14"/>
      <c r="F26" s="271"/>
      <c r="G26" s="270"/>
      <c r="H26" s="17" t="str">
        <f>D26-G26</f>
        <v>0</v>
      </c>
      <c r="I26" s="269"/>
      <c r="AMJ26" s="6"/>
    </row>
    <row r="27" spans="1:1024" customHeight="1" ht="18.6">
      <c r="A27" s="265"/>
      <c r="B27" s="11"/>
      <c r="C27" s="12"/>
      <c r="D27" s="268"/>
      <c r="E27" s="14"/>
      <c r="F27" s="271"/>
      <c r="G27" s="272"/>
      <c r="H27" s="17" t="str">
        <f>D27-G27</f>
        <v>0</v>
      </c>
      <c r="I27" s="269"/>
      <c r="AMJ27" s="6"/>
    </row>
    <row r="28" spans="1:1024" customHeight="1" ht="18.6">
      <c r="A28" s="265"/>
      <c r="B28" s="11"/>
      <c r="C28" s="12"/>
      <c r="D28" s="268"/>
      <c r="E28" s="14"/>
      <c r="F28" s="271"/>
      <c r="G28" s="272"/>
      <c r="H28" s="17" t="str">
        <f>D28-G28</f>
        <v>0</v>
      </c>
      <c r="I28" s="269"/>
      <c r="AMJ28" s="6"/>
    </row>
    <row r="29" spans="1:1024" customHeight="1" ht="18.6">
      <c r="A29" s="273"/>
      <c r="B29" s="28" t="s">
        <v>35</v>
      </c>
      <c r="C29" s="22"/>
      <c r="D29" s="29" t="str">
        <f>+SUM(D2:D28)</f>
        <v>0</v>
      </c>
      <c r="E29" s="24"/>
      <c r="F29" s="25"/>
      <c r="G29" s="26"/>
      <c r="H29" s="30" t="str">
        <f>+SUM(H2:H28)</f>
        <v>0</v>
      </c>
      <c r="I29" s="429"/>
      <c r="AMJ29" s="6"/>
    </row>
    <row r="30" spans="1:1024" customHeight="1" ht="18.6">
      <c r="A30" s="357" t="s">
        <v>299</v>
      </c>
      <c r="B30" s="11" t="s">
        <v>658</v>
      </c>
      <c r="C30" s="12" t="s">
        <v>659</v>
      </c>
      <c r="D30" s="274">
        <v>891.47</v>
      </c>
      <c r="E30" s="275"/>
      <c r="F30" s="276">
        <v>44743</v>
      </c>
      <c r="G30" s="277"/>
      <c r="H30" s="17" t="str">
        <f>D30-G30</f>
        <v>0</v>
      </c>
      <c r="I30" s="269"/>
      <c r="AMJ30" s="6"/>
    </row>
    <row r="31" spans="1:1024" customHeight="1" ht="18.6">
      <c r="A31" s="357"/>
      <c r="B31" s="11" t="s">
        <v>311</v>
      </c>
      <c r="C31" s="12"/>
      <c r="D31" s="268">
        <v>19.38</v>
      </c>
      <c r="E31" s="14"/>
      <c r="F31" s="271">
        <v>44747</v>
      </c>
      <c r="G31" s="272"/>
      <c r="H31" s="17" t="str">
        <f>D31-G31</f>
        <v>0</v>
      </c>
      <c r="I31" s="269"/>
      <c r="AMJ31" s="6"/>
    </row>
    <row r="32" spans="1:1024" customHeight="1" ht="18.6">
      <c r="A32" s="357"/>
      <c r="B32" s="11" t="s">
        <v>308</v>
      </c>
      <c r="C32" s="12"/>
      <c r="D32" s="268">
        <v>3203.09</v>
      </c>
      <c r="E32" s="14" t="s">
        <v>439</v>
      </c>
      <c r="F32" s="271">
        <v>44747</v>
      </c>
      <c r="G32" s="272"/>
      <c r="H32" s="17" t="str">
        <f>D32-G32</f>
        <v>0</v>
      </c>
      <c r="I32" s="269"/>
      <c r="AMJ32" s="6"/>
    </row>
    <row r="33" spans="1:1024" customHeight="1" ht="18.6">
      <c r="A33" s="357"/>
      <c r="B33" s="11" t="s">
        <v>300</v>
      </c>
      <c r="C33" s="12" t="s">
        <v>303</v>
      </c>
      <c r="D33" s="268">
        <v>127.11</v>
      </c>
      <c r="E33" s="14" t="s">
        <v>302</v>
      </c>
      <c r="F33" s="271">
        <v>44747</v>
      </c>
      <c r="G33" s="272"/>
      <c r="H33" s="17" t="str">
        <f>D33-G33</f>
        <v>0</v>
      </c>
      <c r="I33" s="269"/>
      <c r="AMJ33" s="6"/>
    </row>
    <row r="34" spans="1:1024" customHeight="1" ht="18.6">
      <c r="A34" s="357"/>
      <c r="B34" s="11" t="s">
        <v>300</v>
      </c>
      <c r="C34" s="12" t="s">
        <v>304</v>
      </c>
      <c r="D34" s="274">
        <v>100.82</v>
      </c>
      <c r="E34" s="275"/>
      <c r="F34" s="271">
        <v>44747</v>
      </c>
      <c r="G34" s="277"/>
      <c r="H34" s="17" t="str">
        <f>D34-G34</f>
        <v>0</v>
      </c>
      <c r="I34" s="269"/>
      <c r="AMJ34" s="6"/>
    </row>
    <row r="35" spans="1:1024" customHeight="1" ht="18.6">
      <c r="A35" s="357"/>
      <c r="B35" s="11" t="s">
        <v>300</v>
      </c>
      <c r="C35" s="12" t="s">
        <v>305</v>
      </c>
      <c r="D35" s="268">
        <v>104.12</v>
      </c>
      <c r="E35" s="14"/>
      <c r="F35" s="271">
        <v>44747</v>
      </c>
      <c r="G35" s="272"/>
      <c r="H35" s="17" t="str">
        <f>D35-G35</f>
        <v>0</v>
      </c>
      <c r="I35" s="269"/>
      <c r="AMJ35" s="6"/>
    </row>
    <row r="36" spans="1:1024" customHeight="1" ht="18.6">
      <c r="A36" s="357"/>
      <c r="B36" s="11" t="s">
        <v>300</v>
      </c>
      <c r="C36" s="12" t="s">
        <v>306</v>
      </c>
      <c r="D36" s="268">
        <v>71.32</v>
      </c>
      <c r="E36" s="14"/>
      <c r="F36" s="271">
        <v>44747</v>
      </c>
      <c r="G36" s="272"/>
      <c r="H36" s="17" t="str">
        <f>D36-G36</f>
        <v>0</v>
      </c>
      <c r="I36" s="269"/>
      <c r="AMJ36" s="6"/>
    </row>
    <row r="37" spans="1:1024" customHeight="1" ht="18.6">
      <c r="A37" s="357"/>
      <c r="B37" s="11" t="s">
        <v>300</v>
      </c>
      <c r="C37" s="12" t="s">
        <v>307</v>
      </c>
      <c r="D37" s="268">
        <v>89.4</v>
      </c>
      <c r="E37" s="14"/>
      <c r="F37" s="271">
        <v>44747</v>
      </c>
      <c r="G37" s="272"/>
      <c r="H37" s="17" t="str">
        <f>D37-G37</f>
        <v>0</v>
      </c>
      <c r="I37" s="269"/>
      <c r="AMJ37" s="6"/>
    </row>
    <row r="38" spans="1:1024" customHeight="1" ht="18.6">
      <c r="A38" s="357"/>
      <c r="B38" s="11" t="s">
        <v>300</v>
      </c>
      <c r="C38" s="12" t="s">
        <v>301</v>
      </c>
      <c r="D38" s="274">
        <v>99.97</v>
      </c>
      <c r="E38" s="275" t="s">
        <v>302</v>
      </c>
      <c r="F38" s="271">
        <v>44747</v>
      </c>
      <c r="G38" s="277"/>
      <c r="H38" s="17" t="str">
        <f>D38-G38</f>
        <v>0</v>
      </c>
      <c r="I38" s="269"/>
      <c r="AMJ38" s="6"/>
    </row>
    <row r="39" spans="1:1024" customHeight="1" ht="18.6">
      <c r="A39" s="357"/>
      <c r="B39" s="11" t="s">
        <v>551</v>
      </c>
      <c r="C39" s="12"/>
      <c r="D39" s="268">
        <v>53.88</v>
      </c>
      <c r="E39" s="14"/>
      <c r="F39" s="271">
        <v>44747</v>
      </c>
      <c r="G39" s="272"/>
      <c r="H39" s="17" t="str">
        <f>D39-G39</f>
        <v>0</v>
      </c>
      <c r="I39" s="269"/>
      <c r="AMJ39" s="6"/>
    </row>
    <row r="40" spans="1:1024" customHeight="1" ht="18.6">
      <c r="A40" s="357"/>
      <c r="B40" s="11" t="s">
        <v>314</v>
      </c>
      <c r="C40" s="12"/>
      <c r="D40" s="268">
        <v>50</v>
      </c>
      <c r="E40" s="14" t="s">
        <v>315</v>
      </c>
      <c r="F40" s="271">
        <v>44748</v>
      </c>
      <c r="G40" s="272"/>
      <c r="H40" s="17" t="str">
        <f>D40-G40</f>
        <v>0</v>
      </c>
      <c r="I40" s="269"/>
      <c r="AMJ40" s="6"/>
    </row>
    <row r="41" spans="1:1024" customHeight="1" ht="18.6">
      <c r="A41" s="357"/>
      <c r="B41" s="11" t="s">
        <v>314</v>
      </c>
      <c r="C41" s="12"/>
      <c r="D41" s="268">
        <v>38</v>
      </c>
      <c r="E41" s="14"/>
      <c r="F41" s="271">
        <v>44748</v>
      </c>
      <c r="G41" s="272"/>
      <c r="H41" s="17" t="str">
        <f>D41-G41</f>
        <v>0</v>
      </c>
      <c r="I41" s="269"/>
      <c r="AMJ41" s="6"/>
    </row>
    <row r="42" spans="1:1024" customHeight="1" ht="18.6">
      <c r="A42" s="357"/>
      <c r="B42" s="11" t="s">
        <v>35</v>
      </c>
      <c r="C42" s="12" t="s">
        <v>660</v>
      </c>
      <c r="D42" s="268">
        <v>2500</v>
      </c>
      <c r="E42" s="14"/>
      <c r="F42" s="271">
        <v>44752</v>
      </c>
      <c r="G42" s="272"/>
      <c r="H42" s="17" t="str">
        <f>D42-G42</f>
        <v>0</v>
      </c>
      <c r="I42" s="269"/>
      <c r="AMJ42" s="6"/>
    </row>
    <row r="43" spans="1:1024" customHeight="1" ht="18.6">
      <c r="A43" s="357"/>
      <c r="B43" s="11" t="s">
        <v>316</v>
      </c>
      <c r="C43" s="12" t="s">
        <v>550</v>
      </c>
      <c r="D43" s="268" t="str">
        <f>15.95*2</f>
        <v>0</v>
      </c>
      <c r="E43" s="14" t="s">
        <v>661</v>
      </c>
      <c r="F43" s="271">
        <v>44752</v>
      </c>
      <c r="G43" s="272"/>
      <c r="H43" s="17" t="str">
        <f>D43-G43</f>
        <v>0</v>
      </c>
      <c r="I43" s="269">
        <v>44671</v>
      </c>
      <c r="AMJ43" s="6"/>
    </row>
    <row r="44" spans="1:1024" customHeight="1" ht="18.6">
      <c r="A44" s="357"/>
      <c r="B44" s="11" t="s">
        <v>561</v>
      </c>
      <c r="C44" s="12"/>
      <c r="D44" s="274">
        <v>16.99</v>
      </c>
      <c r="E44" s="275" t="s">
        <v>562</v>
      </c>
      <c r="F44" s="271">
        <v>44752</v>
      </c>
      <c r="G44" s="277"/>
      <c r="H44" s="17" t="str">
        <f>D44-G44</f>
        <v>0</v>
      </c>
      <c r="I44" s="269"/>
      <c r="AMJ44" s="6"/>
    </row>
    <row r="45" spans="1:1024" customHeight="1" ht="18.6">
      <c r="A45" s="357"/>
      <c r="B45" s="11" t="s">
        <v>437</v>
      </c>
      <c r="C45" s="12" t="s">
        <v>564</v>
      </c>
      <c r="D45" s="268">
        <v>277.96</v>
      </c>
      <c r="E45" s="14" t="s">
        <v>565</v>
      </c>
      <c r="F45" s="271">
        <v>44752</v>
      </c>
      <c r="G45" s="272"/>
      <c r="H45" s="17" t="str">
        <f>D45-G45</f>
        <v>0</v>
      </c>
      <c r="I45" s="269"/>
      <c r="AMJ45" s="6"/>
    </row>
    <row r="46" spans="1:1024" customHeight="1" ht="18.6">
      <c r="A46" s="357"/>
      <c r="B46" s="343" t="s">
        <v>322</v>
      </c>
      <c r="C46" s="358"/>
      <c r="D46" s="359">
        <v>11213</v>
      </c>
      <c r="E46" s="484" t="s">
        <v>323</v>
      </c>
      <c r="F46" s="486">
        <v>44757</v>
      </c>
      <c r="G46" s="485"/>
      <c r="H46" s="483" t="str">
        <f>D46-G46</f>
        <v>0</v>
      </c>
      <c r="I46" s="438"/>
      <c r="AMJ46" s="6"/>
    </row>
    <row r="47" spans="1:1024" customHeight="1" ht="18.6">
      <c r="A47" s="357"/>
      <c r="B47" s="11" t="s">
        <v>300</v>
      </c>
      <c r="C47" s="12" t="s">
        <v>320</v>
      </c>
      <c r="D47" s="274">
        <v>15.24</v>
      </c>
      <c r="E47" s="275" t="s">
        <v>321</v>
      </c>
      <c r="F47" s="276">
        <v>44761</v>
      </c>
      <c r="G47" s="277"/>
      <c r="H47" s="17" t="str">
        <f>D47-G47</f>
        <v>0</v>
      </c>
      <c r="I47" s="269"/>
      <c r="AMJ47" s="6"/>
    </row>
    <row r="48" spans="1:1024" customHeight="1" ht="18.6">
      <c r="A48" s="357"/>
      <c r="B48" s="11" t="s">
        <v>300</v>
      </c>
      <c r="C48" s="12" t="s">
        <v>324</v>
      </c>
      <c r="D48" s="268">
        <v>93.87</v>
      </c>
      <c r="E48" s="14"/>
      <c r="F48" s="271">
        <v>44761</v>
      </c>
      <c r="G48" s="272"/>
      <c r="H48" s="17" t="str">
        <f>D48-G48</f>
        <v>0</v>
      </c>
      <c r="I48" s="269"/>
      <c r="AMJ48" s="6"/>
    </row>
    <row r="49" spans="1:1024" customHeight="1" ht="18.6">
      <c r="A49" s="357"/>
      <c r="B49" s="343" t="s">
        <v>327</v>
      </c>
      <c r="C49" s="12" t="s">
        <v>328</v>
      </c>
      <c r="D49" s="365">
        <v>6024</v>
      </c>
      <c r="E49" s="480" t="s">
        <v>666</v>
      </c>
      <c r="F49" s="481">
        <v>44763</v>
      </c>
      <c r="G49" s="482"/>
      <c r="H49" s="483" t="str">
        <f>D49-G49</f>
        <v>0</v>
      </c>
      <c r="I49" s="438"/>
      <c r="AMJ49" s="6"/>
    </row>
    <row r="50" spans="1:1024" customHeight="1" ht="18.6">
      <c r="A50" s="357"/>
      <c r="B50" s="343" t="s">
        <v>337</v>
      </c>
      <c r="C50" s="358"/>
      <c r="D50" s="359">
        <v>1799.9</v>
      </c>
      <c r="E50" s="484"/>
      <c r="F50" s="481">
        <v>44763</v>
      </c>
      <c r="G50" s="485"/>
      <c r="H50" s="483" t="str">
        <f>D50-G50</f>
        <v>0</v>
      </c>
      <c r="I50" s="438">
        <v>44671</v>
      </c>
      <c r="AMJ50" s="6"/>
    </row>
    <row r="51" spans="1:1024" customHeight="1" ht="18.6">
      <c r="A51" s="357"/>
      <c r="B51" s="11" t="s">
        <v>314</v>
      </c>
      <c r="C51" s="12"/>
      <c r="D51" s="268">
        <v>31</v>
      </c>
      <c r="E51" s="14"/>
      <c r="F51" s="481">
        <v>44763</v>
      </c>
      <c r="G51" s="272"/>
      <c r="H51" s="17" t="str">
        <f>D51-G51</f>
        <v>0</v>
      </c>
      <c r="I51" s="269"/>
      <c r="AMJ51" s="6"/>
    </row>
    <row r="52" spans="1:1024" customHeight="1" ht="18.6">
      <c r="A52" s="357"/>
      <c r="B52" s="11" t="s">
        <v>314</v>
      </c>
      <c r="C52" s="12"/>
      <c r="D52" s="268">
        <v>31</v>
      </c>
      <c r="E52" s="14"/>
      <c r="F52" s="481">
        <v>44763</v>
      </c>
      <c r="G52" s="272"/>
      <c r="H52" s="17" t="str">
        <f>D52-G52</f>
        <v>0</v>
      </c>
      <c r="I52" s="269"/>
      <c r="AMJ52" s="6"/>
    </row>
    <row r="53" spans="1:1024" customHeight="1" ht="18.6">
      <c r="A53" s="357"/>
      <c r="B53" s="11" t="s">
        <v>314</v>
      </c>
      <c r="C53" s="12" t="s">
        <v>325</v>
      </c>
      <c r="D53" s="274">
        <v>31</v>
      </c>
      <c r="E53" s="275" t="s">
        <v>326</v>
      </c>
      <c r="F53" s="481">
        <v>44763</v>
      </c>
      <c r="G53" s="277"/>
      <c r="H53" s="17" t="str">
        <f>D53-G53</f>
        <v>0</v>
      </c>
      <c r="I53" s="269"/>
      <c r="AMJ53" s="6"/>
    </row>
    <row r="54" spans="1:1024" customHeight="1" ht="18.6">
      <c r="A54" s="357"/>
      <c r="B54" s="11" t="s">
        <v>35</v>
      </c>
      <c r="C54" s="12" t="s">
        <v>572</v>
      </c>
      <c r="D54" s="268">
        <v>2219.29</v>
      </c>
      <c r="E54" s="14"/>
      <c r="F54" s="271">
        <v>44769</v>
      </c>
      <c r="G54" s="272"/>
      <c r="H54" s="17" t="str">
        <f>D54-G54</f>
        <v>0</v>
      </c>
      <c r="I54" s="269"/>
      <c r="AMJ54" s="6"/>
    </row>
    <row r="55" spans="1:1024" customHeight="1" ht="18.6">
      <c r="A55" s="357"/>
      <c r="B55" s="343" t="s">
        <v>329</v>
      </c>
      <c r="C55" s="12"/>
      <c r="D55" s="359">
        <v>2159.14</v>
      </c>
      <c r="E55" s="484" t="s">
        <v>667</v>
      </c>
      <c r="F55" s="271">
        <v>44769</v>
      </c>
      <c r="G55" s="485"/>
      <c r="H55" s="483" t="str">
        <f>D55-G55</f>
        <v>0</v>
      </c>
      <c r="I55" s="438"/>
      <c r="AMJ55" s="6"/>
    </row>
    <row r="56" spans="1:1024" customHeight="1" ht="18.6">
      <c r="A56" s="357"/>
      <c r="B56" s="11" t="s">
        <v>448</v>
      </c>
      <c r="C56" s="12" t="s">
        <v>449</v>
      </c>
      <c r="D56" s="274">
        <v>1188</v>
      </c>
      <c r="E56" s="275" t="s">
        <v>450</v>
      </c>
      <c r="F56" s="271">
        <v>44769</v>
      </c>
      <c r="G56" s="277"/>
      <c r="H56" s="17" t="str">
        <f>D56-G56</f>
        <v>0</v>
      </c>
      <c r="I56" s="269">
        <v>44677</v>
      </c>
      <c r="AMJ56" s="6"/>
    </row>
    <row r="57" spans="1:1024" customHeight="1" ht="18.6">
      <c r="A57" s="357"/>
      <c r="B57" s="11" t="s">
        <v>35</v>
      </c>
      <c r="C57" s="12" t="s">
        <v>892</v>
      </c>
      <c r="D57" s="268">
        <v>2219.29</v>
      </c>
      <c r="E57" s="14" t="s">
        <v>893</v>
      </c>
      <c r="F57" s="271">
        <v>44769</v>
      </c>
      <c r="G57" s="272"/>
      <c r="H57" s="17" t="str">
        <f>D57-G57</f>
        <v>0</v>
      </c>
      <c r="I57" s="269" t="s">
        <v>894</v>
      </c>
      <c r="AMJ57" s="6"/>
    </row>
    <row r="58" spans="1:1024" customHeight="1" ht="18.6">
      <c r="A58" s="357"/>
      <c r="B58" s="11" t="s">
        <v>668</v>
      </c>
      <c r="C58" s="12" t="s">
        <v>669</v>
      </c>
      <c r="D58" s="268">
        <v>34.43</v>
      </c>
      <c r="E58" s="14" t="s">
        <v>670</v>
      </c>
      <c r="F58" s="271">
        <v>44769</v>
      </c>
      <c r="G58" s="272"/>
      <c r="H58" s="17" t="str">
        <f>D58-G58</f>
        <v>0</v>
      </c>
      <c r="I58" s="438">
        <v>44676</v>
      </c>
      <c r="AMJ58" s="6"/>
    </row>
    <row r="59" spans="1:1024" customHeight="1" ht="18.6">
      <c r="A59" s="357"/>
      <c r="B59" s="11" t="s">
        <v>338</v>
      </c>
      <c r="C59" s="12" t="s">
        <v>339</v>
      </c>
      <c r="D59" s="268">
        <v>5283.09</v>
      </c>
      <c r="E59" s="14"/>
      <c r="F59" s="271">
        <v>44769</v>
      </c>
      <c r="G59" s="272"/>
      <c r="H59" s="17" t="str">
        <f>D59-G59</f>
        <v>0</v>
      </c>
      <c r="I59" s="269"/>
      <c r="AMJ59" s="6"/>
    </row>
    <row r="60" spans="1:1024" customHeight="1" ht="18.6">
      <c r="A60" s="357"/>
      <c r="B60" s="11"/>
      <c r="C60" s="12"/>
      <c r="D60" s="274"/>
      <c r="E60" s="275"/>
      <c r="F60" s="271"/>
      <c r="G60" s="277"/>
      <c r="H60" s="17"/>
      <c r="I60" s="269"/>
      <c r="AMJ60" s="6"/>
    </row>
    <row r="61" spans="1:1024" customHeight="1" ht="18.6">
      <c r="A61" s="357"/>
      <c r="B61" s="280"/>
      <c r="C61" s="12"/>
      <c r="D61" s="369"/>
      <c r="E61" s="275"/>
      <c r="F61" s="276"/>
      <c r="G61" s="277"/>
      <c r="H61" s="17"/>
      <c r="I61" s="269"/>
      <c r="AMJ61" s="6"/>
    </row>
    <row r="62" spans="1:1024" customHeight="1" ht="18.6">
      <c r="A62" s="357"/>
      <c r="B62" s="11"/>
      <c r="C62" s="12"/>
      <c r="D62" s="274"/>
      <c r="E62" s="275"/>
      <c r="F62" s="276"/>
      <c r="G62" s="277"/>
      <c r="H62" s="17"/>
      <c r="I62" s="269"/>
      <c r="AMJ62" s="6"/>
    </row>
    <row r="63" spans="1:1024" customHeight="1" ht="18.6">
      <c r="A63" s="357"/>
      <c r="B63" s="11" t="s">
        <v>119</v>
      </c>
      <c r="C63" s="12" t="s">
        <v>928</v>
      </c>
      <c r="D63" s="268">
        <v>99.6</v>
      </c>
      <c r="E63" s="275"/>
      <c r="F63" s="276">
        <v>44793</v>
      </c>
      <c r="G63" s="277"/>
      <c r="H63" s="17" t="str">
        <f>#REF!-G63</f>
        <v>0</v>
      </c>
      <c r="I63" s="328"/>
      <c r="AMJ63" s="6"/>
    </row>
    <row r="64" spans="1:1024" customHeight="1" ht="18.6">
      <c r="A64" s="357"/>
      <c r="B64" s="280"/>
      <c r="C64" s="12"/>
      <c r="D64" s="369"/>
      <c r="E64" s="275"/>
      <c r="F64" s="276"/>
      <c r="G64" s="277"/>
      <c r="H64" s="17" t="str">
        <f>D64-G64</f>
        <v>0</v>
      </c>
      <c r="I64" s="372"/>
      <c r="AMJ64" s="6"/>
    </row>
    <row r="65" spans="1:1024" customHeight="1" ht="18.6">
      <c r="A65" s="357"/>
      <c r="B65" s="373"/>
      <c r="C65" s="12"/>
      <c r="D65" s="369"/>
      <c r="E65" s="275"/>
      <c r="F65" s="276"/>
      <c r="G65" s="277"/>
      <c r="H65" s="17" t="str">
        <f>D65-G65</f>
        <v>0</v>
      </c>
      <c r="I65" s="372"/>
      <c r="AMJ65" s="6"/>
    </row>
    <row r="66" spans="1:1024" customHeight="1" ht="18.6">
      <c r="A66" s="357"/>
      <c r="B66" s="280"/>
      <c r="C66" s="12"/>
      <c r="D66" s="369"/>
      <c r="E66" s="275"/>
      <c r="F66" s="276"/>
      <c r="G66" s="277"/>
      <c r="H66" s="17" t="str">
        <f>D66-G66</f>
        <v>0</v>
      </c>
      <c r="I66" s="372"/>
      <c r="AMJ66" s="6"/>
    </row>
    <row r="67" spans="1:1024" customHeight="1" ht="18.6">
      <c r="A67" s="357"/>
      <c r="B67" s="280" t="s">
        <v>923</v>
      </c>
      <c r="C67" s="12"/>
      <c r="D67" s="369">
        <v>40000</v>
      </c>
      <c r="E67" s="275"/>
      <c r="F67" s="276"/>
      <c r="G67" s="277"/>
      <c r="H67" s="17" t="str">
        <f>D67-G67</f>
        <v>0</v>
      </c>
      <c r="I67" s="269"/>
      <c r="AMJ67" s="6"/>
    </row>
    <row r="68" spans="1:1024" customHeight="1" ht="18.6">
      <c r="A68" s="357"/>
      <c r="B68" s="11"/>
      <c r="C68" s="12"/>
      <c r="D68" s="268"/>
      <c r="E68" s="14"/>
      <c r="F68" s="271"/>
      <c r="G68" s="270"/>
      <c r="H68" s="17" t="str">
        <f>D68-G68</f>
        <v>0</v>
      </c>
      <c r="I68" s="269"/>
      <c r="AMJ68" s="6"/>
    </row>
    <row r="69" spans="1:1024" customHeight="1" ht="18.6">
      <c r="A69" s="357"/>
      <c r="B69" s="22"/>
      <c r="C69" s="23"/>
      <c r="D69" s="23"/>
      <c r="E69" s="24"/>
      <c r="F69" s="25"/>
      <c r="G69" s="26"/>
      <c r="H69" s="17" t="str">
        <f>D69-G69</f>
        <v>0</v>
      </c>
      <c r="I69" s="375"/>
      <c r="AMJ69" s="6"/>
    </row>
    <row r="70" spans="1:1024" customHeight="1" ht="18.6">
      <c r="A70" s="357"/>
      <c r="B70" s="28" t="s">
        <v>35</v>
      </c>
      <c r="C70" s="22"/>
      <c r="D70" s="29" t="str">
        <f>SUM(D30:D67)</f>
        <v>0</v>
      </c>
      <c r="E70" s="24"/>
      <c r="F70" s="25"/>
      <c r="G70" s="26"/>
      <c r="H70" s="30" t="str">
        <f>+SUM(H30:H62)</f>
        <v>0</v>
      </c>
      <c r="I70" s="429"/>
      <c r="AMJ70" s="6"/>
    </row>
    <row r="71" spans="1:1024" customHeight="1" ht="18.6">
      <c r="A71" s="376"/>
      <c r="B71" s="322" t="s">
        <v>554</v>
      </c>
      <c r="C71" s="12"/>
      <c r="D71" s="268">
        <v>1100</v>
      </c>
      <c r="E71" s="14" t="s">
        <v>555</v>
      </c>
      <c r="F71" s="271">
        <v>44748</v>
      </c>
      <c r="G71" s="270"/>
      <c r="H71" s="17" t="str">
        <f>D71-G71</f>
        <v>0</v>
      </c>
      <c r="I71" s="267"/>
      <c r="AMJ71" s="6"/>
    </row>
    <row r="72" spans="1:1024" customHeight="1" ht="18.6">
      <c r="A72" s="376"/>
      <c r="B72" s="380" t="s">
        <v>559</v>
      </c>
      <c r="C72" s="381"/>
      <c r="D72" s="382">
        <v>500</v>
      </c>
      <c r="E72" s="489" t="s">
        <v>462</v>
      </c>
      <c r="F72" s="271">
        <v>44748</v>
      </c>
      <c r="G72" s="490"/>
      <c r="H72" s="17" t="str">
        <f>D72-G72</f>
        <v>0</v>
      </c>
      <c r="I72" s="491"/>
      <c r="AMJ72" s="6"/>
    </row>
    <row r="73" spans="1:1024" customHeight="1" ht="18.6">
      <c r="A73" s="376"/>
      <c r="B73" s="387" t="s">
        <v>686</v>
      </c>
      <c r="C73" s="388"/>
      <c r="D73" s="382">
        <v>2100</v>
      </c>
      <c r="E73" s="489" t="s">
        <v>688</v>
      </c>
      <c r="F73" s="271">
        <v>44748</v>
      </c>
      <c r="G73" s="492"/>
      <c r="H73" s="17" t="str">
        <f>D73-G73</f>
        <v>0</v>
      </c>
      <c r="I73" s="493"/>
      <c r="AMJ73" s="6"/>
    </row>
    <row r="74" spans="1:1024" customHeight="1" ht="18.6">
      <c r="A74" s="376"/>
      <c r="B74" s="387" t="s">
        <v>768</v>
      </c>
      <c r="C74" s="388"/>
      <c r="D74" s="382">
        <v>600</v>
      </c>
      <c r="E74" s="489" t="s">
        <v>769</v>
      </c>
      <c r="F74" s="271">
        <v>44748</v>
      </c>
      <c r="G74" s="492"/>
      <c r="H74" s="17" t="str">
        <f>D74-G74</f>
        <v>0</v>
      </c>
      <c r="I74" s="493"/>
      <c r="AMJ74" s="6"/>
    </row>
    <row r="75" spans="1:1024" customHeight="1" ht="18.6">
      <c r="A75" s="376"/>
      <c r="B75" s="322" t="s">
        <v>589</v>
      </c>
      <c r="C75" s="323"/>
      <c r="D75" s="268">
        <v>61155.18</v>
      </c>
      <c r="E75" s="14"/>
      <c r="F75" s="271">
        <v>44804</v>
      </c>
      <c r="G75" s="277"/>
      <c r="H75" s="17" t="str">
        <f>D75-G75</f>
        <v>0</v>
      </c>
      <c r="I75" s="325"/>
      <c r="AMJ75" s="6"/>
    </row>
    <row r="76" spans="1:1024" customHeight="1" ht="18.6">
      <c r="A76" s="376"/>
      <c r="B76" s="322"/>
      <c r="C76" s="323"/>
      <c r="D76" s="268"/>
      <c r="E76" s="14"/>
      <c r="F76" s="271"/>
      <c r="G76" s="277"/>
      <c r="H76" s="17" t="str">
        <f>D76-G76</f>
        <v>0</v>
      </c>
      <c r="I76" s="328"/>
      <c r="AMJ76" s="6"/>
    </row>
    <row r="77" spans="1:1024" customHeight="1" ht="18.6">
      <c r="A77" s="376"/>
      <c r="B77" s="322"/>
      <c r="C77" s="12"/>
      <c r="D77" s="329"/>
      <c r="E77" s="14"/>
      <c r="F77" s="271"/>
      <c r="G77" s="16"/>
      <c r="H77" s="17" t="str">
        <f>D77-G77</f>
        <v>0</v>
      </c>
      <c r="I77" s="325"/>
      <c r="AMJ77" s="6"/>
    </row>
    <row r="78" spans="1:1024" customHeight="1" ht="18.6">
      <c r="A78" s="376"/>
      <c r="B78" s="11"/>
      <c r="C78" s="12"/>
      <c r="D78" s="268"/>
      <c r="E78" s="14"/>
      <c r="F78" s="271"/>
      <c r="G78" s="270"/>
      <c r="H78" s="17" t="str">
        <f>D78-G78</f>
        <v>0</v>
      </c>
      <c r="I78" s="269"/>
      <c r="AMJ78" s="6"/>
    </row>
    <row r="79" spans="1:1024" customHeight="1" ht="18.6">
      <c r="A79" s="376"/>
      <c r="B79" s="297"/>
      <c r="C79" s="12"/>
      <c r="D79" s="268"/>
      <c r="E79" s="14"/>
      <c r="F79" s="271"/>
      <c r="G79" s="270"/>
      <c r="H79" s="17" t="str">
        <f>D79-G79</f>
        <v>0</v>
      </c>
      <c r="I79" s="267"/>
      <c r="AMJ79" s="6"/>
    </row>
    <row r="80" spans="1:1024" customHeight="1" ht="18.6">
      <c r="A80" s="376"/>
      <c r="B80" s="297"/>
      <c r="C80" s="12"/>
      <c r="D80" s="268"/>
      <c r="E80" s="465"/>
      <c r="F80" s="271"/>
      <c r="G80" s="270"/>
      <c r="H80" s="17" t="str">
        <f>D80-G80</f>
        <v>0</v>
      </c>
      <c r="I80" s="269"/>
      <c r="AMJ80" s="6"/>
    </row>
    <row r="81" spans="1:1024" customHeight="1" ht="18.6">
      <c r="A81" s="376"/>
      <c r="B81" s="297"/>
      <c r="C81" s="12"/>
      <c r="D81" s="268"/>
      <c r="E81" s="14"/>
      <c r="F81" s="271"/>
      <c r="G81" s="270"/>
      <c r="H81" s="17" t="str">
        <f>D81-G81</f>
        <v>0</v>
      </c>
      <c r="I81" s="267"/>
      <c r="AMJ81" s="6"/>
    </row>
    <row r="82" spans="1:1024" customHeight="1" ht="18.6">
      <c r="A82" s="376"/>
      <c r="B82" s="297"/>
      <c r="C82" s="12"/>
      <c r="D82" s="268"/>
      <c r="E82" s="14"/>
      <c r="F82" s="271"/>
      <c r="G82" s="270"/>
      <c r="H82" s="17" t="str">
        <f>D82-G82</f>
        <v>0</v>
      </c>
      <c r="I82" s="267"/>
      <c r="AMJ82" s="6"/>
    </row>
    <row r="83" spans="1:1024" customHeight="1" ht="18.6">
      <c r="A83" s="376"/>
      <c r="B83" s="322"/>
      <c r="C83" s="323"/>
      <c r="D83" s="268"/>
      <c r="E83" s="14"/>
      <c r="F83" s="324"/>
      <c r="G83" s="270"/>
      <c r="H83" s="17" t="str">
        <f>D83-G83</f>
        <v>0</v>
      </c>
      <c r="I83" s="325"/>
      <c r="AMJ83" s="6"/>
    </row>
    <row r="84" spans="1:1024" customHeight="1" ht="18.6">
      <c r="A84" s="376"/>
      <c r="B84" s="322"/>
      <c r="C84" s="323"/>
      <c r="D84" s="268"/>
      <c r="E84" s="14"/>
      <c r="F84" s="324"/>
      <c r="G84" s="270"/>
      <c r="H84" s="17" t="str">
        <f>D84-G84</f>
        <v>0</v>
      </c>
      <c r="I84" s="325"/>
      <c r="AMJ84" s="6"/>
    </row>
    <row r="85" spans="1:1024" customHeight="1" ht="18.6">
      <c r="A85" s="376"/>
      <c r="B85" s="322"/>
      <c r="C85" s="323"/>
      <c r="D85" s="268"/>
      <c r="E85" s="14"/>
      <c r="F85" s="324"/>
      <c r="G85" s="270"/>
      <c r="H85" s="17" t="str">
        <f>D85-G85</f>
        <v>0</v>
      </c>
      <c r="I85" s="325"/>
      <c r="AMJ85" s="6"/>
    </row>
    <row r="86" spans="1:1024" customHeight="1" ht="18.6">
      <c r="A86" s="376"/>
      <c r="B86" s="322"/>
      <c r="C86" s="323"/>
      <c r="D86" s="268"/>
      <c r="E86" s="14"/>
      <c r="F86" s="324"/>
      <c r="G86" s="270"/>
      <c r="H86" s="17" t="str">
        <f>D86-G86</f>
        <v>0</v>
      </c>
      <c r="I86" s="325"/>
      <c r="AMJ86" s="6"/>
    </row>
    <row r="87" spans="1:1024" customHeight="1" ht="20.25">
      <c r="A87" s="376"/>
      <c r="B87" s="322"/>
      <c r="C87" s="323"/>
      <c r="D87" s="268"/>
      <c r="E87" s="14"/>
      <c r="F87" s="324"/>
      <c r="G87" s="270"/>
      <c r="H87" s="17" t="str">
        <f>D87-G87</f>
        <v>0</v>
      </c>
      <c r="I87" s="325"/>
      <c r="AMJ87" s="6"/>
    </row>
    <row r="88" spans="1:1024" customHeight="1" ht="20.25">
      <c r="A88" s="376"/>
      <c r="B88" s="322"/>
      <c r="C88" s="323"/>
      <c r="D88" s="268"/>
      <c r="E88" s="14"/>
      <c r="F88" s="324"/>
      <c r="G88" s="270"/>
      <c r="H88" s="17" t="str">
        <f>D88-G88</f>
        <v>0</v>
      </c>
      <c r="I88" s="325"/>
      <c r="AMJ88" s="6"/>
    </row>
    <row r="89" spans="1:1024" customHeight="1" ht="20.25">
      <c r="A89" s="376"/>
      <c r="B89" s="322"/>
      <c r="C89" s="323"/>
      <c r="D89" s="268"/>
      <c r="E89" s="14"/>
      <c r="F89" s="324"/>
      <c r="G89" s="272"/>
      <c r="H89" s="17" t="str">
        <f>D89-G89</f>
        <v>0</v>
      </c>
      <c r="I89" s="325"/>
      <c r="AMJ89" s="6"/>
    </row>
    <row r="90" spans="1:1024" customHeight="1" ht="20.25">
      <c r="A90" s="376"/>
      <c r="B90" s="322"/>
      <c r="C90" s="323"/>
      <c r="D90" s="268"/>
      <c r="E90" s="14"/>
      <c r="F90" s="324"/>
      <c r="G90" s="272"/>
      <c r="H90" s="17" t="str">
        <f>D90-G90</f>
        <v>0</v>
      </c>
      <c r="I90" s="325"/>
      <c r="AMJ90" s="6"/>
    </row>
    <row r="91" spans="1:1024" customHeight="1" ht="20.25">
      <c r="A91" s="376"/>
      <c r="B91" s="322"/>
      <c r="C91" s="323"/>
      <c r="D91" s="268"/>
      <c r="E91" s="14"/>
      <c r="F91" s="324"/>
      <c r="G91" s="272"/>
      <c r="H91" s="17" t="str">
        <f>D91-G91</f>
        <v>0</v>
      </c>
      <c r="I91" s="328"/>
      <c r="AMJ91" s="6"/>
    </row>
    <row r="92" spans="1:1024" customHeight="1" ht="20.25">
      <c r="A92" s="376"/>
      <c r="B92" s="322"/>
      <c r="C92" s="323"/>
      <c r="D92" s="268"/>
      <c r="E92" s="14"/>
      <c r="F92" s="324"/>
      <c r="G92" s="272"/>
      <c r="H92" s="17" t="str">
        <f>D92-G92</f>
        <v>0</v>
      </c>
      <c r="I92" s="325"/>
      <c r="AMJ92" s="6"/>
    </row>
    <row r="93" spans="1:1024" customHeight="1" ht="20.25">
      <c r="A93" s="376"/>
      <c r="B93" s="322"/>
      <c r="C93" s="323"/>
      <c r="D93" s="268"/>
      <c r="E93" s="14"/>
      <c r="F93" s="324"/>
      <c r="G93" s="272"/>
      <c r="H93" s="17" t="str">
        <f>D93-G93</f>
        <v>0</v>
      </c>
      <c r="I93" s="328"/>
      <c r="AMJ93" s="6"/>
    </row>
    <row r="94" spans="1:1024" customHeight="1" ht="20.25">
      <c r="A94" s="376"/>
      <c r="B94" s="322"/>
      <c r="C94" s="323"/>
      <c r="D94" s="268"/>
      <c r="E94" s="330"/>
      <c r="F94" s="324"/>
      <c r="G94" s="272"/>
      <c r="H94" s="17" t="str">
        <f>D94-G94</f>
        <v>0</v>
      </c>
      <c r="I94" s="328"/>
      <c r="AMJ94" s="6"/>
    </row>
    <row r="95" spans="1:1024" customHeight="1" ht="20.25">
      <c r="A95" s="376"/>
      <c r="B95" s="297"/>
      <c r="C95" s="12"/>
      <c r="D95" s="268"/>
      <c r="E95" s="14"/>
      <c r="F95" s="271"/>
      <c r="G95" s="272"/>
      <c r="H95" s="17" t="str">
        <f>D95-G95</f>
        <v>0</v>
      </c>
      <c r="I95" s="267"/>
      <c r="AMJ95" s="6"/>
    </row>
    <row r="96" spans="1:1024" customHeight="1" ht="20.25">
      <c r="A96" s="376"/>
      <c r="B96" s="322"/>
      <c r="C96" s="323"/>
      <c r="D96" s="268"/>
      <c r="E96" s="237"/>
      <c r="F96" s="324"/>
      <c r="G96" s="272"/>
      <c r="H96" s="17" t="str">
        <f>D96-G96</f>
        <v>0</v>
      </c>
      <c r="I96" s="328"/>
      <c r="AMJ96" s="6"/>
    </row>
    <row r="97" spans="1:1024" customHeight="1" ht="20.25">
      <c r="A97" s="376"/>
      <c r="B97" s="322"/>
      <c r="C97" s="323"/>
      <c r="D97" s="268"/>
      <c r="E97" s="330"/>
      <c r="F97" s="324"/>
      <c r="G97" s="272"/>
      <c r="H97" s="17"/>
      <c r="I97" s="325"/>
      <c r="AMJ97" s="6"/>
    </row>
    <row r="98" spans="1:1024" customHeight="1" ht="20.25">
      <c r="A98" s="376"/>
      <c r="B98" s="322"/>
      <c r="C98" s="323"/>
      <c r="D98" s="268"/>
      <c r="E98" s="330"/>
      <c r="F98" s="324"/>
      <c r="G98" s="272"/>
      <c r="H98" s="17" t="str">
        <f>D98-G98</f>
        <v>0</v>
      </c>
      <c r="I98" s="325"/>
      <c r="AMJ98" s="6"/>
    </row>
    <row r="99" spans="1:1024" customHeight="1" ht="20.25">
      <c r="A99" s="376"/>
      <c r="B99" s="322"/>
      <c r="C99" s="323"/>
      <c r="D99" s="268"/>
      <c r="E99" s="330"/>
      <c r="F99" s="324"/>
      <c r="G99" s="272"/>
      <c r="H99" s="17" t="str">
        <f>D99-G99</f>
        <v>0</v>
      </c>
      <c r="I99" s="325"/>
      <c r="AMJ99" s="6"/>
    </row>
    <row r="100" spans="1:1024" customHeight="1" ht="18.6">
      <c r="A100" s="376"/>
      <c r="B100" s="311" t="s">
        <v>35</v>
      </c>
      <c r="C100" s="312"/>
      <c r="D100" s="313" t="str">
        <f>SUM(D71:D99)</f>
        <v>0</v>
      </c>
      <c r="E100" s="314"/>
      <c r="F100" s="315"/>
      <c r="G100" s="316"/>
      <c r="H100" s="295" t="str">
        <f>+SUM(H71:H91)</f>
        <v>0</v>
      </c>
      <c r="I100" s="296"/>
      <c r="AMJ100" s="6"/>
    </row>
    <row r="101" spans="1:1024" customHeight="1" ht="21">
      <c r="A101" s="331"/>
      <c r="B101" s="31"/>
      <c r="C101" s="32"/>
      <c r="D101" s="33"/>
      <c r="E101" s="34"/>
      <c r="AMJ101" s="6"/>
    </row>
    <row r="102" spans="1:1024" customHeight="1" ht="21">
      <c r="A102" s="332" t="s">
        <v>388</v>
      </c>
      <c r="B102" s="35"/>
      <c r="C102" s="333"/>
      <c r="D102" s="334" t="str">
        <f>+SUM(D100+D70+D29)</f>
        <v>0</v>
      </c>
      <c r="H102" s="334" t="str">
        <f>+SUM(H100+H70+H29)</f>
        <v>0</v>
      </c>
      <c r="AMJ102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8"/>
    <mergeCell ref="K9:M9"/>
    <mergeCell ref="K11:L11"/>
    <mergeCell ref="K14:M14"/>
    <mergeCell ref="K17:M17"/>
    <mergeCell ref="A30:A70"/>
    <mergeCell ref="A71:A100"/>
  </mergeCells>
  <conditionalFormatting sqref="H100">
    <cfRule type="expression" dxfId="0" priority="1">
      <formula>MOD(ROW(),2)=1</formula>
    </cfRule>
  </conditionalFormatting>
  <conditionalFormatting sqref="I95">
    <cfRule type="expression" dxfId="0" priority="2">
      <formula>MOD(ROW(),2)=1</formula>
    </cfRule>
  </conditionalFormatting>
  <conditionalFormatting sqref="B94:G100">
    <cfRule type="expression" dxfId="0" priority="3">
      <formula>MOD(ROW(),2)=1</formula>
    </cfRule>
  </conditionalFormatting>
  <conditionalFormatting sqref="F83:G93">
    <cfRule type="expression" dxfId="0" priority="4">
      <formula>MOD(ROW(),2)=1</formula>
    </cfRule>
  </conditionalFormatting>
  <conditionalFormatting sqref="E83:E93">
    <cfRule type="expression" dxfId="0" priority="5">
      <formula>MOD(ROW(),2)=1</formula>
    </cfRule>
  </conditionalFormatting>
  <conditionalFormatting sqref="B83:D93">
    <cfRule type="expression" dxfId="0" priority="6">
      <formula>MOD(ROW(),2)=1</formula>
    </cfRule>
  </conditionalFormatting>
  <conditionalFormatting sqref="B79:G82">
    <cfRule type="expression" dxfId="0" priority="7">
      <formula>MOD(ROW(),2)=1</formula>
    </cfRule>
  </conditionalFormatting>
  <conditionalFormatting sqref="E78">
    <cfRule type="expression" dxfId="0" priority="8">
      <formula>MOD(ROW(),2)=1</formula>
    </cfRule>
  </conditionalFormatting>
  <conditionalFormatting sqref="B78:D78">
    <cfRule type="expression" dxfId="0" priority="9">
      <formula>MOD(ROW(),2)=1</formula>
    </cfRule>
  </conditionalFormatting>
  <conditionalFormatting sqref="E77">
    <cfRule type="expression" dxfId="0" priority="10">
      <formula>MOD(ROW(),2)=1</formula>
    </cfRule>
  </conditionalFormatting>
  <conditionalFormatting sqref="C76:D77">
    <cfRule type="expression" dxfId="0" priority="11">
      <formula>MOD(ROW(),2)=1</formula>
    </cfRule>
  </conditionalFormatting>
  <conditionalFormatting sqref="B76:B77">
    <cfRule type="expression" dxfId="0" priority="12">
      <formula>MOD(ROW(),2)=1</formula>
    </cfRule>
  </conditionalFormatting>
  <conditionalFormatting sqref="E74:E76">
    <cfRule type="expression" dxfId="0" priority="13">
      <formula>MOD(ROW(),2)=1</formula>
    </cfRule>
  </conditionalFormatting>
  <conditionalFormatting sqref="B74:D75">
    <cfRule type="expression" dxfId="0" priority="14">
      <formula>MOD(ROW(),2)=1</formula>
    </cfRule>
  </conditionalFormatting>
  <conditionalFormatting sqref="B72:E73">
    <cfRule type="expression" dxfId="0" priority="15">
      <formula>MOD(ROW(),2)=1</formula>
    </cfRule>
  </conditionalFormatting>
  <conditionalFormatting sqref="I71:I100">
    <cfRule type="expression" dxfId="0" priority="16">
      <formula>MOD(ROW(),2)=1</formula>
    </cfRule>
  </conditionalFormatting>
  <conditionalFormatting sqref="H71:H99">
    <cfRule type="expression" dxfId="0" priority="17">
      <formula>MOD(ROW(),2)=1</formula>
    </cfRule>
  </conditionalFormatting>
  <conditionalFormatting sqref="F71:G78">
    <cfRule type="expression" dxfId="0" priority="18">
      <formula>MOD(ROW(),2)=1</formula>
    </cfRule>
  </conditionalFormatting>
  <conditionalFormatting sqref="C71:E71">
    <cfRule type="expression" dxfId="0" priority="19">
      <formula>MOD(ROW(),2)=1</formula>
    </cfRule>
  </conditionalFormatting>
  <conditionalFormatting sqref="B71">
    <cfRule type="expression" dxfId="0" priority="20">
      <formula>MOD(ROW(),2)=1</formula>
    </cfRule>
  </conditionalFormatting>
  <conditionalFormatting sqref="I70">
    <cfRule type="expression" dxfId="0" priority="21">
      <formula>MOD(ROW(),2)=1</formula>
    </cfRule>
    <cfRule type="expression" dxfId="0" priority="22">
      <formula>MOD(ROW(),2)=1</formula>
    </cfRule>
  </conditionalFormatting>
  <conditionalFormatting sqref="H70">
    <cfRule type="expression" dxfId="0" priority="23">
      <formula>MOD(ROW(),2)=1</formula>
    </cfRule>
  </conditionalFormatting>
  <conditionalFormatting sqref="I69">
    <cfRule type="expression" dxfId="0" priority="24">
      <formula>MOD(ROW(),2)=1</formula>
    </cfRule>
  </conditionalFormatting>
  <conditionalFormatting sqref="F69:G100">
    <cfRule type="cellIs" dxfId="3" priority="25" operator="lessThan">
      <formula>TODAY()</formula>
    </cfRule>
    <cfRule type="timePeriod" dxfId="1" priority="26" timePeriod="last7Days">
      <formula/>
    </cfRule>
    <cfRule type="timePeriod" dxfId="1" priority="27" timePeriod="yesterday">
      <formula/>
    </cfRule>
    <cfRule type="timePeriod" dxfId="1" priority="28" timePeriod="lastMonth">
      <formula/>
    </cfRule>
    <cfRule type="timePeriod" dxfId="1" priority="29" timePeriod="yesterday">
      <formula/>
    </cfRule>
    <cfRule type="timePeriod" dxfId="1" priority="30" timePeriod="today">
      <formula/>
    </cfRule>
  </conditionalFormatting>
  <conditionalFormatting sqref="B69:G70">
    <cfRule type="expression" dxfId="0" priority="31">
      <formula>MOD(ROW(),2)=1</formula>
    </cfRule>
  </conditionalFormatting>
  <conditionalFormatting sqref="I68">
    <cfRule type="expression" dxfId="0" priority="32">
      <formula>MOD(ROW(),2)=1</formula>
    </cfRule>
  </conditionalFormatting>
  <conditionalFormatting sqref="F68:G68">
    <cfRule type="cellIs" dxfId="3" priority="33" operator="lessThan">
      <formula>TODAY()</formula>
    </cfRule>
    <cfRule type="timePeriod" dxfId="1" priority="34" timePeriod="last7Days">
      <formula/>
    </cfRule>
    <cfRule type="timePeriod" dxfId="1" priority="35" timePeriod="yesterday">
      <formula/>
    </cfRule>
    <cfRule type="timePeriod" dxfId="1" priority="36" timePeriod="lastMonth">
      <formula/>
    </cfRule>
    <cfRule type="timePeriod" dxfId="1" priority="37" timePeriod="yesterday">
      <formula/>
    </cfRule>
    <cfRule type="timePeriod" dxfId="1" priority="38" timePeriod="today">
      <formula/>
    </cfRule>
  </conditionalFormatting>
  <conditionalFormatting sqref="E68">
    <cfRule type="expression" dxfId="0" priority="39">
      <formula>MOD(ROW(),2)=1</formula>
    </cfRule>
  </conditionalFormatting>
  <conditionalFormatting sqref="B68:D68">
    <cfRule type="expression" dxfId="0" priority="40">
      <formula>MOD(ROW(),2)=1</formula>
    </cfRule>
  </conditionalFormatting>
  <conditionalFormatting sqref="I67">
    <cfRule type="expression" dxfId="0" priority="41">
      <formula>MOD(ROW(),2)=1</formula>
    </cfRule>
  </conditionalFormatting>
  <conditionalFormatting sqref="F67:G67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B67:G67">
    <cfRule type="expression" dxfId="0" priority="48">
      <formula>MOD(ROW(),2)=1</formula>
    </cfRule>
  </conditionalFormatting>
  <conditionalFormatting sqref="B64:G66">
    <cfRule type="expression" dxfId="0" priority="49">
      <formula>MOD(ROW(),2)=1</formula>
    </cfRule>
  </conditionalFormatting>
  <conditionalFormatting sqref="E63:G63">
    <cfRule type="expression" dxfId="0" priority="50">
      <formula>MOD(ROW(),2)=1</formula>
    </cfRule>
  </conditionalFormatting>
  <conditionalFormatting sqref="B63:D63">
    <cfRule type="expression" dxfId="0" priority="51">
      <formula>MOD(ROW(),2)=1</formula>
    </cfRule>
  </conditionalFormatting>
  <conditionalFormatting sqref="I61:I66">
    <cfRule type="expression" dxfId="0" priority="52">
      <formula>MOD(ROW(),2)=1</formula>
    </cfRule>
  </conditionalFormatting>
  <conditionalFormatting sqref="F61:G66">
    <cfRule type="cellIs" dxfId="3" priority="53" operator="lessThan">
      <formula>TODAY()</formula>
    </cfRule>
    <cfRule type="timePeriod" dxfId="1" priority="54" timePeriod="last7Days">
      <formula/>
    </cfRule>
    <cfRule type="timePeriod" dxfId="1" priority="55" timePeriod="yesterday">
      <formula/>
    </cfRule>
    <cfRule type="timePeriod" dxfId="1" priority="56" timePeriod="lastMonth">
      <formula/>
    </cfRule>
    <cfRule type="timePeriod" dxfId="1" priority="57" timePeriod="yesterday">
      <formula/>
    </cfRule>
    <cfRule type="timePeriod" dxfId="1" priority="58" timePeriod="today">
      <formula/>
    </cfRule>
  </conditionalFormatting>
  <conditionalFormatting sqref="B61:G62">
    <cfRule type="expression" dxfId="0" priority="59">
      <formula>MOD(ROW(),2)=1</formula>
    </cfRule>
  </conditionalFormatting>
  <conditionalFormatting sqref="I59:I60">
    <cfRule type="expression" dxfId="0" priority="60">
      <formula>MOD(ROW(),2)=1</formula>
    </cfRule>
  </conditionalFormatting>
  <conditionalFormatting sqref="G59:G60">
    <cfRule type="cellIs" dxfId="3" priority="61" operator="lessThan">
      <formula>TODAY()</formula>
    </cfRule>
    <cfRule type="timePeriod" dxfId="1" priority="62" timePeriod="last7Days">
      <formula/>
    </cfRule>
    <cfRule type="timePeriod" dxfId="1" priority="63" timePeriod="yesterday">
      <formula/>
    </cfRule>
    <cfRule type="timePeriod" dxfId="1" priority="64" timePeriod="lastMonth">
      <formula/>
    </cfRule>
    <cfRule type="timePeriod" dxfId="1" priority="65" timePeriod="yesterday">
      <formula/>
    </cfRule>
    <cfRule type="timePeriod" dxfId="1" priority="66" timePeriod="today">
      <formula/>
    </cfRule>
  </conditionalFormatting>
  <conditionalFormatting sqref="D59:E60">
    <cfRule type="expression" dxfId="0" priority="67">
      <formula>MOD(ROW(),2)=1</formula>
    </cfRule>
  </conditionalFormatting>
  <conditionalFormatting sqref="B59:C60">
    <cfRule type="expression" dxfId="0" priority="68">
      <formula>MOD(ROW(),2)=1</formula>
    </cfRule>
  </conditionalFormatting>
  <conditionalFormatting sqref="I58">
    <cfRule type="expression" dxfId="0" priority="69">
      <formula>MOD(ROW(),2)=1</formula>
    </cfRule>
  </conditionalFormatting>
  <conditionalFormatting sqref="I57">
    <cfRule type="expression" dxfId="0" priority="70">
      <formula>MOD(ROW(),2)=1</formula>
    </cfRule>
  </conditionalFormatting>
  <conditionalFormatting sqref="G57:G58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B57:E58">
    <cfRule type="expression" dxfId="0" priority="77">
      <formula>MOD(ROW(),2)=1</formula>
    </cfRule>
  </conditionalFormatting>
  <conditionalFormatting sqref="I55:I56">
    <cfRule type="expression" dxfId="0" priority="78">
      <formula>MOD(ROW(),2)=1</formula>
    </cfRule>
  </conditionalFormatting>
  <conditionalFormatting sqref="G55:G56">
    <cfRule type="cellIs" dxfId="3" priority="79" operator="lessThan">
      <formula>TODAY()</formula>
    </cfRule>
    <cfRule type="timePeriod" dxfId="1" priority="80" timePeriod="last7Days">
      <formula/>
    </cfRule>
    <cfRule type="timePeriod" dxfId="1" priority="81" timePeriod="yesterday">
      <formula/>
    </cfRule>
    <cfRule type="timePeriod" dxfId="1" priority="82" timePeriod="lastMonth">
      <formula/>
    </cfRule>
    <cfRule type="timePeriod" dxfId="1" priority="83" timePeriod="yesterday">
      <formula/>
    </cfRule>
    <cfRule type="timePeriod" dxfId="1" priority="84" timePeriod="today">
      <formula/>
    </cfRule>
  </conditionalFormatting>
  <conditionalFormatting sqref="F55:F60">
    <cfRule type="expression" dxfId="0" priority="85">
      <formula>MOD(ROW(),2)=1</formula>
    </cfRule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D55:E56">
    <cfRule type="expression" dxfId="0" priority="92">
      <formula>MOD(ROW(),2)=1</formula>
    </cfRule>
  </conditionalFormatting>
  <conditionalFormatting sqref="B55:C56">
    <cfRule type="expression" dxfId="0" priority="93">
      <formula>MOD(ROW(),2)=1</formula>
    </cfRule>
  </conditionalFormatting>
  <conditionalFormatting sqref="I54">
    <cfRule type="expression" dxfId="0" priority="94">
      <formula>MOD(ROW(),2)=1</formula>
    </cfRule>
  </conditionalFormatting>
  <conditionalFormatting sqref="F54:G54">
    <cfRule type="cellIs" dxfId="3" priority="95" operator="lessThan">
      <formula>TODAY()</formula>
    </cfRule>
    <cfRule type="timePeriod" dxfId="1" priority="96" timePeriod="last7Days">
      <formula/>
    </cfRule>
    <cfRule type="timePeriod" dxfId="1" priority="97" timePeriod="yesterday">
      <formula/>
    </cfRule>
    <cfRule type="timePeriod" dxfId="1" priority="98" timePeriod="lastMonth">
      <formula/>
    </cfRule>
    <cfRule type="timePeriod" dxfId="1" priority="99" timePeriod="yesterday">
      <formula/>
    </cfRule>
    <cfRule type="timePeriod" dxfId="1" priority="100" timePeriod="today">
      <formula/>
    </cfRule>
  </conditionalFormatting>
  <conditionalFormatting sqref="B54:G54">
    <cfRule type="expression" dxfId="0" priority="101">
      <formula>MOD(ROW(),2)=1</formula>
    </cfRule>
  </conditionalFormatting>
  <conditionalFormatting sqref="I52:I53">
    <cfRule type="expression" dxfId="0" priority="102">
      <formula>MOD(ROW(),2)=1</formula>
    </cfRule>
  </conditionalFormatting>
  <conditionalFormatting sqref="G52:G53">
    <cfRule type="cellIs" dxfId="3" priority="103" operator="lessThan">
      <formula>TODAY()</formula>
    </cfRule>
    <cfRule type="timePeriod" dxfId="1" priority="104" timePeriod="last7Days">
      <formula/>
    </cfRule>
    <cfRule type="timePeriod" dxfId="1" priority="105" timePeriod="yesterday">
      <formula/>
    </cfRule>
    <cfRule type="timePeriod" dxfId="1" priority="106" timePeriod="lastMonth">
      <formula/>
    </cfRule>
    <cfRule type="timePeriod" dxfId="1" priority="107" timePeriod="yesterday">
      <formula/>
    </cfRule>
    <cfRule type="timePeriod" dxfId="1" priority="108" timePeriod="today">
      <formula/>
    </cfRule>
  </conditionalFormatting>
  <conditionalFormatting sqref="D52:E53">
    <cfRule type="expression" dxfId="0" priority="109">
      <formula>MOD(ROW(),2)=1</formula>
    </cfRule>
  </conditionalFormatting>
  <conditionalFormatting sqref="B52:C53">
    <cfRule type="expression" dxfId="0" priority="110">
      <formula>MOD(ROW(),2)=1</formula>
    </cfRule>
  </conditionalFormatting>
  <conditionalFormatting sqref="I51">
    <cfRule type="expression" dxfId="0" priority="111">
      <formula>MOD(ROW(),2)=1</formula>
    </cfRule>
  </conditionalFormatting>
  <conditionalFormatting sqref="I50">
    <cfRule type="expression" dxfId="0" priority="112">
      <formula>MOD(ROW(),2)=1</formula>
    </cfRule>
  </conditionalFormatting>
  <conditionalFormatting sqref="G50:G51">
    <cfRule type="cellIs" dxfId="3" priority="113" operator="lessThan">
      <formula>TODAY()</formula>
    </cfRule>
    <cfRule type="timePeriod" dxfId="1" priority="114" timePeriod="last7Days">
      <formula/>
    </cfRule>
    <cfRule type="timePeriod" dxfId="1" priority="115" timePeriod="yesterday">
      <formula/>
    </cfRule>
    <cfRule type="timePeriod" dxfId="1" priority="116" timePeriod="lastMonth">
      <formula/>
    </cfRule>
    <cfRule type="timePeriod" dxfId="1" priority="117" timePeriod="yesterday">
      <formula/>
    </cfRule>
    <cfRule type="timePeriod" dxfId="1" priority="118" timePeriod="today">
      <formula/>
    </cfRule>
  </conditionalFormatting>
  <conditionalFormatting sqref="F50:F53">
    <cfRule type="expression" dxfId="0" priority="119">
      <formula>MOD(ROW(),2)=1</formula>
    </cfRule>
    <cfRule type="cellIs" dxfId="3" priority="120" operator="lessThan">
      <formula>TODAY()</formula>
    </cfRule>
    <cfRule type="timePeriod" dxfId="1" priority="121" timePeriod="last7Days">
      <formula/>
    </cfRule>
    <cfRule type="timePeriod" dxfId="1" priority="122" timePeriod="yesterday">
      <formula/>
    </cfRule>
    <cfRule type="timePeriod" dxfId="1" priority="123" timePeriod="lastMonth">
      <formula/>
    </cfRule>
    <cfRule type="timePeriod" dxfId="1" priority="124" timePeriod="yesterday">
      <formula/>
    </cfRule>
    <cfRule type="timePeriod" dxfId="1" priority="125" timePeriod="today">
      <formula/>
    </cfRule>
  </conditionalFormatting>
  <conditionalFormatting sqref="B50:E51">
    <cfRule type="expression" dxfId="0" priority="126">
      <formula>MOD(ROW(),2)=1</formula>
    </cfRule>
  </conditionalFormatting>
  <conditionalFormatting sqref="I49">
    <cfRule type="expression" dxfId="0" priority="127">
      <formula>MOD(ROW(),2)=1</formula>
    </cfRule>
  </conditionalFormatting>
  <conditionalFormatting sqref="F49:G49">
    <cfRule type="cellIs" dxfId="3" priority="128" operator="lessThan">
      <formula>TODAY()</formula>
    </cfRule>
    <cfRule type="timePeriod" dxfId="1" priority="129" timePeriod="last7Days">
      <formula/>
    </cfRule>
    <cfRule type="timePeriod" dxfId="1" priority="130" timePeriod="yesterday">
      <formula/>
    </cfRule>
    <cfRule type="timePeriod" dxfId="1" priority="131" timePeriod="lastMonth">
      <formula/>
    </cfRule>
    <cfRule type="timePeriod" dxfId="1" priority="132" timePeriod="yesterday">
      <formula/>
    </cfRule>
    <cfRule type="timePeriod" dxfId="1" priority="133" timePeriod="today">
      <formula/>
    </cfRule>
  </conditionalFormatting>
  <conditionalFormatting sqref="B49:G49">
    <cfRule type="expression" dxfId="0" priority="134">
      <formula>MOD(ROW(),2)=1</formula>
    </cfRule>
  </conditionalFormatting>
  <conditionalFormatting sqref="I48">
    <cfRule type="expression" dxfId="0" priority="135">
      <formula>MOD(ROW(),2)=1</formula>
    </cfRule>
  </conditionalFormatting>
  <conditionalFormatting sqref="F48:G48">
    <cfRule type="cellIs" dxfId="3" priority="136" operator="lessThan">
      <formula>TODAY()</formula>
    </cfRule>
    <cfRule type="timePeriod" dxfId="1" priority="137" timePeriod="last7Days">
      <formula/>
    </cfRule>
    <cfRule type="timePeriod" dxfId="1" priority="138" timePeriod="yesterday">
      <formula/>
    </cfRule>
    <cfRule type="timePeriod" dxfId="1" priority="139" timePeriod="lastMonth">
      <formula/>
    </cfRule>
    <cfRule type="timePeriod" dxfId="1" priority="140" timePeriod="yesterday">
      <formula/>
    </cfRule>
    <cfRule type="timePeriod" dxfId="1" priority="141" timePeriod="today">
      <formula/>
    </cfRule>
  </conditionalFormatting>
  <conditionalFormatting sqref="B48:G48">
    <cfRule type="expression" dxfId="0" priority="142">
      <formula>MOD(ROW(),2)=1</formula>
    </cfRule>
  </conditionalFormatting>
  <conditionalFormatting sqref="I47">
    <cfRule type="expression" dxfId="0" priority="143">
      <formula>MOD(ROW(),2)=1</formula>
    </cfRule>
  </conditionalFormatting>
  <conditionalFormatting sqref="H47:H69">
    <cfRule type="expression" dxfId="0" priority="144">
      <formula>MOD(ROW(),2)=1</formula>
    </cfRule>
  </conditionalFormatting>
  <conditionalFormatting sqref="F47:G47">
    <cfRule type="cellIs" dxfId="3" priority="145" operator="lessThan">
      <formula>TODAY()</formula>
    </cfRule>
    <cfRule type="timePeriod" dxfId="1" priority="146" timePeriod="last7Days">
      <formula/>
    </cfRule>
    <cfRule type="timePeriod" dxfId="1" priority="147" timePeriod="yesterday">
      <formula/>
    </cfRule>
    <cfRule type="timePeriod" dxfId="1" priority="148" timePeriod="lastMonth">
      <formula/>
    </cfRule>
    <cfRule type="timePeriod" dxfId="1" priority="149" timePeriod="yesterday">
      <formula/>
    </cfRule>
    <cfRule type="timePeriod" dxfId="1" priority="150" timePeriod="today">
      <formula/>
    </cfRule>
  </conditionalFormatting>
  <conditionalFormatting sqref="B47:G47">
    <cfRule type="expression" dxfId="0" priority="151">
      <formula>MOD(ROW(),2)=1</formula>
    </cfRule>
  </conditionalFormatting>
  <conditionalFormatting sqref="I46">
    <cfRule type="expression" dxfId="0" priority="152">
      <formula>MOD(ROW(),2)=1</formula>
    </cfRule>
  </conditionalFormatting>
  <conditionalFormatting sqref="H46">
    <cfRule type="expression" dxfId="0" priority="153">
      <formula>MOD(ROW(),2)=1</formula>
    </cfRule>
  </conditionalFormatting>
  <conditionalFormatting sqref="F46:G46">
    <cfRule type="cellIs" dxfId="3" priority="154" operator="lessThan">
      <formula>TODAY()</formula>
    </cfRule>
    <cfRule type="timePeriod" dxfId="1" priority="155" timePeriod="last7Days">
      <formula/>
    </cfRule>
    <cfRule type="timePeriod" dxfId="1" priority="156" timePeriod="yesterday">
      <formula/>
    </cfRule>
    <cfRule type="timePeriod" dxfId="1" priority="157" timePeriod="lastMonth">
      <formula/>
    </cfRule>
    <cfRule type="timePeriod" dxfId="1" priority="158" timePeriod="yesterday">
      <formula/>
    </cfRule>
    <cfRule type="timePeriod" dxfId="1" priority="159" timePeriod="today">
      <formula/>
    </cfRule>
  </conditionalFormatting>
  <conditionalFormatting sqref="B46:G46">
    <cfRule type="expression" dxfId="0" priority="160">
      <formula>MOD(ROW(),2)=1</formula>
    </cfRule>
  </conditionalFormatting>
  <conditionalFormatting sqref="I45">
    <cfRule type="expression" dxfId="0" priority="161">
      <formula>MOD(ROW(),2)=1</formula>
    </cfRule>
  </conditionalFormatting>
  <conditionalFormatting sqref="G45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B45:E45">
    <cfRule type="expression" dxfId="0" priority="168">
      <formula>MOD(ROW(),2)=1</formula>
    </cfRule>
  </conditionalFormatting>
  <conditionalFormatting sqref="I44">
    <cfRule type="expression" dxfId="0" priority="169">
      <formula>MOD(ROW(),2)=1</formula>
    </cfRule>
  </conditionalFormatting>
  <conditionalFormatting sqref="I43">
    <cfRule type="expression" dxfId="0" priority="170">
      <formula>MOD(ROW(),2)=1</formula>
    </cfRule>
  </conditionalFormatting>
  <conditionalFormatting sqref="G43:G44">
    <cfRule type="cellIs" dxfId="3" priority="171" operator="lessThan">
      <formula>TODAY()</formula>
    </cfRule>
    <cfRule type="timePeriod" dxfId="1" priority="172" timePeriod="last7Days">
      <formula/>
    </cfRule>
    <cfRule type="timePeriod" dxfId="1" priority="173" timePeriod="yesterday">
      <formula/>
    </cfRule>
    <cfRule type="timePeriod" dxfId="1" priority="174" timePeriod="lastMonth">
      <formula/>
    </cfRule>
    <cfRule type="timePeriod" dxfId="1" priority="175" timePeriod="yesterday">
      <formula/>
    </cfRule>
    <cfRule type="timePeriod" dxfId="1" priority="176" timePeriod="today">
      <formula/>
    </cfRule>
  </conditionalFormatting>
  <conditionalFormatting sqref="F43:F45">
    <cfRule type="expression" dxfId="0" priority="177">
      <formula>MOD(ROW(),2)=1</formula>
    </cfRule>
    <cfRule type="cellIs" dxfId="3" priority="178" operator="lessThan">
      <formula>TODAY()</formula>
    </cfRule>
    <cfRule type="timePeriod" dxfId="1" priority="179" timePeriod="last7Days">
      <formula/>
    </cfRule>
    <cfRule type="timePeriod" dxfId="1" priority="180" timePeriod="yesterday">
      <formula/>
    </cfRule>
    <cfRule type="timePeriod" dxfId="1" priority="181" timePeriod="lastMonth">
      <formula/>
    </cfRule>
    <cfRule type="timePeriod" dxfId="1" priority="182" timePeriod="yesterday">
      <formula/>
    </cfRule>
    <cfRule type="timePeriod" dxfId="1" priority="183" timePeriod="today">
      <formula/>
    </cfRule>
  </conditionalFormatting>
  <conditionalFormatting sqref="B43:E44">
    <cfRule type="expression" dxfId="0" priority="184">
      <formula>MOD(ROW(),2)=1</formula>
    </cfRule>
  </conditionalFormatting>
  <conditionalFormatting sqref="I42">
    <cfRule type="expression" dxfId="0" priority="185">
      <formula>MOD(ROW(),2)=1</formula>
    </cfRule>
  </conditionalFormatting>
  <conditionalFormatting sqref="F42:G42">
    <cfRule type="cellIs" dxfId="3" priority="186" operator="lessThan">
      <formula>TODAY()</formula>
    </cfRule>
    <cfRule type="timePeriod" dxfId="1" priority="187" timePeriod="last7Days">
      <formula/>
    </cfRule>
    <cfRule type="timePeriod" dxfId="1" priority="188" timePeriod="yesterday">
      <formula/>
    </cfRule>
    <cfRule type="timePeriod" dxfId="1" priority="189" timePeriod="lastMonth">
      <formula/>
    </cfRule>
    <cfRule type="timePeriod" dxfId="1" priority="190" timePeriod="yesterday">
      <formula/>
    </cfRule>
    <cfRule type="timePeriod" dxfId="1" priority="191" timePeriod="today">
      <formula/>
    </cfRule>
  </conditionalFormatting>
  <conditionalFormatting sqref="B42:G42">
    <cfRule type="expression" dxfId="0" priority="192">
      <formula>MOD(ROW(),2)=1</formula>
    </cfRule>
  </conditionalFormatting>
  <conditionalFormatting sqref="I41">
    <cfRule type="expression" dxfId="0" priority="193">
      <formula>MOD(ROW(),2)=1</formula>
    </cfRule>
  </conditionalFormatting>
  <conditionalFormatting sqref="F41:G41">
    <cfRule type="cellIs" dxfId="3" priority="194" operator="lessThan">
      <formula>TODAY()</formula>
    </cfRule>
    <cfRule type="timePeriod" dxfId="1" priority="195" timePeriod="last7Days">
      <formula/>
    </cfRule>
    <cfRule type="timePeriod" dxfId="1" priority="196" timePeriod="yesterday">
      <formula/>
    </cfRule>
    <cfRule type="timePeriod" dxfId="1" priority="197" timePeriod="lastMonth">
      <formula/>
    </cfRule>
    <cfRule type="timePeriod" dxfId="1" priority="198" timePeriod="yesterday">
      <formula/>
    </cfRule>
    <cfRule type="timePeriod" dxfId="1" priority="199" timePeriod="today">
      <formula/>
    </cfRule>
  </conditionalFormatting>
  <conditionalFormatting sqref="D41:G41">
    <cfRule type="expression" dxfId="0" priority="200">
      <formula>MOD(ROW(),2)=1</formula>
    </cfRule>
  </conditionalFormatting>
  <conditionalFormatting sqref="B41:C41">
    <cfRule type="expression" dxfId="0" priority="201">
      <formula>MOD(ROW(),2)=1</formula>
    </cfRule>
  </conditionalFormatting>
  <conditionalFormatting sqref="I40">
    <cfRule type="expression" dxfId="0" priority="202">
      <formula>MOD(ROW(),2)=1</formula>
    </cfRule>
  </conditionalFormatting>
  <conditionalFormatting sqref="F40:G40">
    <cfRule type="cellIs" dxfId="3" priority="203" operator="lessThan">
      <formula>TODAY()</formula>
    </cfRule>
    <cfRule type="timePeriod" dxfId="1" priority="204" timePeriod="last7Days">
      <formula/>
    </cfRule>
    <cfRule type="timePeriod" dxfId="1" priority="205" timePeriod="yesterday">
      <formula/>
    </cfRule>
    <cfRule type="timePeriod" dxfId="1" priority="206" timePeriod="lastMonth">
      <formula/>
    </cfRule>
    <cfRule type="timePeriod" dxfId="1" priority="207" timePeriod="yesterday">
      <formula/>
    </cfRule>
    <cfRule type="timePeriod" dxfId="1" priority="208" timePeriod="today">
      <formula/>
    </cfRule>
  </conditionalFormatting>
  <conditionalFormatting sqref="B40:G40">
    <cfRule type="expression" dxfId="0" priority="209">
      <formula>MOD(ROW(),2)=1</formula>
    </cfRule>
  </conditionalFormatting>
  <conditionalFormatting sqref="I39">
    <cfRule type="expression" dxfId="0" priority="210">
      <formula>MOD(ROW(),2)=1</formula>
    </cfRule>
  </conditionalFormatting>
  <conditionalFormatting sqref="G39">
    <cfRule type="cellIs" dxfId="3" priority="211" operator="lessThan">
      <formula>TODAY()</formula>
    </cfRule>
    <cfRule type="timePeriod" dxfId="1" priority="212" timePeriod="last7Days">
      <formula/>
    </cfRule>
    <cfRule type="timePeriod" dxfId="1" priority="213" timePeriod="yesterday">
      <formula/>
    </cfRule>
    <cfRule type="timePeriod" dxfId="1" priority="214" timePeriod="lastMonth">
      <formula/>
    </cfRule>
    <cfRule type="timePeriod" dxfId="1" priority="215" timePeriod="yesterday">
      <formula/>
    </cfRule>
    <cfRule type="timePeriod" dxfId="1" priority="216" timePeriod="today">
      <formula/>
    </cfRule>
  </conditionalFormatting>
  <conditionalFormatting sqref="B39:E39">
    <cfRule type="expression" dxfId="0" priority="217">
      <formula>MOD(ROW(),2)=1</formula>
    </cfRule>
  </conditionalFormatting>
  <conditionalFormatting sqref="I37:I38">
    <cfRule type="expression" dxfId="0" priority="218">
      <formula>MOD(ROW(),2)=1</formula>
    </cfRule>
  </conditionalFormatting>
  <conditionalFormatting sqref="G37:G38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D37:E38">
    <cfRule type="expression" dxfId="0" priority="225">
      <formula>MOD(ROW(),2)=1</formula>
    </cfRule>
  </conditionalFormatting>
  <conditionalFormatting sqref="B37:C38">
    <cfRule type="expression" dxfId="0" priority="226">
      <formula>MOD(ROW(),2)=1</formula>
    </cfRule>
  </conditionalFormatting>
  <conditionalFormatting sqref="I36">
    <cfRule type="expression" dxfId="0" priority="227">
      <formula>MOD(ROW(),2)=1</formula>
    </cfRule>
  </conditionalFormatting>
  <conditionalFormatting sqref="I35">
    <cfRule type="expression" dxfId="0" priority="228">
      <formula>MOD(ROW(),2)=1</formula>
    </cfRule>
  </conditionalFormatting>
  <conditionalFormatting sqref="G35:G36">
    <cfRule type="cellIs" dxfId="3" priority="229" operator="lessThan">
      <formula>TODAY()</formula>
    </cfRule>
    <cfRule type="timePeriod" dxfId="1" priority="230" timePeriod="last7Days">
      <formula/>
    </cfRule>
    <cfRule type="timePeriod" dxfId="1" priority="231" timePeriod="yesterday">
      <formula/>
    </cfRule>
    <cfRule type="timePeriod" dxfId="1" priority="232" timePeriod="lastMonth">
      <formula/>
    </cfRule>
    <cfRule type="timePeriod" dxfId="1" priority="233" timePeriod="yesterday">
      <formula/>
    </cfRule>
    <cfRule type="timePeriod" dxfId="1" priority="234" timePeriod="today">
      <formula/>
    </cfRule>
  </conditionalFormatting>
  <conditionalFormatting sqref="B35:E36">
    <cfRule type="expression" dxfId="0" priority="235">
      <formula>MOD(ROW(),2)=1</formula>
    </cfRule>
  </conditionalFormatting>
  <conditionalFormatting sqref="I33:I34">
    <cfRule type="expression" dxfId="0" priority="236">
      <formula>MOD(ROW(),2)=1</formula>
    </cfRule>
  </conditionalFormatting>
  <conditionalFormatting sqref="G33:G34">
    <cfRule type="cellIs" dxfId="3" priority="237" operator="lessThan">
      <formula>TODAY()</formula>
    </cfRule>
    <cfRule type="timePeriod" dxfId="1" priority="238" timePeriod="last7Days">
      <formula/>
    </cfRule>
    <cfRule type="timePeriod" dxfId="1" priority="239" timePeriod="yesterday">
      <formula/>
    </cfRule>
    <cfRule type="timePeriod" dxfId="1" priority="240" timePeriod="lastMonth">
      <formula/>
    </cfRule>
    <cfRule type="timePeriod" dxfId="1" priority="241" timePeriod="yesterday">
      <formula/>
    </cfRule>
    <cfRule type="timePeriod" dxfId="1" priority="242" timePeriod="today">
      <formula/>
    </cfRule>
  </conditionalFormatting>
  <conditionalFormatting sqref="D33:E34">
    <cfRule type="expression" dxfId="0" priority="243">
      <formula>MOD(ROW(),2)=1</formula>
    </cfRule>
  </conditionalFormatting>
  <conditionalFormatting sqref="B33:C34">
    <cfRule type="expression" dxfId="0" priority="244">
      <formula>MOD(ROW(),2)=1</formula>
    </cfRule>
  </conditionalFormatting>
  <conditionalFormatting sqref="I32">
    <cfRule type="expression" dxfId="0" priority="245">
      <formula>MOD(ROW(),2)=1</formula>
    </cfRule>
  </conditionalFormatting>
  <conditionalFormatting sqref="G32">
    <cfRule type="cellIs" dxfId="3" priority="246" operator="lessThan">
      <formula>TODAY()</formula>
    </cfRule>
    <cfRule type="timePeriod" dxfId="1" priority="247" timePeriod="last7Days">
      <formula/>
    </cfRule>
    <cfRule type="timePeriod" dxfId="1" priority="248" timePeriod="yesterday">
      <formula/>
    </cfRule>
    <cfRule type="timePeriod" dxfId="1" priority="249" timePeriod="lastMonth">
      <formula/>
    </cfRule>
    <cfRule type="timePeriod" dxfId="1" priority="250" timePeriod="yesterday">
      <formula/>
    </cfRule>
    <cfRule type="timePeriod" dxfId="1" priority="251" timePeriod="today">
      <formula/>
    </cfRule>
  </conditionalFormatting>
  <conditionalFormatting sqref="F32:F39">
    <cfRule type="expression" dxfId="0" priority="252">
      <formula>MOD(ROW(),2)=1</formula>
    </cfRule>
    <cfRule type="cellIs" dxfId="3" priority="253" operator="lessThan">
      <formula>TODAY()</formula>
    </cfRule>
    <cfRule type="timePeriod" dxfId="1" priority="254" timePeriod="last7Days">
      <formula/>
    </cfRule>
    <cfRule type="timePeriod" dxfId="1" priority="255" timePeriod="yesterday">
      <formula/>
    </cfRule>
    <cfRule type="timePeriod" dxfId="1" priority="256" timePeriod="lastMonth">
      <formula/>
    </cfRule>
    <cfRule type="timePeriod" dxfId="1" priority="257" timePeriod="yesterday">
      <formula/>
    </cfRule>
    <cfRule type="timePeriod" dxfId="1" priority="258" timePeriod="today">
      <formula/>
    </cfRule>
  </conditionalFormatting>
  <conditionalFormatting sqref="B32:E32">
    <cfRule type="expression" dxfId="0" priority="259">
      <formula>MOD(ROW(),2)=1</formula>
    </cfRule>
  </conditionalFormatting>
  <conditionalFormatting sqref="I31">
    <cfRule type="expression" dxfId="0" priority="260">
      <formula>MOD(ROW(),2)=1</formula>
    </cfRule>
  </conditionalFormatting>
  <conditionalFormatting sqref="F31:G31">
    <cfRule type="cellIs" dxfId="3" priority="261" operator="lessThan">
      <formula>TODAY()</formula>
    </cfRule>
    <cfRule type="timePeriod" dxfId="1" priority="262" timePeriod="last7Days">
      <formula/>
    </cfRule>
    <cfRule type="timePeriod" dxfId="1" priority="263" timePeriod="yesterday">
      <formula/>
    </cfRule>
    <cfRule type="timePeriod" dxfId="1" priority="264" timePeriod="lastMonth">
      <formula/>
    </cfRule>
    <cfRule type="timePeriod" dxfId="1" priority="265" timePeriod="yesterday">
      <formula/>
    </cfRule>
    <cfRule type="timePeriod" dxfId="1" priority="266" timePeriod="today">
      <formula/>
    </cfRule>
  </conditionalFormatting>
  <conditionalFormatting sqref="B31:G31">
    <cfRule type="expression" dxfId="0" priority="267">
      <formula>MOD(ROW(),2)=1</formula>
    </cfRule>
  </conditionalFormatting>
  <conditionalFormatting sqref="I30">
    <cfRule type="expression" dxfId="0" priority="268">
      <formula>MOD(ROW(),2)=1</formula>
    </cfRule>
  </conditionalFormatting>
  <conditionalFormatting sqref="H30:H45">
    <cfRule type="expression" dxfId="0" priority="269">
      <formula>MOD(ROW(),2)=1</formula>
    </cfRule>
  </conditionalFormatting>
  <conditionalFormatting sqref="F30:G30">
    <cfRule type="cellIs" dxfId="3" priority="270" operator="lessThan">
      <formula>TODAY()</formula>
    </cfRule>
    <cfRule type="timePeriod" dxfId="1" priority="271" timePeriod="last7Days">
      <formula/>
    </cfRule>
    <cfRule type="timePeriod" dxfId="1" priority="272" timePeriod="yesterday">
      <formula/>
    </cfRule>
    <cfRule type="timePeriod" dxfId="1" priority="273" timePeriod="lastMonth">
      <formula/>
    </cfRule>
    <cfRule type="timePeriod" dxfId="1" priority="274" timePeriod="yesterday">
      <formula/>
    </cfRule>
    <cfRule type="timePeriod" dxfId="1" priority="275" timePeriod="today">
      <formula/>
    </cfRule>
  </conditionalFormatting>
  <conditionalFormatting sqref="D30:G30">
    <cfRule type="expression" dxfId="0" priority="276">
      <formula>MOD(ROW(),2)=1</formula>
    </cfRule>
  </conditionalFormatting>
  <conditionalFormatting sqref="B30:C30">
    <cfRule type="expression" dxfId="0" priority="277">
      <formula>MOD(ROW(),2)=1</formula>
    </cfRule>
  </conditionalFormatting>
  <conditionalFormatting sqref="I29">
    <cfRule type="expression" dxfId="0" priority="278">
      <formula>MOD(ROW(),2)=1</formula>
    </cfRule>
    <cfRule type="expression" dxfId="0" priority="279">
      <formula>MOD(ROW(),2)=1</formula>
    </cfRule>
  </conditionalFormatting>
  <conditionalFormatting sqref="H29">
    <cfRule type="expression" dxfId="0" priority="280">
      <formula>MOD(ROW(),2)=1</formula>
    </cfRule>
  </conditionalFormatting>
  <conditionalFormatting sqref="F29:G29">
    <cfRule type="cellIs" dxfId="3" priority="281" operator="lessThan">
      <formula>TODAY()</formula>
    </cfRule>
    <cfRule type="timePeriod" dxfId="1" priority="282" timePeriod="last7Days">
      <formula/>
    </cfRule>
    <cfRule type="timePeriod" dxfId="1" priority="283" timePeriod="yesterday">
      <formula/>
    </cfRule>
    <cfRule type="timePeriod" dxfId="1" priority="284" timePeriod="lastMonth">
      <formula/>
    </cfRule>
    <cfRule type="timePeriod" dxfId="1" priority="285" timePeriod="yesterday">
      <formula/>
    </cfRule>
    <cfRule type="timePeriod" dxfId="1" priority="286" timePeriod="today">
      <formula/>
    </cfRule>
  </conditionalFormatting>
  <conditionalFormatting sqref="B29:G29">
    <cfRule type="expression" dxfId="0" priority="287">
      <formula>MOD(ROW(),2)=1</formula>
    </cfRule>
  </conditionalFormatting>
  <conditionalFormatting sqref="I26:I28">
    <cfRule type="expression" dxfId="0" priority="288">
      <formula>MOD(ROW(),2)=1</formula>
    </cfRule>
  </conditionalFormatting>
  <conditionalFormatting sqref="F26:G28">
    <cfRule type="cellIs" dxfId="3" priority="289" operator="lessThan">
      <formula>TODAY()</formula>
    </cfRule>
    <cfRule type="timePeriod" dxfId="1" priority="290" timePeriod="last7Days">
      <formula/>
    </cfRule>
    <cfRule type="timePeriod" dxfId="1" priority="291" timePeriod="yesterday">
      <formula/>
    </cfRule>
    <cfRule type="timePeriod" dxfId="1" priority="292" timePeriod="lastMonth">
      <formula/>
    </cfRule>
    <cfRule type="timePeriod" dxfId="1" priority="293" timePeriod="yesterday">
      <formula/>
    </cfRule>
    <cfRule type="timePeriod" dxfId="1" priority="294" timePeriod="today">
      <formula/>
    </cfRule>
  </conditionalFormatting>
  <conditionalFormatting sqref="B26:G28">
    <cfRule type="expression" dxfId="0" priority="295">
      <formula>MOD(ROW(),2)=1</formula>
    </cfRule>
  </conditionalFormatting>
  <conditionalFormatting sqref="F25:G25">
    <cfRule type="expression" dxfId="0" priority="296">
      <formula>MOD(ROW(),2)=1</formula>
    </cfRule>
  </conditionalFormatting>
  <conditionalFormatting sqref="E25">
    <cfRule type="expression" dxfId="0" priority="297">
      <formula>MOD(ROW(),2)=1</formula>
    </cfRule>
  </conditionalFormatting>
  <conditionalFormatting sqref="D25">
    <cfRule type="expression" dxfId="0" priority="298">
      <formula>MOD(ROW(),2)=1</formula>
    </cfRule>
  </conditionalFormatting>
  <conditionalFormatting sqref="B25:C25">
    <cfRule type="expression" dxfId="0" priority="299">
      <formula>MOD(ROW(),2)=1</formula>
    </cfRule>
  </conditionalFormatting>
  <conditionalFormatting sqref="B24">
    <cfRule type="expression" dxfId="0" priority="300">
      <formula>MOD(ROW(),2)=1</formula>
    </cfRule>
  </conditionalFormatting>
  <conditionalFormatting sqref="F21:G25">
    <cfRule type="cellIs" dxfId="3" priority="301" operator="lessThan">
      <formula>TODAY()</formula>
    </cfRule>
    <cfRule type="timePeriod" dxfId="1" priority="302" timePeriod="last7Days">
      <formula/>
    </cfRule>
    <cfRule type="timePeriod" dxfId="1" priority="303" timePeriod="yesterday">
      <formula/>
    </cfRule>
    <cfRule type="timePeriod" dxfId="1" priority="304" timePeriod="lastMonth">
      <formula/>
    </cfRule>
    <cfRule type="timePeriod" dxfId="1" priority="305" timePeriod="yesterday">
      <formula/>
    </cfRule>
    <cfRule type="timePeriod" dxfId="1" priority="306" timePeriod="today">
      <formula/>
    </cfRule>
  </conditionalFormatting>
  <conditionalFormatting sqref="F21:F24">
    <cfRule type="cellIs" dxfId="3" priority="307" operator="lessThan">
      <formula>TODAY()</formula>
    </cfRule>
    <cfRule type="timePeriod" dxfId="1" priority="308" timePeriod="last7Days">
      <formula/>
    </cfRule>
    <cfRule type="timePeriod" dxfId="1" priority="309" timePeriod="yesterday">
      <formula/>
    </cfRule>
    <cfRule type="timePeriod" dxfId="1" priority="310" timePeriod="lastMonth">
      <formula/>
    </cfRule>
    <cfRule type="timePeriod" dxfId="1" priority="311" timePeriod="yesterday">
      <formula/>
    </cfRule>
    <cfRule type="timePeriod" dxfId="1" priority="312" timePeriod="today">
      <formula/>
    </cfRule>
  </conditionalFormatting>
  <conditionalFormatting sqref="B21:G24">
    <cfRule type="expression" dxfId="0" priority="313">
      <formula>MOD(ROW(),2)=1</formula>
    </cfRule>
  </conditionalFormatting>
  <conditionalFormatting sqref="B21:B23">
    <cfRule type="expression" dxfId="0" priority="314">
      <formula>MOD(ROW(),2)=1</formula>
    </cfRule>
  </conditionalFormatting>
  <conditionalFormatting sqref="C20:E20">
    <cfRule type="expression" dxfId="0" priority="315">
      <formula>MOD(ROW(),2)=1</formula>
    </cfRule>
  </conditionalFormatting>
  <conditionalFormatting sqref="B20">
    <cfRule type="expression" dxfId="0" priority="316">
      <formula>MOD(ROW(),2)=1</formula>
    </cfRule>
    <cfRule type="expression" dxfId="0" priority="317">
      <formula>MOD(ROW(),2)=1</formula>
    </cfRule>
  </conditionalFormatting>
  <conditionalFormatting sqref="F19">
    <cfRule type="timePeriod" dxfId="1" priority="318" timePeriod="yesterday">
      <formula/>
    </cfRule>
    <cfRule type="timePeriod" dxfId="1" priority="319" timePeriod="today">
      <formula/>
    </cfRule>
    <cfRule type="cellIs" dxfId="2" priority="320" operator="lessThan">
      <formula>_xludf.today()</formula>
    </cfRule>
  </conditionalFormatting>
  <conditionalFormatting sqref="F16">
    <cfRule type="timePeriod" dxfId="1" priority="321" timePeriod="yesterday">
      <formula/>
    </cfRule>
    <cfRule type="timePeriod" dxfId="1" priority="322" timePeriod="today">
      <formula/>
    </cfRule>
    <cfRule type="cellIs" dxfId="2" priority="323" operator="lessThan">
      <formula>_xludf.today()</formula>
    </cfRule>
  </conditionalFormatting>
  <conditionalFormatting sqref="I15:I25">
    <cfRule type="expression" dxfId="0" priority="324">
      <formula>MOD(ROW(),2)=1</formula>
    </cfRule>
  </conditionalFormatting>
  <conditionalFormatting sqref="F14:G14">
    <cfRule type="timePeriod" dxfId="1" priority="325" timePeriod="yesterday">
      <formula/>
    </cfRule>
    <cfRule type="timePeriod" dxfId="1" priority="326" timePeriod="today">
      <formula/>
    </cfRule>
    <cfRule type="cellIs" dxfId="2" priority="327" operator="lessThan">
      <formula>_xludf.today()</formula>
    </cfRule>
  </conditionalFormatting>
  <conditionalFormatting sqref="F14:F15">
    <cfRule type="timePeriod" dxfId="1" priority="328" timePeriod="yesterday">
      <formula/>
    </cfRule>
    <cfRule type="timePeriod" dxfId="1" priority="329" timePeriod="today">
      <formula/>
    </cfRule>
    <cfRule type="cellIs" dxfId="2" priority="330" operator="lessThan">
      <formula>_xludf.today()</formula>
    </cfRule>
  </conditionalFormatting>
  <conditionalFormatting sqref="I13:I14">
    <cfRule type="expression" dxfId="0" priority="331">
      <formula>MOD(ROW(),2)=1</formula>
    </cfRule>
  </conditionalFormatting>
  <conditionalFormatting sqref="F13:G13">
    <cfRule type="timePeriod" dxfId="1" priority="332" timePeriod="yesterday">
      <formula/>
    </cfRule>
    <cfRule type="timePeriod" dxfId="1" priority="333" timePeriod="today">
      <formula/>
    </cfRule>
    <cfRule type="cellIs" dxfId="2" priority="334" operator="lessThan">
      <formula>_xludf.today()</formula>
    </cfRule>
  </conditionalFormatting>
  <conditionalFormatting sqref="I12">
    <cfRule type="expression" dxfId="0" priority="335">
      <formula>MOD(ROW(),2)=1</formula>
    </cfRule>
  </conditionalFormatting>
  <conditionalFormatting sqref="I4:I11">
    <cfRule type="expression" dxfId="0" priority="336">
      <formula>MOD(ROW(),2)=1</formula>
    </cfRule>
  </conditionalFormatting>
  <conditionalFormatting sqref="H4:H28">
    <cfRule type="expression" dxfId="0" priority="337">
      <formula>MOD(ROW(),2)=1</formula>
    </cfRule>
  </conditionalFormatting>
  <conditionalFormatting sqref="G4:G20">
    <cfRule type="expression" dxfId="0" priority="338">
      <formula>MOD(ROW(),2)=1</formula>
    </cfRule>
  </conditionalFormatting>
  <conditionalFormatting sqref="F4:F24">
    <cfRule type="expression" dxfId="0" priority="339">
      <formula>MOD(ROW(),2)=1</formula>
    </cfRule>
  </conditionalFormatting>
  <conditionalFormatting sqref="B4:E19">
    <cfRule type="expression" dxfId="0" priority="340">
      <formula>MOD(ROW(),2)=1</formula>
    </cfRule>
  </conditionalFormatting>
  <conditionalFormatting sqref="F2:G12">
    <cfRule type="timePeriod" dxfId="1" priority="341" timePeriod="yesterday">
      <formula/>
    </cfRule>
    <cfRule type="timePeriod" dxfId="1" priority="342" timePeriod="today">
      <formula/>
    </cfRule>
    <cfRule type="cellIs" dxfId="2" priority="343" operator="lessThan">
      <formula>_xludf.today()</formula>
    </cfRule>
  </conditionalFormatting>
  <conditionalFormatting sqref="F2:G20">
    <cfRule type="cellIs" dxfId="3" priority="344" operator="lessThan">
      <formula>TODAY()</formula>
    </cfRule>
    <cfRule type="timePeriod" dxfId="1" priority="345" timePeriod="last7Days">
      <formula/>
    </cfRule>
    <cfRule type="timePeriod" dxfId="1" priority="346" timePeriod="yesterday">
      <formula/>
    </cfRule>
    <cfRule type="timePeriod" dxfId="1" priority="347" timePeriod="lastMonth">
      <formula/>
    </cfRule>
    <cfRule type="timePeriod" dxfId="1" priority="348" timePeriod="yesterday">
      <formula/>
    </cfRule>
    <cfRule type="timePeriod" dxfId="1" priority="349" timePeriod="today">
      <formula/>
    </cfRule>
  </conditionalFormatting>
  <conditionalFormatting sqref="B2:I2">
    <cfRule type="expression" dxfId="0" priority="350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1"/>
  <sheetViews>
    <sheetView tabSelected="0" workbookViewId="0" zoomScale="85" zoomScaleNormal="85" showGridLines="true" showRowColHeaders="1">
      <pane ySplit="1" topLeftCell="A35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/>
      <c r="C2" s="12"/>
      <c r="D2" s="13"/>
      <c r="E2" s="14"/>
      <c r="F2" s="15"/>
      <c r="G2" s="16"/>
      <c r="H2" s="17" t="str">
        <f>D2-G2</f>
        <v>0</v>
      </c>
      <c r="I2" s="267"/>
    </row>
    <row r="3" spans="1:1024" customHeight="1" ht="18.6">
      <c r="A3" s="265"/>
      <c r="B3" s="11"/>
      <c r="C3" s="12"/>
      <c r="D3" s="268"/>
      <c r="E3" s="14"/>
      <c r="F3" s="15"/>
      <c r="G3" s="16"/>
      <c r="H3" s="17" t="str">
        <f>D3-G3</f>
        <v>0</v>
      </c>
      <c r="I3" s="267"/>
    </row>
    <row r="4" spans="1:1024" customHeight="1" ht="18.6">
      <c r="A4" s="265"/>
      <c r="B4" s="11"/>
      <c r="C4" s="12"/>
      <c r="D4" s="268"/>
      <c r="E4" s="14"/>
      <c r="F4" s="15"/>
      <c r="G4" s="16"/>
      <c r="H4" s="17" t="str">
        <f>D4-G4</f>
        <v>0</v>
      </c>
      <c r="I4" s="267"/>
      <c r="K4" s="18"/>
    </row>
    <row r="5" spans="1:1024" customHeight="1" ht="18.6">
      <c r="A5" s="265"/>
      <c r="B5" s="11"/>
      <c r="C5" s="12"/>
      <c r="D5" s="268"/>
      <c r="E5" s="14"/>
      <c r="F5" s="15"/>
      <c r="G5" s="16"/>
      <c r="H5" s="17" t="str">
        <f>D5-G5</f>
        <v>0</v>
      </c>
      <c r="I5" s="267"/>
      <c r="K5" s="19"/>
    </row>
    <row r="6" spans="1:1024" customHeight="1" ht="18.6">
      <c r="A6" s="265"/>
      <c r="B6" s="11"/>
      <c r="C6" s="12"/>
      <c r="D6" s="268"/>
      <c r="E6" s="14"/>
      <c r="F6" s="15"/>
      <c r="G6" s="16"/>
      <c r="H6" s="17" t="str">
        <f>D6-G6</f>
        <v>0</v>
      </c>
      <c r="I6" s="267"/>
      <c r="K6" s="494"/>
    </row>
    <row r="7" spans="1:1024" customHeight="1" ht="18.6">
      <c r="A7" s="265"/>
      <c r="B7" s="11"/>
      <c r="C7" s="12"/>
      <c r="D7" s="268"/>
      <c r="E7" s="14"/>
      <c r="F7" s="15"/>
      <c r="G7" s="16"/>
      <c r="H7" s="17" t="str">
        <f>D7-G7</f>
        <v>0</v>
      </c>
      <c r="I7" s="267"/>
      <c r="K7" s="19"/>
    </row>
    <row r="8" spans="1:1024" customHeight="1" ht="18.6">
      <c r="A8" s="265"/>
      <c r="B8" s="343"/>
      <c r="C8" s="12"/>
      <c r="D8" s="268"/>
      <c r="E8" s="14"/>
      <c r="F8" s="15"/>
      <c r="G8" s="16"/>
      <c r="H8" s="17" t="str">
        <f>D8-G8</f>
        <v>0</v>
      </c>
      <c r="I8" s="267"/>
      <c r="K8" s="20"/>
      <c r="L8" s="20"/>
      <c r="M8" s="20"/>
    </row>
    <row r="9" spans="1:1024" customHeight="1" ht="18.6">
      <c r="A9" s="265"/>
      <c r="B9" s="11"/>
      <c r="C9" s="12"/>
      <c r="D9" s="268"/>
      <c r="E9" s="14"/>
      <c r="F9" s="15"/>
      <c r="G9" s="16"/>
      <c r="H9" s="17" t="str">
        <f>D9-G9</f>
        <v>0</v>
      </c>
      <c r="I9" s="267"/>
      <c r="K9" s="19"/>
    </row>
    <row r="10" spans="1:1024" customHeight="1" ht="18.6">
      <c r="A10" s="265"/>
      <c r="B10" s="11"/>
      <c r="C10" s="12"/>
      <c r="D10" s="268"/>
      <c r="E10" s="14"/>
      <c r="F10" s="15"/>
      <c r="G10" s="16"/>
      <c r="H10" s="17" t="str">
        <f>D10-G10</f>
        <v>0</v>
      </c>
      <c r="I10" s="269"/>
      <c r="K10" s="20"/>
      <c r="L10" s="20"/>
    </row>
    <row r="11" spans="1:1024" customHeight="1" ht="18.6">
      <c r="A11" s="265"/>
      <c r="B11" s="11"/>
      <c r="C11" s="12"/>
      <c r="D11" s="268"/>
      <c r="E11" s="14"/>
      <c r="F11" s="15"/>
      <c r="G11" s="16"/>
      <c r="H11" s="17" t="str">
        <f>D11-G11</f>
        <v>0</v>
      </c>
      <c r="I11" s="269"/>
    </row>
    <row r="12" spans="1:1024" customHeight="1" ht="18.6">
      <c r="A12" s="265"/>
      <c r="B12" s="11"/>
      <c r="C12" s="12"/>
      <c r="D12" s="13"/>
      <c r="E12" s="439"/>
      <c r="F12" s="15"/>
      <c r="G12" s="16"/>
      <c r="H12" s="17" t="str">
        <f>D12-G12</f>
        <v>0</v>
      </c>
      <c r="I12" s="269"/>
      <c r="K12" s="494"/>
    </row>
    <row r="13" spans="1:1024" customHeight="1" ht="18.6">
      <c r="A13" s="265"/>
      <c r="B13" s="11"/>
      <c r="C13" s="12"/>
      <c r="D13" s="268"/>
      <c r="E13" s="14"/>
      <c r="F13" s="15"/>
      <c r="G13" s="16"/>
      <c r="H13" s="17" t="str">
        <f>D13-G13</f>
        <v>0</v>
      </c>
      <c r="I13" s="269"/>
      <c r="K13" s="20"/>
      <c r="L13" s="20"/>
      <c r="M13" s="20"/>
    </row>
    <row r="14" spans="1:1024" customHeight="1" ht="18.6">
      <c r="A14" s="265"/>
      <c r="B14" s="11"/>
      <c r="C14" s="12"/>
      <c r="D14" s="268"/>
      <c r="E14" s="14"/>
      <c r="F14" s="15"/>
      <c r="G14" s="270"/>
      <c r="H14" s="17" t="str">
        <f>D14-G14</f>
        <v>0</v>
      </c>
      <c r="I14" s="269"/>
    </row>
    <row r="15" spans="1:1024" customHeight="1" ht="18.6">
      <c r="A15" s="265"/>
      <c r="B15" s="11"/>
      <c r="C15" s="12"/>
      <c r="D15" s="268"/>
      <c r="E15" s="14"/>
      <c r="F15" s="15"/>
      <c r="G15" s="270"/>
      <c r="H15" s="17" t="str">
        <f>D15-G15</f>
        <v>0</v>
      </c>
      <c r="I15" s="269"/>
      <c r="K15" s="494"/>
    </row>
    <row r="16" spans="1:1024" customHeight="1" ht="18.6">
      <c r="A16" s="265"/>
      <c r="B16" s="11"/>
      <c r="C16" s="12"/>
      <c r="D16" s="268"/>
      <c r="E16" s="14"/>
      <c r="F16" s="271"/>
      <c r="G16" s="270"/>
      <c r="H16" s="17" t="str">
        <f>D16-G16</f>
        <v>0</v>
      </c>
      <c r="I16" s="269"/>
      <c r="K16" s="21"/>
      <c r="L16" s="21"/>
      <c r="M16" s="21"/>
    </row>
    <row r="17" spans="1:1024" customHeight="1" ht="18.6">
      <c r="A17" s="265"/>
      <c r="B17" s="11"/>
      <c r="C17" s="12"/>
      <c r="D17" s="268"/>
      <c r="E17" s="14"/>
      <c r="F17" s="271"/>
      <c r="G17" s="270"/>
      <c r="H17" s="17" t="str">
        <f>D17-G17</f>
        <v>0</v>
      </c>
      <c r="I17" s="269"/>
    </row>
    <row r="18" spans="1:1024" customHeight="1" ht="18.6">
      <c r="A18" s="265"/>
      <c r="B18" s="11"/>
      <c r="C18" s="12"/>
      <c r="D18" s="268"/>
      <c r="E18" s="14"/>
      <c r="F18" s="15"/>
      <c r="G18" s="270"/>
      <c r="H18" s="17" t="str">
        <f>D18-G18</f>
        <v>0</v>
      </c>
      <c r="I18" s="269"/>
    </row>
    <row r="19" spans="1:1024" customHeight="1" ht="18.6">
      <c r="A19" s="265"/>
      <c r="B19" s="11"/>
      <c r="C19" s="12"/>
      <c r="D19" s="268"/>
      <c r="E19" s="14"/>
      <c r="F19" s="271"/>
      <c r="G19" s="270"/>
      <c r="H19" s="17" t="str">
        <f>D19-G19</f>
        <v>0</v>
      </c>
      <c r="I19" s="269"/>
    </row>
    <row r="20" spans="1:1024" customHeight="1" ht="18.6">
      <c r="A20" s="265"/>
      <c r="B20" s="11"/>
      <c r="C20" s="12"/>
      <c r="D20" s="268"/>
      <c r="E20" s="14"/>
      <c r="F20" s="271"/>
      <c r="G20" s="270"/>
      <c r="H20" s="17" t="str">
        <f>D20-G20</f>
        <v>0</v>
      </c>
      <c r="I20" s="269"/>
    </row>
    <row r="21" spans="1:1024" customHeight="1" ht="18.6">
      <c r="A21" s="265"/>
      <c r="B21" s="11"/>
      <c r="C21" s="12"/>
      <c r="D21" s="13"/>
      <c r="E21" s="14"/>
      <c r="F21" s="271"/>
      <c r="G21" s="270"/>
      <c r="H21" s="17" t="str">
        <f>D21-G21</f>
        <v>0</v>
      </c>
      <c r="I21" s="269"/>
    </row>
    <row r="22" spans="1:1024" customHeight="1" ht="18.6">
      <c r="A22" s="265"/>
      <c r="B22" s="11"/>
      <c r="C22" s="12"/>
      <c r="D22" s="13"/>
      <c r="E22" s="14"/>
      <c r="F22" s="271"/>
      <c r="G22" s="270"/>
      <c r="H22" s="17" t="str">
        <f>D22-G22</f>
        <v>0</v>
      </c>
      <c r="I22" s="269"/>
    </row>
    <row r="23" spans="1:1024" customHeight="1" ht="18.6">
      <c r="A23" s="265"/>
      <c r="B23" s="11"/>
      <c r="C23" s="12"/>
      <c r="D23" s="268"/>
      <c r="E23" s="14"/>
      <c r="F23" s="271"/>
      <c r="G23" s="270"/>
      <c r="H23" s="17" t="str">
        <f>D23-G23</f>
        <v>0</v>
      </c>
      <c r="I23" s="269"/>
    </row>
    <row r="24" spans="1:1024" customHeight="1" ht="18.6">
      <c r="A24" s="265"/>
      <c r="B24" s="11"/>
      <c r="C24" s="12"/>
      <c r="D24" s="13"/>
      <c r="E24" s="461"/>
      <c r="F24" s="271"/>
      <c r="G24" s="270"/>
      <c r="H24" s="17" t="str">
        <f>D24-G24</f>
        <v>0</v>
      </c>
      <c r="I24" s="269"/>
    </row>
    <row r="25" spans="1:1024" customHeight="1" ht="18.6">
      <c r="A25" s="265"/>
      <c r="B25" s="11"/>
      <c r="C25" s="12"/>
      <c r="D25" s="268"/>
      <c r="E25" s="14"/>
      <c r="F25" s="271"/>
      <c r="G25" s="270"/>
      <c r="H25" s="17" t="str">
        <f>D25-G25</f>
        <v>0</v>
      </c>
      <c r="I25" s="269"/>
    </row>
    <row r="26" spans="1:1024" customHeight="1" ht="18.6">
      <c r="A26" s="265"/>
      <c r="B26" s="11"/>
      <c r="C26" s="12"/>
      <c r="D26" s="268"/>
      <c r="E26" s="14"/>
      <c r="F26" s="271"/>
      <c r="G26" s="272"/>
      <c r="H26" s="17" t="str">
        <f>D26-G26</f>
        <v>0</v>
      </c>
      <c r="I26" s="269"/>
    </row>
    <row r="27" spans="1:1024" customHeight="1" ht="18.6">
      <c r="A27" s="265"/>
      <c r="B27" s="11"/>
      <c r="C27" s="12"/>
      <c r="D27" s="268"/>
      <c r="E27" s="14"/>
      <c r="F27" s="271"/>
      <c r="G27" s="272"/>
      <c r="H27" s="17" t="str">
        <f>D27-G27</f>
        <v>0</v>
      </c>
      <c r="I27" s="269"/>
    </row>
    <row r="28" spans="1:1024" customHeight="1" ht="18.6">
      <c r="A28" s="273"/>
      <c r="B28" s="28" t="s">
        <v>35</v>
      </c>
      <c r="C28" s="22"/>
      <c r="D28" s="29" t="str">
        <f>+SUM(D2:D27)</f>
        <v>0</v>
      </c>
      <c r="E28" s="24"/>
      <c r="F28" s="25"/>
      <c r="G28" s="26"/>
      <c r="H28" s="30" t="str">
        <f>+SUM(H2:H27)</f>
        <v>0</v>
      </c>
      <c r="I28" s="429"/>
    </row>
    <row r="29" spans="1:1024" customHeight="1" ht="18.6">
      <c r="A29" s="357" t="s">
        <v>299</v>
      </c>
      <c r="B29" s="11" t="s">
        <v>658</v>
      </c>
      <c r="C29" s="12" t="s">
        <v>659</v>
      </c>
      <c r="D29" s="274">
        <v>891.47</v>
      </c>
      <c r="E29" s="275"/>
      <c r="F29" s="276">
        <v>44743</v>
      </c>
      <c r="G29" s="277"/>
      <c r="H29" s="17" t="str">
        <f>D29-G29</f>
        <v>0</v>
      </c>
      <c r="I29" s="269"/>
    </row>
    <row r="30" spans="1:1024" customHeight="1" ht="18.6">
      <c r="A30" s="357"/>
      <c r="B30" s="11" t="s">
        <v>311</v>
      </c>
      <c r="C30" s="12"/>
      <c r="D30" s="268">
        <v>19.38</v>
      </c>
      <c r="E30" s="14"/>
      <c r="F30" s="271">
        <v>44747</v>
      </c>
      <c r="G30" s="272"/>
      <c r="H30" s="17" t="str">
        <f>D30-G30</f>
        <v>0</v>
      </c>
      <c r="I30" s="269"/>
    </row>
    <row r="31" spans="1:1024" customHeight="1" ht="18.6">
      <c r="A31" s="357"/>
      <c r="B31" s="11" t="s">
        <v>308</v>
      </c>
      <c r="C31" s="12"/>
      <c r="D31" s="268">
        <v>3203.09</v>
      </c>
      <c r="E31" s="14" t="s">
        <v>439</v>
      </c>
      <c r="F31" s="271">
        <v>44747</v>
      </c>
      <c r="G31" s="272"/>
      <c r="H31" s="17" t="str">
        <f>D31-G31</f>
        <v>0</v>
      </c>
      <c r="I31" s="269"/>
    </row>
    <row r="32" spans="1:1024" customHeight="1" ht="18.6">
      <c r="A32" s="357"/>
      <c r="B32" s="11" t="s">
        <v>300</v>
      </c>
      <c r="C32" s="12" t="s">
        <v>303</v>
      </c>
      <c r="D32" s="268">
        <v>127.11</v>
      </c>
      <c r="E32" s="14" t="s">
        <v>302</v>
      </c>
      <c r="F32" s="271">
        <v>44747</v>
      </c>
      <c r="G32" s="272"/>
      <c r="H32" s="17" t="str">
        <f>D32-G32</f>
        <v>0</v>
      </c>
      <c r="I32" s="269"/>
    </row>
    <row r="33" spans="1:1024" customHeight="1" ht="18.6">
      <c r="A33" s="357"/>
      <c r="B33" s="11" t="s">
        <v>300</v>
      </c>
      <c r="C33" s="12" t="s">
        <v>304</v>
      </c>
      <c r="D33" s="274">
        <v>100.82</v>
      </c>
      <c r="E33" s="275"/>
      <c r="F33" s="271">
        <v>44747</v>
      </c>
      <c r="G33" s="277"/>
      <c r="H33" s="17" t="str">
        <f>D33-G33</f>
        <v>0</v>
      </c>
      <c r="I33" s="269"/>
    </row>
    <row r="34" spans="1:1024" customHeight="1" ht="18.6">
      <c r="A34" s="357"/>
      <c r="B34" s="11" t="s">
        <v>300</v>
      </c>
      <c r="C34" s="12" t="s">
        <v>305</v>
      </c>
      <c r="D34" s="268">
        <v>104.12</v>
      </c>
      <c r="E34" s="14"/>
      <c r="F34" s="271">
        <v>44747</v>
      </c>
      <c r="G34" s="272"/>
      <c r="H34" s="17" t="str">
        <f>D34-G34</f>
        <v>0</v>
      </c>
      <c r="I34" s="269"/>
    </row>
    <row r="35" spans="1:1024" customHeight="1" ht="18.6">
      <c r="A35" s="357"/>
      <c r="B35" s="11" t="s">
        <v>300</v>
      </c>
      <c r="C35" s="12" t="s">
        <v>306</v>
      </c>
      <c r="D35" s="268">
        <v>71.32</v>
      </c>
      <c r="E35" s="14"/>
      <c r="F35" s="271">
        <v>44747</v>
      </c>
      <c r="G35" s="272"/>
      <c r="H35" s="17" t="str">
        <f>D35-G35</f>
        <v>0</v>
      </c>
      <c r="I35" s="269"/>
    </row>
    <row r="36" spans="1:1024" customHeight="1" ht="18.6">
      <c r="A36" s="357"/>
      <c r="B36" s="11" t="s">
        <v>300</v>
      </c>
      <c r="C36" s="12" t="s">
        <v>307</v>
      </c>
      <c r="D36" s="268">
        <v>89.4</v>
      </c>
      <c r="E36" s="14"/>
      <c r="F36" s="271">
        <v>44747</v>
      </c>
      <c r="G36" s="272"/>
      <c r="H36" s="17" t="str">
        <f>D36-G36</f>
        <v>0</v>
      </c>
      <c r="I36" s="269"/>
    </row>
    <row r="37" spans="1:1024" customHeight="1" ht="18.6">
      <c r="A37" s="357"/>
      <c r="B37" s="11" t="s">
        <v>300</v>
      </c>
      <c r="C37" s="12" t="s">
        <v>301</v>
      </c>
      <c r="D37" s="274">
        <v>99.97</v>
      </c>
      <c r="E37" s="275" t="s">
        <v>302</v>
      </c>
      <c r="F37" s="271">
        <v>44747</v>
      </c>
      <c r="G37" s="277"/>
      <c r="H37" s="17" t="str">
        <f>D37-G37</f>
        <v>0</v>
      </c>
      <c r="I37" s="269"/>
    </row>
    <row r="38" spans="1:1024" customHeight="1" ht="18.6">
      <c r="A38" s="357"/>
      <c r="B38" s="11" t="s">
        <v>551</v>
      </c>
      <c r="C38" s="12"/>
      <c r="D38" s="268">
        <v>53.88</v>
      </c>
      <c r="E38" s="14"/>
      <c r="F38" s="271">
        <v>44747</v>
      </c>
      <c r="G38" s="272"/>
      <c r="H38" s="17" t="str">
        <f>D38-G38</f>
        <v>0</v>
      </c>
      <c r="I38" s="269"/>
    </row>
    <row r="39" spans="1:1024" customHeight="1" ht="18.6">
      <c r="A39" s="357"/>
      <c r="B39" s="11" t="s">
        <v>314</v>
      </c>
      <c r="C39" s="12"/>
      <c r="D39" s="268">
        <v>50</v>
      </c>
      <c r="E39" s="14" t="s">
        <v>315</v>
      </c>
      <c r="F39" s="271">
        <v>44748</v>
      </c>
      <c r="G39" s="272"/>
      <c r="H39" s="17" t="str">
        <f>D39-G39</f>
        <v>0</v>
      </c>
      <c r="I39" s="269"/>
    </row>
    <row r="40" spans="1:1024" customHeight="1" ht="18.6">
      <c r="A40" s="357"/>
      <c r="B40" s="11" t="s">
        <v>314</v>
      </c>
      <c r="C40" s="12"/>
      <c r="D40" s="268">
        <v>38</v>
      </c>
      <c r="E40" s="14"/>
      <c r="F40" s="271">
        <v>44748</v>
      </c>
      <c r="G40" s="272"/>
      <c r="H40" s="17" t="str">
        <f>D40-G40</f>
        <v>0</v>
      </c>
      <c r="I40" s="269"/>
    </row>
    <row r="41" spans="1:1024" customHeight="1" ht="18.6">
      <c r="A41" s="357"/>
      <c r="B41" s="11" t="s">
        <v>35</v>
      </c>
      <c r="C41" s="12" t="s">
        <v>660</v>
      </c>
      <c r="D41" s="268">
        <v>2500</v>
      </c>
      <c r="E41" s="14"/>
      <c r="F41" s="271">
        <v>44752</v>
      </c>
      <c r="G41" s="272"/>
      <c r="H41" s="17" t="str">
        <f>D41-G41</f>
        <v>0</v>
      </c>
      <c r="I41" s="269"/>
    </row>
    <row r="42" spans="1:1024" customHeight="1" ht="18.6">
      <c r="A42" s="357"/>
      <c r="B42" s="11" t="s">
        <v>316</v>
      </c>
      <c r="C42" s="12" t="s">
        <v>550</v>
      </c>
      <c r="D42" s="268" t="str">
        <f>15.95*2</f>
        <v>0</v>
      </c>
      <c r="E42" s="14" t="s">
        <v>661</v>
      </c>
      <c r="F42" s="271">
        <v>44752</v>
      </c>
      <c r="G42" s="272"/>
      <c r="H42" s="17" t="str">
        <f>D42-G42</f>
        <v>0</v>
      </c>
      <c r="I42" s="269">
        <v>44671</v>
      </c>
    </row>
    <row r="43" spans="1:1024" customHeight="1" ht="18.6">
      <c r="A43" s="357"/>
      <c r="B43" s="11" t="s">
        <v>561</v>
      </c>
      <c r="C43" s="12"/>
      <c r="D43" s="274">
        <v>16.99</v>
      </c>
      <c r="E43" s="275" t="s">
        <v>562</v>
      </c>
      <c r="F43" s="271">
        <v>44752</v>
      </c>
      <c r="G43" s="277"/>
      <c r="H43" s="17" t="str">
        <f>D43-G43</f>
        <v>0</v>
      </c>
      <c r="I43" s="269"/>
    </row>
    <row r="44" spans="1:1024" customHeight="1" ht="18.6">
      <c r="A44" s="357"/>
      <c r="B44" s="11" t="s">
        <v>437</v>
      </c>
      <c r="C44" s="12" t="s">
        <v>564</v>
      </c>
      <c r="D44" s="268">
        <v>277.96</v>
      </c>
      <c r="E44" s="14" t="s">
        <v>565</v>
      </c>
      <c r="F44" s="271">
        <v>44752</v>
      </c>
      <c r="G44" s="272"/>
      <c r="H44" s="17" t="str">
        <f>D44-G44</f>
        <v>0</v>
      </c>
      <c r="I44" s="269"/>
    </row>
    <row r="45" spans="1:1024" customHeight="1" ht="18.6">
      <c r="A45" s="357"/>
      <c r="B45" s="343" t="s">
        <v>322</v>
      </c>
      <c r="C45" s="358"/>
      <c r="D45" s="359">
        <v>11213</v>
      </c>
      <c r="E45" s="484" t="s">
        <v>323</v>
      </c>
      <c r="F45" s="486">
        <v>44757</v>
      </c>
      <c r="G45" s="485"/>
      <c r="H45" s="483" t="str">
        <f>D45-G45</f>
        <v>0</v>
      </c>
      <c r="I45" s="438"/>
    </row>
    <row r="46" spans="1:1024" customHeight="1" ht="18.6">
      <c r="A46" s="357"/>
      <c r="B46" s="11" t="s">
        <v>300</v>
      </c>
      <c r="C46" s="12" t="s">
        <v>320</v>
      </c>
      <c r="D46" s="274">
        <v>15.24</v>
      </c>
      <c r="E46" s="275" t="s">
        <v>321</v>
      </c>
      <c r="F46" s="276">
        <v>44761</v>
      </c>
      <c r="G46" s="277"/>
      <c r="H46" s="17" t="str">
        <f>D46-G46</f>
        <v>0</v>
      </c>
      <c r="I46" s="269"/>
    </row>
    <row r="47" spans="1:1024" customHeight="1" ht="18.6">
      <c r="A47" s="357"/>
      <c r="B47" s="11" t="s">
        <v>300</v>
      </c>
      <c r="C47" s="12" t="s">
        <v>324</v>
      </c>
      <c r="D47" s="268">
        <v>93.87</v>
      </c>
      <c r="E47" s="14"/>
      <c r="F47" s="271">
        <v>44761</v>
      </c>
      <c r="G47" s="272"/>
      <c r="H47" s="17" t="str">
        <f>D47-G47</f>
        <v>0</v>
      </c>
      <c r="I47" s="269"/>
    </row>
    <row r="48" spans="1:1024" customHeight="1" ht="18.6">
      <c r="A48" s="357"/>
      <c r="B48" s="343" t="s">
        <v>327</v>
      </c>
      <c r="C48" s="12" t="s">
        <v>328</v>
      </c>
      <c r="D48" s="365">
        <v>6024</v>
      </c>
      <c r="E48" s="480" t="s">
        <v>666</v>
      </c>
      <c r="F48" s="481">
        <v>44763</v>
      </c>
      <c r="G48" s="482"/>
      <c r="H48" s="483" t="str">
        <f>D48-G48</f>
        <v>0</v>
      </c>
      <c r="I48" s="438"/>
    </row>
    <row r="49" spans="1:1024" customHeight="1" ht="18.6">
      <c r="A49" s="357"/>
      <c r="B49" s="343" t="s">
        <v>337</v>
      </c>
      <c r="C49" s="358"/>
      <c r="D49" s="359">
        <v>1799.9</v>
      </c>
      <c r="E49" s="484"/>
      <c r="F49" s="481">
        <v>44763</v>
      </c>
      <c r="G49" s="485"/>
      <c r="H49" s="483" t="str">
        <f>D49-G49</f>
        <v>0</v>
      </c>
      <c r="I49" s="438">
        <v>44671</v>
      </c>
    </row>
    <row r="50" spans="1:1024" customHeight="1" ht="18.6">
      <c r="A50" s="357"/>
      <c r="B50" s="11" t="s">
        <v>314</v>
      </c>
      <c r="C50" s="12"/>
      <c r="D50" s="268">
        <v>31</v>
      </c>
      <c r="E50" s="14"/>
      <c r="F50" s="481">
        <v>44763</v>
      </c>
      <c r="G50" s="272"/>
      <c r="H50" s="17" t="str">
        <f>D50-G50</f>
        <v>0</v>
      </c>
      <c r="I50" s="269"/>
    </row>
    <row r="51" spans="1:1024" customHeight="1" ht="18.6">
      <c r="A51" s="357"/>
      <c r="B51" s="11" t="s">
        <v>314</v>
      </c>
      <c r="C51" s="12"/>
      <c r="D51" s="268">
        <v>31</v>
      </c>
      <c r="E51" s="14"/>
      <c r="F51" s="481">
        <v>44763</v>
      </c>
      <c r="G51" s="272"/>
      <c r="H51" s="17" t="str">
        <f>D51-G51</f>
        <v>0</v>
      </c>
      <c r="I51" s="269"/>
    </row>
    <row r="52" spans="1:1024" customHeight="1" ht="18.6">
      <c r="A52" s="357"/>
      <c r="B52" s="11" t="s">
        <v>314</v>
      </c>
      <c r="C52" s="12" t="s">
        <v>325</v>
      </c>
      <c r="D52" s="274">
        <v>31</v>
      </c>
      <c r="E52" s="275" t="s">
        <v>326</v>
      </c>
      <c r="F52" s="481">
        <v>44763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35</v>
      </c>
      <c r="C53" s="12" t="s">
        <v>572</v>
      </c>
      <c r="D53" s="268">
        <v>2219.29</v>
      </c>
      <c r="E53" s="14"/>
      <c r="F53" s="271">
        <v>44769</v>
      </c>
      <c r="G53" s="272"/>
      <c r="H53" s="17" t="str">
        <f>D53-G53</f>
        <v>0</v>
      </c>
      <c r="I53" s="269"/>
    </row>
    <row r="54" spans="1:1024" customHeight="1" ht="18.6">
      <c r="A54" s="357"/>
      <c r="B54" s="343" t="s">
        <v>329</v>
      </c>
      <c r="C54" s="12"/>
      <c r="D54" s="359">
        <v>2159.14</v>
      </c>
      <c r="E54" s="484" t="s">
        <v>667</v>
      </c>
      <c r="F54" s="271">
        <v>44769</v>
      </c>
      <c r="G54" s="485"/>
      <c r="H54" s="483" t="str">
        <f>D54-G54</f>
        <v>0</v>
      </c>
      <c r="I54" s="438"/>
    </row>
    <row r="55" spans="1:1024" customHeight="1" ht="18.6">
      <c r="A55" s="357"/>
      <c r="B55" s="11" t="s">
        <v>448</v>
      </c>
      <c r="C55" s="12" t="s">
        <v>449</v>
      </c>
      <c r="D55" s="274">
        <v>1188</v>
      </c>
      <c r="E55" s="275" t="s">
        <v>450</v>
      </c>
      <c r="F55" s="271">
        <v>44769</v>
      </c>
      <c r="G55" s="277"/>
      <c r="H55" s="17" t="str">
        <f>D55-G55</f>
        <v>0</v>
      </c>
      <c r="I55" s="269">
        <v>44677</v>
      </c>
    </row>
    <row r="56" spans="1:1024" customHeight="1" ht="18.6">
      <c r="A56" s="357"/>
      <c r="B56" s="11" t="s">
        <v>35</v>
      </c>
      <c r="C56" s="12" t="s">
        <v>892</v>
      </c>
      <c r="D56" s="268">
        <v>2219.29</v>
      </c>
      <c r="E56" s="14" t="s">
        <v>893</v>
      </c>
      <c r="F56" s="271">
        <v>44769</v>
      </c>
      <c r="G56" s="272"/>
      <c r="H56" s="17" t="str">
        <f>D56-G56</f>
        <v>0</v>
      </c>
      <c r="I56" s="269" t="s">
        <v>894</v>
      </c>
    </row>
    <row r="57" spans="1:1024" customHeight="1" ht="18.6">
      <c r="A57" s="357"/>
      <c r="B57" s="11" t="s">
        <v>668</v>
      </c>
      <c r="C57" s="12" t="s">
        <v>669</v>
      </c>
      <c r="D57" s="268">
        <v>34.43</v>
      </c>
      <c r="E57" s="14" t="s">
        <v>670</v>
      </c>
      <c r="F57" s="271">
        <v>44769</v>
      </c>
      <c r="G57" s="272"/>
      <c r="H57" s="17" t="str">
        <f>D57-G57</f>
        <v>0</v>
      </c>
      <c r="I57" s="438">
        <v>44676</v>
      </c>
    </row>
    <row r="58" spans="1:1024" customHeight="1" ht="18.6">
      <c r="A58" s="357"/>
      <c r="B58" s="11" t="s">
        <v>338</v>
      </c>
      <c r="C58" s="12" t="s">
        <v>339</v>
      </c>
      <c r="D58" s="268">
        <v>5283.09</v>
      </c>
      <c r="E58" s="14"/>
      <c r="F58" s="271">
        <v>44769</v>
      </c>
      <c r="G58" s="272"/>
      <c r="H58" s="17" t="str">
        <f>D58-G58</f>
        <v>0</v>
      </c>
      <c r="I58" s="269"/>
    </row>
    <row r="59" spans="1:1024" customHeight="1" ht="18.6">
      <c r="A59" s="357"/>
      <c r="B59" s="11" t="s">
        <v>437</v>
      </c>
      <c r="C59" s="12" t="s">
        <v>671</v>
      </c>
      <c r="D59" s="274">
        <v>58.93</v>
      </c>
      <c r="E59" s="275" t="s">
        <v>672</v>
      </c>
      <c r="F59" s="271">
        <v>44769</v>
      </c>
      <c r="G59" s="277"/>
      <c r="H59" s="17" t="str">
        <f>D59-G59</f>
        <v>0</v>
      </c>
      <c r="I59" s="269"/>
    </row>
    <row r="60" spans="1:1024" customHeight="1" ht="18.6">
      <c r="A60" s="357"/>
      <c r="B60" s="280" t="s">
        <v>445</v>
      </c>
      <c r="C60" s="12" t="s">
        <v>446</v>
      </c>
      <c r="D60" s="369">
        <v>936.1</v>
      </c>
      <c r="E60" s="275"/>
      <c r="F60" s="276">
        <v>44773</v>
      </c>
      <c r="G60" s="277"/>
      <c r="H60" s="17" t="str">
        <f>D60-G60</f>
        <v>0</v>
      </c>
      <c r="I60" s="269"/>
    </row>
    <row r="61" spans="1:1024" customHeight="1" ht="18.6">
      <c r="A61" s="357"/>
      <c r="B61" s="11" t="s">
        <v>164</v>
      </c>
      <c r="C61" s="12" t="s">
        <v>896</v>
      </c>
      <c r="D61" s="274">
        <v>495.07</v>
      </c>
      <c r="E61" s="275" t="s">
        <v>253</v>
      </c>
      <c r="F61" s="276">
        <v>44773</v>
      </c>
      <c r="G61" s="277"/>
      <c r="H61" s="17" t="str">
        <f>D61-G61</f>
        <v>0</v>
      </c>
      <c r="I61" s="269"/>
    </row>
    <row r="62" spans="1:1024" customHeight="1" ht="18.6">
      <c r="A62" s="357"/>
      <c r="B62" s="280"/>
      <c r="C62" s="12"/>
      <c r="D62" s="369"/>
      <c r="E62" s="275"/>
      <c r="F62" s="276"/>
      <c r="G62" s="277"/>
      <c r="H62" s="17" t="str">
        <f>D62-G62</f>
        <v>0</v>
      </c>
      <c r="I62" s="328"/>
    </row>
    <row r="63" spans="1:1024" customHeight="1" ht="18.6">
      <c r="A63" s="357"/>
      <c r="B63" s="280"/>
      <c r="C63" s="12"/>
      <c r="D63" s="369"/>
      <c r="E63" s="275"/>
      <c r="F63" s="276"/>
      <c r="G63" s="277"/>
      <c r="H63" s="17" t="str">
        <f>D63-G63</f>
        <v>0</v>
      </c>
      <c r="I63" s="372"/>
    </row>
    <row r="64" spans="1:1024" customHeight="1" ht="18.6">
      <c r="A64" s="357"/>
      <c r="B64" s="373"/>
      <c r="C64" s="12"/>
      <c r="D64" s="369"/>
      <c r="E64" s="275"/>
      <c r="F64" s="276"/>
      <c r="G64" s="277"/>
      <c r="H64" s="17" t="str">
        <f>D64-G64</f>
        <v>0</v>
      </c>
      <c r="I64" s="372"/>
    </row>
    <row r="65" spans="1:1024" customHeight="1" ht="18.6">
      <c r="A65" s="357"/>
      <c r="B65" s="280"/>
      <c r="C65" s="12"/>
      <c r="D65" s="369"/>
      <c r="E65" s="275"/>
      <c r="F65" s="276"/>
      <c r="G65" s="277"/>
      <c r="H65" s="17" t="str">
        <f>D65-G65</f>
        <v>0</v>
      </c>
      <c r="I65" s="372"/>
    </row>
    <row r="66" spans="1:1024" customHeight="1" ht="18.6">
      <c r="A66" s="357"/>
      <c r="B66" s="280" t="s">
        <v>923</v>
      </c>
      <c r="C66" s="12"/>
      <c r="D66" s="369">
        <v>40000</v>
      </c>
      <c r="E66" s="275"/>
      <c r="F66" s="276"/>
      <c r="G66" s="277"/>
      <c r="H66" s="17" t="str">
        <f>D66-G66</f>
        <v>0</v>
      </c>
      <c r="I66" s="269"/>
    </row>
    <row r="67" spans="1:1024" customHeight="1" ht="18.6">
      <c r="A67" s="357"/>
      <c r="B67" s="11"/>
      <c r="C67" s="12"/>
      <c r="D67" s="268"/>
      <c r="E67" s="14"/>
      <c r="F67" s="271"/>
      <c r="G67" s="270"/>
      <c r="H67" s="17" t="str">
        <f>D67-G67</f>
        <v>0</v>
      </c>
      <c r="I67" s="269"/>
    </row>
    <row r="68" spans="1:1024" customHeight="1" ht="18.6">
      <c r="A68" s="357"/>
      <c r="B68" s="22"/>
      <c r="C68" s="23"/>
      <c r="D68" s="23"/>
      <c r="E68" s="24"/>
      <c r="F68" s="25"/>
      <c r="G68" s="26"/>
      <c r="H68" s="17" t="str">
        <f>D68-G68</f>
        <v>0</v>
      </c>
      <c r="I68" s="375"/>
    </row>
    <row r="69" spans="1:1024" customHeight="1" ht="18.6">
      <c r="A69" s="357"/>
      <c r="B69" s="28" t="s">
        <v>35</v>
      </c>
      <c r="C69" s="22"/>
      <c r="D69" s="29" t="str">
        <f>SUM(D29:D66)</f>
        <v>0</v>
      </c>
      <c r="E69" s="24"/>
      <c r="F69" s="25"/>
      <c r="G69" s="26"/>
      <c r="H69" s="30" t="str">
        <f>+SUM(H29:H61)</f>
        <v>0</v>
      </c>
      <c r="I69" s="429"/>
    </row>
    <row r="70" spans="1:1024" customHeight="1" ht="18.6">
      <c r="A70" s="376"/>
      <c r="B70" s="322" t="s">
        <v>554</v>
      </c>
      <c r="C70" s="12"/>
      <c r="D70" s="268">
        <v>1100</v>
      </c>
      <c r="E70" s="14" t="s">
        <v>555</v>
      </c>
      <c r="F70" s="271">
        <v>44748</v>
      </c>
      <c r="G70" s="270"/>
      <c r="H70" s="17" t="str">
        <f>D70-G70</f>
        <v>0</v>
      </c>
      <c r="I70" s="267"/>
    </row>
    <row r="71" spans="1:1024" customHeight="1" ht="18.6">
      <c r="A71" s="376"/>
      <c r="B71" s="380" t="s">
        <v>559</v>
      </c>
      <c r="C71" s="381"/>
      <c r="D71" s="382">
        <v>500</v>
      </c>
      <c r="E71" s="489" t="s">
        <v>462</v>
      </c>
      <c r="F71" s="271">
        <v>44748</v>
      </c>
      <c r="G71" s="490"/>
      <c r="H71" s="17" t="str">
        <f>D71-G71</f>
        <v>0</v>
      </c>
      <c r="I71" s="491"/>
    </row>
    <row r="72" spans="1:1024" customHeight="1" ht="18.6">
      <c r="A72" s="376"/>
      <c r="B72" s="387" t="s">
        <v>686</v>
      </c>
      <c r="C72" s="388"/>
      <c r="D72" s="382">
        <v>2100</v>
      </c>
      <c r="E72" s="489" t="s">
        <v>688</v>
      </c>
      <c r="F72" s="271">
        <v>44748</v>
      </c>
      <c r="G72" s="492"/>
      <c r="H72" s="17" t="str">
        <f>D72-G72</f>
        <v>0</v>
      </c>
      <c r="I72" s="493"/>
    </row>
    <row r="73" spans="1:1024" customHeight="1" ht="18.6">
      <c r="A73" s="376"/>
      <c r="B73" s="387" t="s">
        <v>768</v>
      </c>
      <c r="C73" s="388"/>
      <c r="D73" s="382">
        <v>600</v>
      </c>
      <c r="E73" s="489" t="s">
        <v>769</v>
      </c>
      <c r="F73" s="271">
        <v>44748</v>
      </c>
      <c r="G73" s="492"/>
      <c r="H73" s="17" t="str">
        <f>D73-G73</f>
        <v>0</v>
      </c>
      <c r="I73" s="493"/>
    </row>
    <row r="74" spans="1:1024" customHeight="1" ht="18.6">
      <c r="A74" s="376"/>
      <c r="B74" s="322"/>
      <c r="C74" s="323"/>
      <c r="D74" s="268"/>
      <c r="E74" s="14"/>
      <c r="F74" s="271"/>
      <c r="G74" s="277"/>
      <c r="H74" s="17" t="str">
        <f>D74-G74</f>
        <v>0</v>
      </c>
      <c r="I74" s="325"/>
    </row>
    <row r="75" spans="1:1024" customHeight="1" ht="18.6">
      <c r="A75" s="376"/>
      <c r="B75" s="322"/>
      <c r="C75" s="323"/>
      <c r="D75" s="268"/>
      <c r="E75" s="14"/>
      <c r="F75" s="271"/>
      <c r="G75" s="277"/>
      <c r="H75" s="17" t="str">
        <f>D75-G75</f>
        <v>0</v>
      </c>
      <c r="I75" s="328"/>
    </row>
    <row r="76" spans="1:1024" customHeight="1" ht="18.6">
      <c r="A76" s="376"/>
      <c r="B76" s="322"/>
      <c r="C76" s="12"/>
      <c r="D76" s="329"/>
      <c r="E76" s="14"/>
      <c r="F76" s="271"/>
      <c r="G76" s="16"/>
      <c r="H76" s="17" t="str">
        <f>D76-G76</f>
        <v>0</v>
      </c>
      <c r="I76" s="325"/>
    </row>
    <row r="77" spans="1:1024" customHeight="1" ht="18.6">
      <c r="A77" s="376"/>
      <c r="B77" s="11"/>
      <c r="C77" s="12"/>
      <c r="D77" s="268"/>
      <c r="E77" s="14"/>
      <c r="F77" s="271"/>
      <c r="G77" s="270"/>
      <c r="H77" s="17" t="str">
        <f>D77-G77</f>
        <v>0</v>
      </c>
      <c r="I77" s="269"/>
    </row>
    <row r="78" spans="1:1024" customHeight="1" ht="18.6">
      <c r="A78" s="376"/>
      <c r="B78" s="297"/>
      <c r="C78" s="12"/>
      <c r="D78" s="268"/>
      <c r="E78" s="14"/>
      <c r="F78" s="271"/>
      <c r="G78" s="270"/>
      <c r="H78" s="17" t="str">
        <f>D78-G78</f>
        <v>0</v>
      </c>
      <c r="I78" s="267"/>
    </row>
    <row r="79" spans="1:1024" customHeight="1" ht="18.6">
      <c r="A79" s="376"/>
      <c r="B79" s="297"/>
      <c r="C79" s="12"/>
      <c r="D79" s="268"/>
      <c r="E79" s="465"/>
      <c r="F79" s="271"/>
      <c r="G79" s="270"/>
      <c r="H79" s="17" t="str">
        <f>D79-G79</f>
        <v>0</v>
      </c>
      <c r="I79" s="269"/>
    </row>
    <row r="80" spans="1:1024" customHeight="1" ht="18.6">
      <c r="A80" s="376"/>
      <c r="B80" s="297"/>
      <c r="C80" s="12"/>
      <c r="D80" s="268"/>
      <c r="E80" s="14"/>
      <c r="F80" s="271"/>
      <c r="G80" s="270"/>
      <c r="H80" s="17" t="str">
        <f>D80-G80</f>
        <v>0</v>
      </c>
      <c r="I80" s="267"/>
    </row>
    <row r="81" spans="1:1024" customHeight="1" ht="18.6">
      <c r="A81" s="376"/>
      <c r="B81" s="297"/>
      <c r="C81" s="12"/>
      <c r="D81" s="268"/>
      <c r="E81" s="14"/>
      <c r="F81" s="271"/>
      <c r="G81" s="270"/>
      <c r="H81" s="17" t="str">
        <f>D81-G81</f>
        <v>0</v>
      </c>
      <c r="I81" s="267"/>
    </row>
    <row r="82" spans="1:1024" customHeight="1" ht="18.6">
      <c r="A82" s="376"/>
      <c r="B82" s="322"/>
      <c r="C82" s="323"/>
      <c r="D82" s="268"/>
      <c r="E82" s="14"/>
      <c r="F82" s="324"/>
      <c r="G82" s="270"/>
      <c r="H82" s="17" t="str">
        <f>D82-G82</f>
        <v>0</v>
      </c>
      <c r="I82" s="325"/>
    </row>
    <row r="83" spans="1:1024" customHeight="1" ht="18.6">
      <c r="A83" s="376"/>
      <c r="B83" s="322"/>
      <c r="C83" s="323"/>
      <c r="D83" s="268"/>
      <c r="E83" s="14"/>
      <c r="F83" s="324"/>
      <c r="G83" s="270"/>
      <c r="H83" s="17" t="str">
        <f>D83-G83</f>
        <v>0</v>
      </c>
      <c r="I83" s="325"/>
    </row>
    <row r="84" spans="1:1024" customHeight="1" ht="18.6">
      <c r="A84" s="376"/>
      <c r="B84" s="322"/>
      <c r="C84" s="323"/>
      <c r="D84" s="268"/>
      <c r="E84" s="14"/>
      <c r="F84" s="324"/>
      <c r="G84" s="270"/>
      <c r="H84" s="17" t="str">
        <f>D84-G84</f>
        <v>0</v>
      </c>
      <c r="I84" s="325"/>
    </row>
    <row r="85" spans="1:1024" customHeight="1" ht="18.6">
      <c r="A85" s="376"/>
      <c r="B85" s="322"/>
      <c r="C85" s="323"/>
      <c r="D85" s="268"/>
      <c r="E85" s="14"/>
      <c r="F85" s="324"/>
      <c r="G85" s="270"/>
      <c r="H85" s="17" t="str">
        <f>D85-G85</f>
        <v>0</v>
      </c>
      <c r="I85" s="325"/>
    </row>
    <row r="86" spans="1:1024" customHeight="1" ht="20.25">
      <c r="A86" s="376"/>
      <c r="B86" s="322"/>
      <c r="C86" s="323"/>
      <c r="D86" s="268"/>
      <c r="E86" s="14"/>
      <c r="F86" s="324"/>
      <c r="G86" s="270"/>
      <c r="H86" s="17" t="str">
        <f>D86-G86</f>
        <v>0</v>
      </c>
      <c r="I86" s="325"/>
    </row>
    <row r="87" spans="1:1024" customHeight="1" ht="20.25">
      <c r="A87" s="376"/>
      <c r="B87" s="322"/>
      <c r="C87" s="323"/>
      <c r="D87" s="268"/>
      <c r="E87" s="14"/>
      <c r="F87" s="324"/>
      <c r="G87" s="270"/>
      <c r="H87" s="17" t="str">
        <f>D87-G87</f>
        <v>0</v>
      </c>
      <c r="I87" s="325"/>
    </row>
    <row r="88" spans="1:1024" customHeight="1" ht="20.25">
      <c r="A88" s="376"/>
      <c r="B88" s="322"/>
      <c r="C88" s="323"/>
      <c r="D88" s="268"/>
      <c r="E88" s="14"/>
      <c r="F88" s="324"/>
      <c r="G88" s="272"/>
      <c r="H88" s="17" t="str">
        <f>D88-G88</f>
        <v>0</v>
      </c>
      <c r="I88" s="325"/>
    </row>
    <row r="89" spans="1:1024" customHeight="1" ht="20.25">
      <c r="A89" s="376"/>
      <c r="B89" s="322"/>
      <c r="C89" s="323"/>
      <c r="D89" s="268"/>
      <c r="E89" s="14"/>
      <c r="F89" s="324"/>
      <c r="G89" s="272"/>
      <c r="H89" s="17" t="str">
        <f>D89-G89</f>
        <v>0</v>
      </c>
      <c r="I89" s="325"/>
    </row>
    <row r="90" spans="1:1024" customHeight="1" ht="20.25">
      <c r="A90" s="376"/>
      <c r="B90" s="322"/>
      <c r="C90" s="323"/>
      <c r="D90" s="268"/>
      <c r="E90" s="14"/>
      <c r="F90" s="324"/>
      <c r="G90" s="272"/>
      <c r="H90" s="17" t="str">
        <f>D90-G90</f>
        <v>0</v>
      </c>
      <c r="I90" s="328"/>
    </row>
    <row r="91" spans="1:1024" customHeight="1" ht="20.25">
      <c r="A91" s="376"/>
      <c r="B91" s="322"/>
      <c r="C91" s="323"/>
      <c r="D91" s="268"/>
      <c r="E91" s="14"/>
      <c r="F91" s="324"/>
      <c r="G91" s="272"/>
      <c r="H91" s="17" t="str">
        <f>D91-G91</f>
        <v>0</v>
      </c>
      <c r="I91" s="325"/>
    </row>
    <row r="92" spans="1:1024" customHeight="1" ht="20.25">
      <c r="A92" s="376"/>
      <c r="B92" s="322"/>
      <c r="C92" s="323"/>
      <c r="D92" s="268"/>
      <c r="E92" s="14"/>
      <c r="F92" s="324"/>
      <c r="G92" s="272"/>
      <c r="H92" s="17" t="str">
        <f>D92-G92</f>
        <v>0</v>
      </c>
      <c r="I92" s="328"/>
    </row>
    <row r="93" spans="1:1024" customHeight="1" ht="20.25">
      <c r="A93" s="376"/>
      <c r="B93" s="322"/>
      <c r="C93" s="323"/>
      <c r="D93" s="268"/>
      <c r="E93" s="330"/>
      <c r="F93" s="324"/>
      <c r="G93" s="272"/>
      <c r="H93" s="17" t="str">
        <f>D93-G93</f>
        <v>0</v>
      </c>
      <c r="I93" s="328"/>
    </row>
    <row r="94" spans="1:1024" customHeight="1" ht="20.25">
      <c r="A94" s="376"/>
      <c r="B94" s="297"/>
      <c r="C94" s="12"/>
      <c r="D94" s="268"/>
      <c r="E94" s="14"/>
      <c r="F94" s="271"/>
      <c r="G94" s="272"/>
      <c r="H94" s="17" t="str">
        <f>D94-G94</f>
        <v>0</v>
      </c>
      <c r="I94" s="267"/>
    </row>
    <row r="95" spans="1:1024" customHeight="1" ht="20.25">
      <c r="A95" s="376"/>
      <c r="B95" s="322"/>
      <c r="C95" s="323"/>
      <c r="D95" s="268"/>
      <c r="E95" s="237"/>
      <c r="F95" s="324"/>
      <c r="G95" s="272"/>
      <c r="H95" s="17" t="str">
        <f>D95-G95</f>
        <v>0</v>
      </c>
      <c r="I95" s="328"/>
    </row>
    <row r="96" spans="1:1024" customHeight="1" ht="20.25">
      <c r="A96" s="376"/>
      <c r="B96" s="322"/>
      <c r="C96" s="323"/>
      <c r="D96" s="268"/>
      <c r="E96" s="330"/>
      <c r="F96" s="324"/>
      <c r="G96" s="272"/>
      <c r="H96" s="17"/>
      <c r="I96" s="325"/>
    </row>
    <row r="97" spans="1:1024" customHeight="1" ht="20.25">
      <c r="A97" s="376"/>
      <c r="B97" s="322"/>
      <c r="C97" s="323"/>
      <c r="D97" s="268"/>
      <c r="E97" s="330"/>
      <c r="F97" s="324"/>
      <c r="G97" s="272"/>
      <c r="H97" s="17" t="str">
        <f>D97-G97</f>
        <v>0</v>
      </c>
      <c r="I97" s="325"/>
    </row>
    <row r="98" spans="1:1024" customHeight="1" ht="20.25">
      <c r="A98" s="376"/>
      <c r="B98" s="322"/>
      <c r="C98" s="323"/>
      <c r="D98" s="268"/>
      <c r="E98" s="330"/>
      <c r="F98" s="324"/>
      <c r="G98" s="272"/>
      <c r="H98" s="17" t="str">
        <f>D98-G98</f>
        <v>0</v>
      </c>
      <c r="I98" s="325"/>
    </row>
    <row r="99" spans="1:1024" customHeight="1" ht="18.6">
      <c r="A99" s="376"/>
      <c r="B99" s="311" t="s">
        <v>35</v>
      </c>
      <c r="C99" s="312"/>
      <c r="D99" s="313" t="str">
        <f>SUM(D70:D98)</f>
        <v>0</v>
      </c>
      <c r="E99" s="314"/>
      <c r="F99" s="315"/>
      <c r="G99" s="316"/>
      <c r="H99" s="295" t="str">
        <f>+SUM(H70:H90)</f>
        <v>0</v>
      </c>
      <c r="I99" s="296"/>
    </row>
    <row r="100" spans="1:1024" customHeight="1" ht="21">
      <c r="A100" s="331"/>
      <c r="B100" s="31"/>
      <c r="C100" s="32"/>
      <c r="D100" s="33"/>
      <c r="E100" s="34"/>
    </row>
    <row r="101" spans="1:1024" customHeight="1" ht="21">
      <c r="A101" s="332" t="s">
        <v>388</v>
      </c>
      <c r="B101" s="35"/>
      <c r="C101" s="333"/>
      <c r="D101" s="334" t="str">
        <f>+SUM(D99+D69+D28)</f>
        <v>0</v>
      </c>
      <c r="H101" s="334" t="str">
        <f>+SUM(H99+H69+H28)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7"/>
    <mergeCell ref="K8:M8"/>
    <mergeCell ref="K10:L10"/>
    <mergeCell ref="K13:M13"/>
    <mergeCell ref="K16:M16"/>
    <mergeCell ref="A29:A69"/>
    <mergeCell ref="A70:A99"/>
  </mergeCells>
  <conditionalFormatting sqref="C70:E70">
    <cfRule type="expression" dxfId="0" priority="1">
      <formula>MOD(ROW(),2)=1</formula>
    </cfRule>
  </conditionalFormatting>
  <conditionalFormatting sqref="C19:E19">
    <cfRule type="expression" dxfId="0" priority="2">
      <formula>MOD(ROW(),2)=1</formula>
    </cfRule>
  </conditionalFormatting>
  <conditionalFormatting sqref="B23">
    <cfRule type="expression" dxfId="0" priority="3">
      <formula>MOD(ROW(),2)=1</formula>
    </cfRule>
  </conditionalFormatting>
  <conditionalFormatting sqref="I12:I13">
    <cfRule type="expression" dxfId="0" priority="4">
      <formula>MOD(ROW(),2)=1</formula>
    </cfRule>
  </conditionalFormatting>
  <conditionalFormatting sqref="B2:I2">
    <cfRule type="expression" dxfId="0" priority="5">
      <formula>MOD(ROW(),2)=1</formula>
    </cfRule>
  </conditionalFormatting>
  <conditionalFormatting sqref="B73:D74">
    <cfRule type="expression" dxfId="0" priority="6">
      <formula>MOD(ROW(),2)=1</formula>
    </cfRule>
  </conditionalFormatting>
  <conditionalFormatting sqref="B77:D77">
    <cfRule type="expression" dxfId="0" priority="7">
      <formula>MOD(ROW(),2)=1</formula>
    </cfRule>
  </conditionalFormatting>
  <conditionalFormatting sqref="B82:D92">
    <cfRule type="expression" dxfId="0" priority="8">
      <formula>MOD(ROW(),2)=1</formula>
    </cfRule>
  </conditionalFormatting>
  <conditionalFormatting sqref="F82:G92">
    <cfRule type="expression" dxfId="0" priority="9">
      <formula>MOD(ROW(),2)=1</formula>
    </cfRule>
  </conditionalFormatting>
  <conditionalFormatting sqref="B93:G99">
    <cfRule type="expression" dxfId="0" priority="10">
      <formula>MOD(ROW(),2)=1</formula>
    </cfRule>
  </conditionalFormatting>
  <conditionalFormatting sqref="B71:E72">
    <cfRule type="expression" dxfId="0" priority="11">
      <formula>MOD(ROW(),2)=1</formula>
    </cfRule>
  </conditionalFormatting>
  <conditionalFormatting sqref="B53:G53">
    <cfRule type="expression" dxfId="0" priority="12">
      <formula>MOD(ROW(),2)=1</formula>
    </cfRule>
  </conditionalFormatting>
  <conditionalFormatting sqref="B68:G69">
    <cfRule type="expression" dxfId="0" priority="13">
      <formula>MOD(ROW(),2)=1</formula>
    </cfRule>
  </conditionalFormatting>
  <conditionalFormatting sqref="B78:G81">
    <cfRule type="expression" dxfId="0" priority="14">
      <formula>MOD(ROW(),2)=1</formula>
    </cfRule>
  </conditionalFormatting>
  <conditionalFormatting sqref="F3:F23">
    <cfRule type="expression" dxfId="0" priority="15">
      <formula>MOD(ROW(),2)=1</formula>
    </cfRule>
  </conditionalFormatting>
  <conditionalFormatting sqref="G3:G19">
    <cfRule type="expression" dxfId="0" priority="16">
      <formula>MOD(ROW(),2)=1</formula>
    </cfRule>
  </conditionalFormatting>
  <conditionalFormatting sqref="I3:I10">
    <cfRule type="expression" dxfId="0" priority="17">
      <formula>MOD(ROW(),2)=1</formula>
    </cfRule>
  </conditionalFormatting>
  <conditionalFormatting sqref="B3:E18">
    <cfRule type="expression" dxfId="0" priority="18">
      <formula>MOD(ROW(),2)=1</formula>
    </cfRule>
  </conditionalFormatting>
  <conditionalFormatting sqref="H3:H27">
    <cfRule type="expression" dxfId="0" priority="19">
      <formula>MOD(ROW(),2)=1</formula>
    </cfRule>
  </conditionalFormatting>
  <conditionalFormatting sqref="B60:G65">
    <cfRule type="expression" dxfId="0" priority="20">
      <formula>MOD(ROW(),2)=1</formula>
    </cfRule>
  </conditionalFormatting>
  <conditionalFormatting sqref="I70:I99">
    <cfRule type="expression" dxfId="0" priority="21">
      <formula>MOD(ROW(),2)=1</formula>
    </cfRule>
  </conditionalFormatting>
  <conditionalFormatting sqref="H29:H44">
    <cfRule type="expression" dxfId="0" priority="22">
      <formula>MOD(ROW(),2)=1</formula>
    </cfRule>
  </conditionalFormatting>
  <conditionalFormatting sqref="B41:G41">
    <cfRule type="expression" dxfId="0" priority="23">
      <formula>MOD(ROW(),2)=1</formula>
    </cfRule>
  </conditionalFormatting>
  <conditionalFormatting sqref="I43">
    <cfRule type="expression" dxfId="0" priority="24">
      <formula>MOD(ROW(),2)=1</formula>
    </cfRule>
  </conditionalFormatting>
  <conditionalFormatting sqref="B46:G46">
    <cfRule type="expression" dxfId="0" priority="25">
      <formula>MOD(ROW(),2)=1</formula>
    </cfRule>
  </conditionalFormatting>
  <conditionalFormatting sqref="I46">
    <cfRule type="expression" dxfId="0" priority="26">
      <formula>MOD(ROW(),2)=1</formula>
    </cfRule>
  </conditionalFormatting>
  <conditionalFormatting sqref="B48:G48">
    <cfRule type="expression" dxfId="0" priority="27">
      <formula>MOD(ROW(),2)=1</formula>
    </cfRule>
  </conditionalFormatting>
  <conditionalFormatting sqref="I48">
    <cfRule type="expression" dxfId="0" priority="28">
      <formula>MOD(ROW(),2)=1</formula>
    </cfRule>
  </conditionalFormatting>
  <conditionalFormatting sqref="C75:D76">
    <cfRule type="expression" dxfId="0" priority="29">
      <formula>MOD(ROW(),2)=1</formula>
    </cfRule>
  </conditionalFormatting>
  <conditionalFormatting sqref="B42:E43">
    <cfRule type="expression" dxfId="0" priority="30">
      <formula>MOD(ROW(),2)=1</formula>
    </cfRule>
  </conditionalFormatting>
  <conditionalFormatting sqref="G42:G43">
    <cfRule type="cellIs" dxfId="3" priority="31" operator="lessThan">
      <formula>TODAY()</formula>
    </cfRule>
    <cfRule type="timePeriod" dxfId="1" priority="32" timePeriod="last7Days">
      <formula/>
    </cfRule>
    <cfRule type="timePeriod" dxfId="1" priority="33" timePeriod="yesterday">
      <formula/>
    </cfRule>
    <cfRule type="timePeriod" dxfId="1" priority="34" timePeriod="lastMonth">
      <formula/>
    </cfRule>
    <cfRule type="timePeriod" dxfId="1" priority="35" timePeriod="yesterday">
      <formula/>
    </cfRule>
    <cfRule type="timePeriod" dxfId="1" priority="36" timePeriod="today">
      <formula/>
    </cfRule>
  </conditionalFormatting>
  <conditionalFormatting sqref="F70:G77">
    <cfRule type="expression" dxfId="0" priority="37">
      <formula>MOD(ROW(),2)=1</formula>
    </cfRule>
  </conditionalFormatting>
  <conditionalFormatting sqref="I60:I65">
    <cfRule type="expression" dxfId="0" priority="38">
      <formula>MOD(ROW(),2)=1</formula>
    </cfRule>
  </conditionalFormatting>
  <conditionalFormatting sqref="I68">
    <cfRule type="expression" dxfId="0" priority="39">
      <formula>MOD(ROW(),2)=1</formula>
    </cfRule>
  </conditionalFormatting>
  <conditionalFormatting sqref="H46:H68">
    <cfRule type="expression" dxfId="0" priority="40">
      <formula>MOD(ROW(),2)=1</formula>
    </cfRule>
  </conditionalFormatting>
  <conditionalFormatting sqref="H70:H98">
    <cfRule type="expression" dxfId="0" priority="41">
      <formula>MOD(ROW(),2)=1</formula>
    </cfRule>
  </conditionalFormatting>
  <conditionalFormatting sqref="F2:G11">
    <cfRule type="timePeriod" dxfId="1" priority="42" timePeriod="yesterday">
      <formula/>
    </cfRule>
    <cfRule type="timePeriod" dxfId="1" priority="43" timePeriod="today">
      <formula/>
    </cfRule>
    <cfRule type="cellIs" dxfId="2" priority="44" operator="lessThan">
      <formula>_xludf.today()</formula>
    </cfRule>
  </conditionalFormatting>
  <conditionalFormatting sqref="F20:F23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F53:G53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F2:G19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F60:G65">
    <cfRule type="cellIs" dxfId="3" priority="63" operator="lessThan">
      <formula>TODAY()</formula>
    </cfRule>
    <cfRule type="timePeriod" dxfId="1" priority="64" timePeriod="last7Days">
      <formula/>
    </cfRule>
    <cfRule type="timePeriod" dxfId="1" priority="65" timePeriod="yesterday">
      <formula/>
    </cfRule>
    <cfRule type="timePeriod" dxfId="1" priority="66" timePeriod="lastMonth">
      <formula/>
    </cfRule>
    <cfRule type="timePeriod" dxfId="1" priority="67" timePeriod="yesterday">
      <formula/>
    </cfRule>
    <cfRule type="timePeriod" dxfId="1" priority="68" timePeriod="today">
      <formula/>
    </cfRule>
  </conditionalFormatting>
  <conditionalFormatting sqref="F41:G41">
    <cfRule type="cellIs" dxfId="3" priority="69" operator="lessThan">
      <formula>TODAY()</formula>
    </cfRule>
    <cfRule type="timePeriod" dxfId="1" priority="70" timePeriod="last7Days">
      <formula/>
    </cfRule>
    <cfRule type="timePeriod" dxfId="1" priority="71" timePeriod="yesterday">
      <formula/>
    </cfRule>
    <cfRule type="timePeriod" dxfId="1" priority="72" timePeriod="lastMonth">
      <formula/>
    </cfRule>
    <cfRule type="timePeriod" dxfId="1" priority="73" timePeriod="yesterday">
      <formula/>
    </cfRule>
    <cfRule type="timePeriod" dxfId="1" priority="74" timePeriod="today">
      <formula/>
    </cfRule>
  </conditionalFormatting>
  <conditionalFormatting sqref="F46:G46">
    <cfRule type="cellIs" dxfId="3" priority="75" operator="lessThan">
      <formula>TODAY()</formula>
    </cfRule>
    <cfRule type="timePeriod" dxfId="1" priority="76" timePeriod="last7Days">
      <formula/>
    </cfRule>
    <cfRule type="timePeriod" dxfId="1" priority="77" timePeriod="yesterday">
      <formula/>
    </cfRule>
    <cfRule type="timePeriod" dxfId="1" priority="78" timePeriod="lastMonth">
      <formula/>
    </cfRule>
    <cfRule type="timePeriod" dxfId="1" priority="79" timePeriod="yesterday">
      <formula/>
    </cfRule>
    <cfRule type="timePeriod" dxfId="1" priority="80" timePeriod="today">
      <formula/>
    </cfRule>
  </conditionalFormatting>
  <conditionalFormatting sqref="F48:G48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F68:G99">
    <cfRule type="cellIs" dxfId="3" priority="87" operator="lessThan">
      <formula>TODAY()</formula>
    </cfRule>
    <cfRule type="timePeriod" dxfId="1" priority="88" timePeriod="last7Days">
      <formula/>
    </cfRule>
    <cfRule type="timePeriod" dxfId="1" priority="89" timePeriod="yesterday">
      <formula/>
    </cfRule>
    <cfRule type="timePeriod" dxfId="1" priority="90" timePeriod="lastMonth">
      <formula/>
    </cfRule>
    <cfRule type="timePeriod" dxfId="1" priority="91" timePeriod="yesterday">
      <formula/>
    </cfRule>
    <cfRule type="timePeriod" dxfId="1" priority="92" timePeriod="today">
      <formula/>
    </cfRule>
  </conditionalFormatting>
  <conditionalFormatting sqref="B70">
    <cfRule type="expression" dxfId="0" priority="93">
      <formula>MOD(ROW(),2)=1</formula>
    </cfRule>
  </conditionalFormatting>
  <conditionalFormatting sqref="F12:G12">
    <cfRule type="timePeriod" dxfId="1" priority="94" timePeriod="yesterday">
      <formula/>
    </cfRule>
    <cfRule type="timePeriod" dxfId="1" priority="95" timePeriod="today">
      <formula/>
    </cfRule>
    <cfRule type="cellIs" dxfId="2" priority="96" operator="lessThan">
      <formula>_xludf.today()</formula>
    </cfRule>
  </conditionalFormatting>
  <conditionalFormatting sqref="F13:G13">
    <cfRule type="timePeriod" dxfId="1" priority="97" timePeriod="yesterday">
      <formula/>
    </cfRule>
    <cfRule type="timePeriod" dxfId="1" priority="98" timePeriod="today">
      <formula/>
    </cfRule>
    <cfRule type="cellIs" dxfId="2" priority="99" operator="lessThan">
      <formula>_xludf.today()</formula>
    </cfRule>
  </conditionalFormatting>
  <conditionalFormatting sqref="B20:G23">
    <cfRule type="expression" dxfId="0" priority="100">
      <formula>MOD(ROW(),2)=1</formula>
    </cfRule>
  </conditionalFormatting>
  <conditionalFormatting sqref="B24:C24">
    <cfRule type="expression" dxfId="0" priority="101">
      <formula>MOD(ROW(),2)=1</formula>
    </cfRule>
  </conditionalFormatting>
  <conditionalFormatting sqref="F24:G24">
    <cfRule type="expression" dxfId="0" priority="102">
      <formula>MOD(ROW(),2)=1</formula>
    </cfRule>
  </conditionalFormatting>
  <conditionalFormatting sqref="F20:G24">
    <cfRule type="cellIs" dxfId="3" priority="103" operator="lessThan">
      <formula>TODAY()</formula>
    </cfRule>
    <cfRule type="timePeriod" dxfId="1" priority="104" timePeriod="last7Days">
      <formula/>
    </cfRule>
    <cfRule type="timePeriod" dxfId="1" priority="105" timePeriod="yesterday">
      <formula/>
    </cfRule>
    <cfRule type="timePeriod" dxfId="1" priority="106" timePeriod="lastMonth">
      <formula/>
    </cfRule>
    <cfRule type="timePeriod" dxfId="1" priority="107" timePeriod="yesterday">
      <formula/>
    </cfRule>
    <cfRule type="timePeriod" dxfId="1" priority="108" timePeriod="today">
      <formula/>
    </cfRule>
  </conditionalFormatting>
  <conditionalFormatting sqref="B25:G27">
    <cfRule type="expression" dxfId="0" priority="109">
      <formula>MOD(ROW(),2)=1</formula>
    </cfRule>
  </conditionalFormatting>
  <conditionalFormatting sqref="F25:G27">
    <cfRule type="cellIs" dxfId="3" priority="110" operator="lessThan">
      <formula>TODAY()</formula>
    </cfRule>
    <cfRule type="timePeriod" dxfId="1" priority="111" timePeriod="last7Days">
      <formula/>
    </cfRule>
    <cfRule type="timePeriod" dxfId="1" priority="112" timePeriod="yesterday">
      <formula/>
    </cfRule>
    <cfRule type="timePeriod" dxfId="1" priority="113" timePeriod="lastMonth">
      <formula/>
    </cfRule>
    <cfRule type="timePeriod" dxfId="1" priority="114" timePeriod="yesterday">
      <formula/>
    </cfRule>
    <cfRule type="timePeriod" dxfId="1" priority="115" timePeriod="today">
      <formula/>
    </cfRule>
  </conditionalFormatting>
  <conditionalFormatting sqref="I14:I24">
    <cfRule type="expression" dxfId="0" priority="116">
      <formula>MOD(ROW(),2)=1</formula>
    </cfRule>
  </conditionalFormatting>
  <conditionalFormatting sqref="B75:B76">
    <cfRule type="expression" dxfId="0" priority="117">
      <formula>MOD(ROW(),2)=1</formula>
    </cfRule>
  </conditionalFormatting>
  <conditionalFormatting sqref="E76">
    <cfRule type="expression" dxfId="0" priority="118">
      <formula>MOD(ROW(),2)=1</formula>
    </cfRule>
  </conditionalFormatting>
  <conditionalFormatting sqref="F13:F14">
    <cfRule type="timePeriod" dxfId="1" priority="119" timePeriod="yesterday">
      <formula/>
    </cfRule>
    <cfRule type="timePeriod" dxfId="1" priority="120" timePeriod="today">
      <formula/>
    </cfRule>
    <cfRule type="cellIs" dxfId="2" priority="121" operator="lessThan">
      <formula>_xludf.today()</formula>
    </cfRule>
  </conditionalFormatting>
  <conditionalFormatting sqref="F15">
    <cfRule type="timePeriod" dxfId="1" priority="122" timePeriod="yesterday">
      <formula/>
    </cfRule>
    <cfRule type="timePeriod" dxfId="1" priority="123" timePeriod="today">
      <formula/>
    </cfRule>
    <cfRule type="cellIs" dxfId="2" priority="124" operator="lessThan">
      <formula>_xludf.today()</formula>
    </cfRule>
  </conditionalFormatting>
  <conditionalFormatting sqref="F18">
    <cfRule type="timePeriod" dxfId="1" priority="125" timePeriod="yesterday">
      <formula/>
    </cfRule>
    <cfRule type="timePeriod" dxfId="1" priority="126" timePeriod="today">
      <formula/>
    </cfRule>
    <cfRule type="cellIs" dxfId="2" priority="127" operator="lessThan">
      <formula>_xludf.today()</formula>
    </cfRule>
  </conditionalFormatting>
  <conditionalFormatting sqref="B19">
    <cfRule type="expression" dxfId="0" priority="128">
      <formula>MOD(ROW(),2)=1</formula>
    </cfRule>
    <cfRule type="expression" dxfId="0" priority="129">
      <formula>MOD(ROW(),2)=1</formula>
    </cfRule>
  </conditionalFormatting>
  <conditionalFormatting sqref="B20:B22">
    <cfRule type="expression" dxfId="0" priority="130">
      <formula>MOD(ROW(),2)=1</formula>
    </cfRule>
  </conditionalFormatting>
  <conditionalFormatting sqref="I69">
    <cfRule type="expression" dxfId="0" priority="131">
      <formula>MOD(ROW(),2)=1</formula>
    </cfRule>
    <cfRule type="expression" dxfId="0" priority="132">
      <formula>MOD(ROW(),2)=1</formula>
    </cfRule>
  </conditionalFormatting>
  <conditionalFormatting sqref="H69">
    <cfRule type="expression" dxfId="0" priority="133">
      <formula>MOD(ROW(),2)=1</formula>
    </cfRule>
  </conditionalFormatting>
  <conditionalFormatting sqref="H99">
    <cfRule type="expression" dxfId="0" priority="134">
      <formula>MOD(ROW(),2)=1</formula>
    </cfRule>
  </conditionalFormatting>
  <conditionalFormatting sqref="I25:I27">
    <cfRule type="expression" dxfId="0" priority="135">
      <formula>MOD(ROW(),2)=1</formula>
    </cfRule>
  </conditionalFormatting>
  <conditionalFormatting sqref="I11">
    <cfRule type="expression" dxfId="0" priority="136">
      <formula>MOD(ROW(),2)=1</formula>
    </cfRule>
  </conditionalFormatting>
  <conditionalFormatting sqref="D29:G29">
    <cfRule type="expression" dxfId="0" priority="137">
      <formula>MOD(ROW(),2)=1</formula>
    </cfRule>
  </conditionalFormatting>
  <conditionalFormatting sqref="D32:E33">
    <cfRule type="expression" dxfId="0" priority="138">
      <formula>MOD(ROW(),2)=1</formula>
    </cfRule>
  </conditionalFormatting>
  <conditionalFormatting sqref="D36:E37">
    <cfRule type="expression" dxfId="0" priority="139">
      <formula>MOD(ROW(),2)=1</formula>
    </cfRule>
  </conditionalFormatting>
  <conditionalFormatting sqref="D40:G40">
    <cfRule type="expression" dxfId="0" priority="140">
      <formula>MOD(ROW(),2)=1</formula>
    </cfRule>
  </conditionalFormatting>
  <conditionalFormatting sqref="D51:E52">
    <cfRule type="expression" dxfId="0" priority="141">
      <formula>MOD(ROW(),2)=1</formula>
    </cfRule>
  </conditionalFormatting>
  <conditionalFormatting sqref="D54:E55">
    <cfRule type="expression" dxfId="0" priority="142">
      <formula>MOD(ROW(),2)=1</formula>
    </cfRule>
  </conditionalFormatting>
  <conditionalFormatting sqref="D58:E59">
    <cfRule type="expression" dxfId="0" priority="143">
      <formula>MOD(ROW(),2)=1</formula>
    </cfRule>
  </conditionalFormatting>
  <conditionalFormatting sqref="G58:G59">
    <cfRule type="cellIs" dxfId="3" priority="144" operator="lessThan">
      <formula>TODAY()</formula>
    </cfRule>
    <cfRule type="timePeriod" dxfId="1" priority="145" timePeriod="last7Days">
      <formula/>
    </cfRule>
    <cfRule type="timePeriod" dxfId="1" priority="146" timePeriod="yesterday">
      <formula/>
    </cfRule>
    <cfRule type="timePeriod" dxfId="1" priority="147" timePeriod="lastMonth">
      <formula/>
    </cfRule>
    <cfRule type="timePeriod" dxfId="1" priority="148" timePeriod="yesterday">
      <formula/>
    </cfRule>
    <cfRule type="timePeriod" dxfId="1" priority="149" timePeriod="today">
      <formula/>
    </cfRule>
  </conditionalFormatting>
  <conditionalFormatting sqref="G54:G55">
    <cfRule type="cellIs" dxfId="3" priority="150" operator="lessThan">
      <formula>TODAY()</formula>
    </cfRule>
    <cfRule type="timePeriod" dxfId="1" priority="151" timePeriod="last7Days">
      <formula/>
    </cfRule>
    <cfRule type="timePeriod" dxfId="1" priority="152" timePeriod="yesterday">
      <formula/>
    </cfRule>
    <cfRule type="timePeriod" dxfId="1" priority="153" timePeriod="lastMonth">
      <formula/>
    </cfRule>
    <cfRule type="timePeriod" dxfId="1" priority="154" timePeriod="yesterday">
      <formula/>
    </cfRule>
    <cfRule type="timePeriod" dxfId="1" priority="155" timePeriod="today">
      <formula/>
    </cfRule>
  </conditionalFormatting>
  <conditionalFormatting sqref="G51:G52">
    <cfRule type="cellIs" dxfId="3" priority="156" operator="lessThan">
      <formula>TODAY()</formula>
    </cfRule>
    <cfRule type="timePeriod" dxfId="1" priority="157" timePeriod="last7Days">
      <formula/>
    </cfRule>
    <cfRule type="timePeriod" dxfId="1" priority="158" timePeriod="yesterday">
      <formula/>
    </cfRule>
    <cfRule type="timePeriod" dxfId="1" priority="159" timePeriod="lastMonth">
      <formula/>
    </cfRule>
    <cfRule type="timePeriod" dxfId="1" priority="160" timePeriod="yesterday">
      <formula/>
    </cfRule>
    <cfRule type="timePeriod" dxfId="1" priority="161" timePeriod="today">
      <formula/>
    </cfRule>
  </conditionalFormatting>
  <conditionalFormatting sqref="G36:G37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G32:G33">
    <cfRule type="cellIs" dxfId="3" priority="168" operator="lessThan">
      <formula>TODAY()</formula>
    </cfRule>
    <cfRule type="timePeriod" dxfId="1" priority="169" timePeriod="last7Days">
      <formula/>
    </cfRule>
    <cfRule type="timePeriod" dxfId="1" priority="170" timePeriod="yesterday">
      <formula/>
    </cfRule>
    <cfRule type="timePeriod" dxfId="1" priority="171" timePeriod="lastMonth">
      <formula/>
    </cfRule>
    <cfRule type="timePeriod" dxfId="1" priority="172" timePeriod="yesterday">
      <formula/>
    </cfRule>
    <cfRule type="timePeriod" dxfId="1" priority="173" timePeriod="today">
      <formula/>
    </cfRule>
  </conditionalFormatting>
  <conditionalFormatting sqref="F29:G29">
    <cfRule type="cellIs" dxfId="3" priority="174" operator="lessThan">
      <formula>TODAY()</formula>
    </cfRule>
    <cfRule type="timePeriod" dxfId="1" priority="175" timePeriod="last7Days">
      <formula/>
    </cfRule>
    <cfRule type="timePeriod" dxfId="1" priority="176" timePeriod="yesterday">
      <formula/>
    </cfRule>
    <cfRule type="timePeriod" dxfId="1" priority="177" timePeriod="lastMonth">
      <formula/>
    </cfRule>
    <cfRule type="timePeriod" dxfId="1" priority="178" timePeriod="yesterday">
      <formula/>
    </cfRule>
    <cfRule type="timePeriod" dxfId="1" priority="179" timePeriod="today">
      <formula/>
    </cfRule>
  </conditionalFormatting>
  <conditionalFormatting sqref="F40:G40">
    <cfRule type="cellIs" dxfId="3" priority="180" operator="lessThan">
      <formula>TODAY()</formula>
    </cfRule>
    <cfRule type="timePeriod" dxfId="1" priority="181" timePeriod="last7Days">
      <formula/>
    </cfRule>
    <cfRule type="timePeriod" dxfId="1" priority="182" timePeriod="yesterday">
      <formula/>
    </cfRule>
    <cfRule type="timePeriod" dxfId="1" priority="183" timePeriod="lastMonth">
      <formula/>
    </cfRule>
    <cfRule type="timePeriod" dxfId="1" priority="184" timePeriod="yesterday">
      <formula/>
    </cfRule>
    <cfRule type="timePeriod" dxfId="1" priority="185" timePeriod="today">
      <formula/>
    </cfRule>
  </conditionalFormatting>
  <conditionalFormatting sqref="B30:G30">
    <cfRule type="expression" dxfId="0" priority="186">
      <formula>MOD(ROW(),2)=1</formula>
    </cfRule>
  </conditionalFormatting>
  <conditionalFormatting sqref="B34:E35">
    <cfRule type="expression" dxfId="0" priority="187">
      <formula>MOD(ROW(),2)=1</formula>
    </cfRule>
  </conditionalFormatting>
  <conditionalFormatting sqref="B39:G39">
    <cfRule type="expression" dxfId="0" priority="188">
      <formula>MOD(ROW(),2)=1</formula>
    </cfRule>
  </conditionalFormatting>
  <conditionalFormatting sqref="B44:E44">
    <cfRule type="expression" dxfId="0" priority="189">
      <formula>MOD(ROW(),2)=1</formula>
    </cfRule>
  </conditionalFormatting>
  <conditionalFormatting sqref="B47:G47">
    <cfRule type="expression" dxfId="0" priority="190">
      <formula>MOD(ROW(),2)=1</formula>
    </cfRule>
  </conditionalFormatting>
  <conditionalFormatting sqref="B49:E50">
    <cfRule type="expression" dxfId="0" priority="191">
      <formula>MOD(ROW(),2)=1</formula>
    </cfRule>
  </conditionalFormatting>
  <conditionalFormatting sqref="B56:E57">
    <cfRule type="expression" dxfId="0" priority="192">
      <formula>MOD(ROW(),2)=1</formula>
    </cfRule>
  </conditionalFormatting>
  <conditionalFormatting sqref="B29:C29">
    <cfRule type="expression" dxfId="0" priority="193">
      <formula>MOD(ROW(),2)=1</formula>
    </cfRule>
  </conditionalFormatting>
  <conditionalFormatting sqref="B32:C33">
    <cfRule type="expression" dxfId="0" priority="194">
      <formula>MOD(ROW(),2)=1</formula>
    </cfRule>
  </conditionalFormatting>
  <conditionalFormatting sqref="B36:C37">
    <cfRule type="expression" dxfId="0" priority="195">
      <formula>MOD(ROW(),2)=1</formula>
    </cfRule>
  </conditionalFormatting>
  <conditionalFormatting sqref="B40:C40">
    <cfRule type="expression" dxfId="0" priority="196">
      <formula>MOD(ROW(),2)=1</formula>
    </cfRule>
  </conditionalFormatting>
  <conditionalFormatting sqref="B51:C52">
    <cfRule type="expression" dxfId="0" priority="197">
      <formula>MOD(ROW(),2)=1</formula>
    </cfRule>
  </conditionalFormatting>
  <conditionalFormatting sqref="B54:C55">
    <cfRule type="expression" dxfId="0" priority="198">
      <formula>MOD(ROW(),2)=1</formula>
    </cfRule>
  </conditionalFormatting>
  <conditionalFormatting sqref="B58:C59">
    <cfRule type="expression" dxfId="0" priority="199">
      <formula>MOD(ROW(),2)=1</formula>
    </cfRule>
  </conditionalFormatting>
  <conditionalFormatting sqref="G56:G57">
    <cfRule type="cellIs" dxfId="3" priority="200" operator="lessThan">
      <formula>TODAY()</formula>
    </cfRule>
    <cfRule type="timePeriod" dxfId="1" priority="201" timePeriod="last7Days">
      <formula/>
    </cfRule>
    <cfRule type="timePeriod" dxfId="1" priority="202" timePeriod="yesterday">
      <formula/>
    </cfRule>
    <cfRule type="timePeriod" dxfId="1" priority="203" timePeriod="lastMonth">
      <formula/>
    </cfRule>
    <cfRule type="timePeriod" dxfId="1" priority="204" timePeriod="yesterday">
      <formula/>
    </cfRule>
    <cfRule type="timePeriod" dxfId="1" priority="205" timePeriod="today">
      <formula/>
    </cfRule>
  </conditionalFormatting>
  <conditionalFormatting sqref="G49:G50">
    <cfRule type="cellIs" dxfId="3" priority="206" operator="lessThan">
      <formula>TODAY()</formula>
    </cfRule>
    <cfRule type="timePeriod" dxfId="1" priority="207" timePeriod="last7Days">
      <formula/>
    </cfRule>
    <cfRule type="timePeriod" dxfId="1" priority="208" timePeriod="yesterday">
      <formula/>
    </cfRule>
    <cfRule type="timePeriod" dxfId="1" priority="209" timePeriod="lastMonth">
      <formula/>
    </cfRule>
    <cfRule type="timePeriod" dxfId="1" priority="210" timePeriod="yesterday">
      <formula/>
    </cfRule>
    <cfRule type="timePeriod" dxfId="1" priority="211" timePeriod="today">
      <formula/>
    </cfRule>
  </conditionalFormatting>
  <conditionalFormatting sqref="B38:E38">
    <cfRule type="expression" dxfId="0" priority="212">
      <formula>MOD(ROW(),2)=1</formula>
    </cfRule>
  </conditionalFormatting>
  <conditionalFormatting sqref="G38">
    <cfRule type="cellIs" dxfId="3" priority="213" operator="lessThan">
      <formula>TODAY()</formula>
    </cfRule>
    <cfRule type="timePeriod" dxfId="1" priority="214" timePeriod="last7Days">
      <formula/>
    </cfRule>
    <cfRule type="timePeriod" dxfId="1" priority="215" timePeriod="yesterday">
      <formula/>
    </cfRule>
    <cfRule type="timePeriod" dxfId="1" priority="216" timePeriod="lastMonth">
      <formula/>
    </cfRule>
    <cfRule type="timePeriod" dxfId="1" priority="217" timePeriod="yesterday">
      <formula/>
    </cfRule>
    <cfRule type="timePeriod" dxfId="1" priority="218" timePeriod="today">
      <formula/>
    </cfRule>
  </conditionalFormatting>
  <conditionalFormatting sqref="G34:G35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B31:E31">
    <cfRule type="expression" dxfId="0" priority="225">
      <formula>MOD(ROW(),2)=1</formula>
    </cfRule>
  </conditionalFormatting>
  <conditionalFormatting sqref="G31">
    <cfRule type="cellIs" dxfId="3" priority="226" operator="lessThan">
      <formula>TODAY()</formula>
    </cfRule>
    <cfRule type="timePeriod" dxfId="1" priority="227" timePeriod="last7Days">
      <formula/>
    </cfRule>
    <cfRule type="timePeriod" dxfId="1" priority="228" timePeriod="yesterday">
      <formula/>
    </cfRule>
    <cfRule type="timePeriod" dxfId="1" priority="229" timePeriod="lastMonth">
      <formula/>
    </cfRule>
    <cfRule type="timePeriod" dxfId="1" priority="230" timePeriod="yesterday">
      <formula/>
    </cfRule>
    <cfRule type="timePeriod" dxfId="1" priority="231" timePeriod="today">
      <formula/>
    </cfRule>
  </conditionalFormatting>
  <conditionalFormatting sqref="G44">
    <cfRule type="cellIs" dxfId="3" priority="232" operator="lessThan">
      <formula>TODAY()</formula>
    </cfRule>
    <cfRule type="timePeriod" dxfId="1" priority="233" timePeriod="last7Days">
      <formula/>
    </cfRule>
    <cfRule type="timePeriod" dxfId="1" priority="234" timePeriod="yesterday">
      <formula/>
    </cfRule>
    <cfRule type="timePeriod" dxfId="1" priority="235" timePeriod="lastMonth">
      <formula/>
    </cfRule>
    <cfRule type="timePeriod" dxfId="1" priority="236" timePeriod="yesterday">
      <formula/>
    </cfRule>
    <cfRule type="timePeriod" dxfId="1" priority="237" timePeriod="today">
      <formula/>
    </cfRule>
  </conditionalFormatting>
  <conditionalFormatting sqref="F30:G30">
    <cfRule type="cellIs" dxfId="3" priority="238" operator="lessThan">
      <formula>TODAY()</formula>
    </cfRule>
    <cfRule type="timePeriod" dxfId="1" priority="239" timePeriod="last7Days">
      <formula/>
    </cfRule>
    <cfRule type="timePeriod" dxfId="1" priority="240" timePeriod="yesterday">
      <formula/>
    </cfRule>
    <cfRule type="timePeriod" dxfId="1" priority="241" timePeriod="lastMonth">
      <formula/>
    </cfRule>
    <cfRule type="timePeriod" dxfId="1" priority="242" timePeriod="yesterday">
      <formula/>
    </cfRule>
    <cfRule type="timePeriod" dxfId="1" priority="243" timePeriod="today">
      <formula/>
    </cfRule>
  </conditionalFormatting>
  <conditionalFormatting sqref="F39:G39">
    <cfRule type="cellIs" dxfId="3" priority="244" operator="lessThan">
      <formula>TODAY()</formula>
    </cfRule>
    <cfRule type="timePeriod" dxfId="1" priority="245" timePeriod="last7Days">
      <formula/>
    </cfRule>
    <cfRule type="timePeriod" dxfId="1" priority="246" timePeriod="yesterday">
      <formula/>
    </cfRule>
    <cfRule type="timePeriod" dxfId="1" priority="247" timePeriod="lastMonth">
      <formula/>
    </cfRule>
    <cfRule type="timePeriod" dxfId="1" priority="248" timePeriod="yesterday">
      <formula/>
    </cfRule>
    <cfRule type="timePeriod" dxfId="1" priority="249" timePeriod="today">
      <formula/>
    </cfRule>
  </conditionalFormatting>
  <conditionalFormatting sqref="F47:G47">
    <cfRule type="cellIs" dxfId="3" priority="250" operator="lessThan">
      <formula>TODAY()</formula>
    </cfRule>
    <cfRule type="timePeriod" dxfId="1" priority="251" timePeriod="last7Days">
      <formula/>
    </cfRule>
    <cfRule type="timePeriod" dxfId="1" priority="252" timePeriod="yesterday">
      <formula/>
    </cfRule>
    <cfRule type="timePeriod" dxfId="1" priority="253" timePeriod="lastMonth">
      <formula/>
    </cfRule>
    <cfRule type="timePeriod" dxfId="1" priority="254" timePeriod="yesterday">
      <formula/>
    </cfRule>
    <cfRule type="timePeriod" dxfId="1" priority="255" timePeriod="today">
      <formula/>
    </cfRule>
  </conditionalFormatting>
  <conditionalFormatting sqref="I30">
    <cfRule type="expression" dxfId="0" priority="256">
      <formula>MOD(ROW(),2)=1</formula>
    </cfRule>
  </conditionalFormatting>
  <conditionalFormatting sqref="I34">
    <cfRule type="expression" dxfId="0" priority="257">
      <formula>MOD(ROW(),2)=1</formula>
    </cfRule>
  </conditionalFormatting>
  <conditionalFormatting sqref="I38">
    <cfRule type="expression" dxfId="0" priority="258">
      <formula>MOD(ROW(),2)=1</formula>
    </cfRule>
  </conditionalFormatting>
  <conditionalFormatting sqref="I41">
    <cfRule type="expression" dxfId="0" priority="259">
      <formula>MOD(ROW(),2)=1</formula>
    </cfRule>
  </conditionalFormatting>
  <conditionalFormatting sqref="I44">
    <cfRule type="expression" dxfId="0" priority="260">
      <formula>MOD(ROW(),2)=1</formula>
    </cfRule>
  </conditionalFormatting>
  <conditionalFormatting sqref="I47">
    <cfRule type="expression" dxfId="0" priority="261">
      <formula>MOD(ROW(),2)=1</formula>
    </cfRule>
  </conditionalFormatting>
  <conditionalFormatting sqref="I49">
    <cfRule type="expression" dxfId="0" priority="262">
      <formula>MOD(ROW(),2)=1</formula>
    </cfRule>
  </conditionalFormatting>
  <conditionalFormatting sqref="I94">
    <cfRule type="expression" dxfId="0" priority="263">
      <formula>MOD(ROW(),2)=1</formula>
    </cfRule>
  </conditionalFormatting>
  <conditionalFormatting sqref="I31">
    <cfRule type="expression" dxfId="0" priority="264">
      <formula>MOD(ROW(),2)=1</formula>
    </cfRule>
  </conditionalFormatting>
  <conditionalFormatting sqref="I35">
    <cfRule type="expression" dxfId="0" priority="265">
      <formula>MOD(ROW(),2)=1</formula>
    </cfRule>
  </conditionalFormatting>
  <conditionalFormatting sqref="I39">
    <cfRule type="expression" dxfId="0" priority="266">
      <formula>MOD(ROW(),2)=1</formula>
    </cfRule>
  </conditionalFormatting>
  <conditionalFormatting sqref="I42">
    <cfRule type="expression" dxfId="0" priority="267">
      <formula>MOD(ROW(),2)=1</formula>
    </cfRule>
  </conditionalFormatting>
  <conditionalFormatting sqref="I45">
    <cfRule type="expression" dxfId="0" priority="268">
      <formula>MOD(ROW(),2)=1</formula>
    </cfRule>
  </conditionalFormatting>
  <conditionalFormatting sqref="I50">
    <cfRule type="expression" dxfId="0" priority="269">
      <formula>MOD(ROW(),2)=1</formula>
    </cfRule>
  </conditionalFormatting>
  <conditionalFormatting sqref="I53">
    <cfRule type="expression" dxfId="0" priority="270">
      <formula>MOD(ROW(),2)=1</formula>
    </cfRule>
  </conditionalFormatting>
  <conditionalFormatting sqref="I57">
    <cfRule type="expression" dxfId="0" priority="271">
      <formula>MOD(ROW(),2)=1</formula>
    </cfRule>
  </conditionalFormatting>
  <conditionalFormatting sqref="I29">
    <cfRule type="expression" dxfId="0" priority="272">
      <formula>MOD(ROW(),2)=1</formula>
    </cfRule>
  </conditionalFormatting>
  <conditionalFormatting sqref="I32:I33">
    <cfRule type="expression" dxfId="0" priority="273">
      <formula>MOD(ROW(),2)=1</formula>
    </cfRule>
  </conditionalFormatting>
  <conditionalFormatting sqref="I36:I37">
    <cfRule type="expression" dxfId="0" priority="274">
      <formula>MOD(ROW(),2)=1</formula>
    </cfRule>
  </conditionalFormatting>
  <conditionalFormatting sqref="I40">
    <cfRule type="expression" dxfId="0" priority="275">
      <formula>MOD(ROW(),2)=1</formula>
    </cfRule>
  </conditionalFormatting>
  <conditionalFormatting sqref="I51:I52">
    <cfRule type="expression" dxfId="0" priority="276">
      <formula>MOD(ROW(),2)=1</formula>
    </cfRule>
  </conditionalFormatting>
  <conditionalFormatting sqref="I54:I55">
    <cfRule type="expression" dxfId="0" priority="277">
      <formula>MOD(ROW(),2)=1</formula>
    </cfRule>
  </conditionalFormatting>
  <conditionalFormatting sqref="I58:I59">
    <cfRule type="expression" dxfId="0" priority="278">
      <formula>MOD(ROW(),2)=1</formula>
    </cfRule>
  </conditionalFormatting>
  <conditionalFormatting sqref="E73:E75">
    <cfRule type="expression" dxfId="0" priority="279">
      <formula>MOD(ROW(),2)=1</formula>
    </cfRule>
  </conditionalFormatting>
  <conditionalFormatting sqref="E77">
    <cfRule type="expression" dxfId="0" priority="280">
      <formula>MOD(ROW(),2)=1</formula>
    </cfRule>
  </conditionalFormatting>
  <conditionalFormatting sqref="E82:E92">
    <cfRule type="expression" dxfId="0" priority="281">
      <formula>MOD(ROW(),2)=1</formula>
    </cfRule>
  </conditionalFormatting>
  <conditionalFormatting sqref="D24">
    <cfRule type="expression" dxfId="0" priority="282">
      <formula>MOD(ROW(),2)=1</formula>
    </cfRule>
  </conditionalFormatting>
  <conditionalFormatting sqref="E24">
    <cfRule type="expression" dxfId="0" priority="283">
      <formula>MOD(ROW(),2)=1</formula>
    </cfRule>
  </conditionalFormatting>
  <conditionalFormatting sqref="H45">
    <cfRule type="expression" dxfId="0" priority="284">
      <formula>MOD(ROW(),2)=1</formula>
    </cfRule>
  </conditionalFormatting>
  <conditionalFormatting sqref="B45:G45">
    <cfRule type="expression" dxfId="0" priority="285">
      <formula>MOD(ROW(),2)=1</formula>
    </cfRule>
  </conditionalFormatting>
  <conditionalFormatting sqref="F45:G45">
    <cfRule type="cellIs" dxfId="3" priority="286" operator="lessThan">
      <formula>TODAY()</formula>
    </cfRule>
    <cfRule type="timePeriod" dxfId="1" priority="287" timePeriod="last7Days">
      <formula/>
    </cfRule>
    <cfRule type="timePeriod" dxfId="1" priority="288" timePeriod="yesterday">
      <formula/>
    </cfRule>
    <cfRule type="timePeriod" dxfId="1" priority="289" timePeriod="lastMonth">
      <formula/>
    </cfRule>
    <cfRule type="timePeriod" dxfId="1" priority="290" timePeriod="yesterday">
      <formula/>
    </cfRule>
    <cfRule type="timePeriod" dxfId="1" priority="291" timePeriod="today">
      <formula/>
    </cfRule>
  </conditionalFormatting>
  <conditionalFormatting sqref="B66:G66">
    <cfRule type="expression" dxfId="0" priority="292">
      <formula>MOD(ROW(),2)=1</formula>
    </cfRule>
  </conditionalFormatting>
  <conditionalFormatting sqref="F66:G66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I66">
    <cfRule type="expression" dxfId="0" priority="299">
      <formula>MOD(ROW(),2)=1</formula>
    </cfRule>
  </conditionalFormatting>
  <conditionalFormatting sqref="B67:D67">
    <cfRule type="expression" dxfId="0" priority="300">
      <formula>MOD(ROW(),2)=1</formula>
    </cfRule>
  </conditionalFormatting>
  <conditionalFormatting sqref="F67:G67">
    <cfRule type="cellIs" dxfId="3" priority="301" operator="lessThan">
      <formula>TODAY()</formula>
    </cfRule>
    <cfRule type="timePeriod" dxfId="1" priority="302" timePeriod="last7Days">
      <formula/>
    </cfRule>
    <cfRule type="timePeriod" dxfId="1" priority="303" timePeriod="yesterday">
      <formula/>
    </cfRule>
    <cfRule type="timePeriod" dxfId="1" priority="304" timePeriod="lastMonth">
      <formula/>
    </cfRule>
    <cfRule type="timePeriod" dxfId="1" priority="305" timePeriod="yesterday">
      <formula/>
    </cfRule>
    <cfRule type="timePeriod" dxfId="1" priority="306" timePeriod="today">
      <formula/>
    </cfRule>
  </conditionalFormatting>
  <conditionalFormatting sqref="I67">
    <cfRule type="expression" dxfId="0" priority="307">
      <formula>MOD(ROW(),2)=1</formula>
    </cfRule>
  </conditionalFormatting>
  <conditionalFormatting sqref="E67">
    <cfRule type="expression" dxfId="0" priority="308">
      <formula>MOD(ROW(),2)=1</formula>
    </cfRule>
  </conditionalFormatting>
  <conditionalFormatting sqref="B28:G28">
    <cfRule type="expression" dxfId="0" priority="309">
      <formula>MOD(ROW(),2)=1</formula>
    </cfRule>
  </conditionalFormatting>
  <conditionalFormatting sqref="F28:G28">
    <cfRule type="cellIs" dxfId="3" priority="310" operator="lessThan">
      <formula>TODAY()</formula>
    </cfRule>
    <cfRule type="timePeriod" dxfId="1" priority="311" timePeriod="last7Days">
      <formula/>
    </cfRule>
    <cfRule type="timePeriod" dxfId="1" priority="312" timePeriod="yesterday">
      <formula/>
    </cfRule>
    <cfRule type="timePeriod" dxfId="1" priority="313" timePeriod="lastMonth">
      <formula/>
    </cfRule>
    <cfRule type="timePeriod" dxfId="1" priority="314" timePeriod="yesterday">
      <formula/>
    </cfRule>
    <cfRule type="timePeriod" dxfId="1" priority="315" timePeriod="today">
      <formula/>
    </cfRule>
  </conditionalFormatting>
  <conditionalFormatting sqref="I28">
    <cfRule type="expression" dxfId="0" priority="316">
      <formula>MOD(ROW(),2)=1</formula>
    </cfRule>
    <cfRule type="expression" dxfId="0" priority="317">
      <formula>MOD(ROW(),2)=1</formula>
    </cfRule>
  </conditionalFormatting>
  <conditionalFormatting sqref="H28">
    <cfRule type="expression" dxfId="0" priority="318">
      <formula>MOD(ROW(),2)=1</formula>
    </cfRule>
  </conditionalFormatting>
  <conditionalFormatting sqref="I56">
    <cfRule type="expression" dxfId="0" priority="319">
      <formula>MOD(ROW(),2)=1</formula>
    </cfRule>
  </conditionalFormatting>
  <conditionalFormatting sqref="F54:F59">
    <cfRule type="expression" dxfId="0" priority="320">
      <formula>MOD(ROW(),2)=1</formula>
    </cfRule>
    <cfRule type="cellIs" dxfId="3" priority="321" operator="lessThan">
      <formula>TODAY()</formula>
    </cfRule>
    <cfRule type="timePeriod" dxfId="1" priority="322" timePeriod="last7Days">
      <formula/>
    </cfRule>
    <cfRule type="timePeriod" dxfId="1" priority="323" timePeriod="yesterday">
      <formula/>
    </cfRule>
    <cfRule type="timePeriod" dxfId="1" priority="324" timePeriod="lastMonth">
      <formula/>
    </cfRule>
    <cfRule type="timePeriod" dxfId="1" priority="325" timePeriod="yesterday">
      <formula/>
    </cfRule>
    <cfRule type="timePeriod" dxfId="1" priority="326" timePeriod="today">
      <formula/>
    </cfRule>
  </conditionalFormatting>
  <conditionalFormatting sqref="F49:F52">
    <cfRule type="expression" dxfId="0" priority="327">
      <formula>MOD(ROW(),2)=1</formula>
    </cfRule>
    <cfRule type="cellIs" dxfId="3" priority="328" operator="lessThan">
      <formula>TODAY()</formula>
    </cfRule>
    <cfRule type="timePeriod" dxfId="1" priority="329" timePeriod="last7Days">
      <formula/>
    </cfRule>
    <cfRule type="timePeriod" dxfId="1" priority="330" timePeriod="yesterday">
      <formula/>
    </cfRule>
    <cfRule type="timePeriod" dxfId="1" priority="331" timePeriod="lastMonth">
      <formula/>
    </cfRule>
    <cfRule type="timePeriod" dxfId="1" priority="332" timePeriod="yesterday">
      <formula/>
    </cfRule>
    <cfRule type="timePeriod" dxfId="1" priority="333" timePeriod="today">
      <formula/>
    </cfRule>
  </conditionalFormatting>
  <conditionalFormatting sqref="F31:F38">
    <cfRule type="expression" dxfId="0" priority="334">
      <formula>MOD(ROW(),2)=1</formula>
    </cfRule>
    <cfRule type="cellIs" dxfId="3" priority="335" operator="lessThan">
      <formula>TODAY()</formula>
    </cfRule>
    <cfRule type="timePeriod" dxfId="1" priority="336" timePeriod="last7Days">
      <formula/>
    </cfRule>
    <cfRule type="timePeriod" dxfId="1" priority="337" timePeriod="yesterday">
      <formula/>
    </cfRule>
    <cfRule type="timePeriod" dxfId="1" priority="338" timePeriod="lastMonth">
      <formula/>
    </cfRule>
    <cfRule type="timePeriod" dxfId="1" priority="339" timePeriod="yesterday">
      <formula/>
    </cfRule>
    <cfRule type="timePeriod" dxfId="1" priority="340" timePeriod="today">
      <formula/>
    </cfRule>
  </conditionalFormatting>
  <conditionalFormatting sqref="F42:F44">
    <cfRule type="expression" dxfId="0" priority="341">
      <formula>MOD(ROW(),2)=1</formula>
    </cfRule>
    <cfRule type="cellIs" dxfId="3" priority="342" operator="lessThan">
      <formula>TODAY()</formula>
    </cfRule>
    <cfRule type="timePeriod" dxfId="1" priority="343" timePeriod="last7Days">
      <formula/>
    </cfRule>
    <cfRule type="timePeriod" dxfId="1" priority="344" timePeriod="yesterday">
      <formula/>
    </cfRule>
    <cfRule type="timePeriod" dxfId="1" priority="345" timePeriod="lastMonth">
      <formula/>
    </cfRule>
    <cfRule type="timePeriod" dxfId="1" priority="346" timePeriod="yesterday">
      <formula/>
    </cfRule>
    <cfRule type="timePeriod" dxfId="1" priority="347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5597"/>
    <outlinePr summaryBelow="1" summaryRight="1"/>
    <pageSetUpPr fitToPage="1"/>
  </sheetPr>
  <dimension ref="A1:AMJ218"/>
  <sheetViews>
    <sheetView tabSelected="0" workbookViewId="0" showGridLines="true" showRowColHeaders="1">
      <pane xSplit="3" ySplit="2" topLeftCell="D193" activePane="bottomRight" state="frozen"/>
      <selection pane="topRight"/>
      <selection pane="bottomLeft"/>
      <selection pane="bottomRight" activeCell="A1" sqref="A1"/>
    </sheetView>
  </sheetViews>
  <sheetFormatPr defaultRowHeight="14.4" defaultColWidth="10.1328125" outlineLevelRow="0" outlineLevelCol="0"/>
  <cols>
    <col min="1" max="1" width="2.58" customWidth="true" style="36"/>
    <col min="2" max="2" width="60.58" customWidth="true" style="37"/>
    <col min="3" max="3" width="4.57" customWidth="true" style="36"/>
    <col min="4" max="4" width="6.71" customWidth="true" style="36"/>
    <col min="5" max="5" width="13.85" customWidth="true" style="36"/>
    <col min="6" max="6" width="13.85" customWidth="true" style="36"/>
    <col min="7" max="7" width="13.85" customWidth="true" style="36"/>
    <col min="8" max="8" width="13.85" customWidth="true" style="36"/>
    <col min="9" max="9" width="13.85" customWidth="true" style="36"/>
    <col min="10" max="10" width="15.58" customWidth="true" style="36"/>
    <col min="11" max="11" width="15.58" customWidth="true" style="36"/>
    <col min="12" max="12" width="15.58" customWidth="true" style="36"/>
    <col min="13" max="13" width="15.58" customWidth="true" style="36"/>
    <col min="14" max="14" width="15.58" customWidth="true" style="36"/>
    <col min="15" max="15" width="15.58" customWidth="true" style="36"/>
    <col min="16" max="16" width="15.58" customWidth="true" style="36"/>
    <col min="17" max="17" width="3.14" customWidth="true" style="36"/>
    <col min="18" max="18" width="18.43" customWidth="true" style="36"/>
    <col min="19" max="19" width="10.13" customWidth="true" style="36"/>
    <col min="20" max="20" width="10.13" customWidth="true" style="36"/>
    <col min="21" max="21" width="10.13" customWidth="true" style="36"/>
    <col min="22" max="22" width="10.13" customWidth="true" style="36"/>
    <col min="23" max="23" width="10.13" customWidth="true" style="36"/>
    <col min="24" max="24" width="10.13" customWidth="true" style="36"/>
    <col min="25" max="25" width="10.13" customWidth="true" style="36"/>
    <col min="26" max="26" width="10.13" customWidth="true" style="36"/>
    <col min="27" max="27" width="10.13" customWidth="true" style="36"/>
    <col min="28" max="28" width="10.13" customWidth="true" style="36"/>
    <col min="29" max="29" width="10.13" customWidth="true" style="36"/>
    <col min="30" max="30" width="10.13" customWidth="true" style="36"/>
    <col min="31" max="31" width="10.13" customWidth="true" style="36"/>
    <col min="32" max="32" width="10.13" customWidth="true" style="36"/>
    <col min="33" max="33" width="10.13" customWidth="true" style="36"/>
    <col min="34" max="34" width="10.13" customWidth="true" style="36"/>
    <col min="35" max="35" width="10.13" customWidth="true" style="36"/>
    <col min="36" max="36" width="10.13" customWidth="true" style="36"/>
    <col min="37" max="37" width="10.13" customWidth="true" style="36"/>
    <col min="38" max="38" width="10.13" customWidth="true" style="36"/>
    <col min="39" max="39" width="10.13" customWidth="true" style="36"/>
    <col min="40" max="40" width="10.13" customWidth="true" style="36"/>
    <col min="41" max="41" width="10.13" customWidth="true" style="36"/>
    <col min="42" max="42" width="10.13" customWidth="true" style="36"/>
    <col min="43" max="43" width="10.13" customWidth="true" style="36"/>
    <col min="44" max="44" width="10.13" customWidth="true" style="36"/>
    <col min="45" max="45" width="10.13" customWidth="true" style="36"/>
    <col min="46" max="46" width="10.13" customWidth="true" style="36"/>
    <col min="47" max="47" width="10.13" customWidth="true" style="36"/>
    <col min="48" max="48" width="10.13" customWidth="true" style="36"/>
    <col min="49" max="49" width="10.13" customWidth="true" style="36"/>
    <col min="50" max="50" width="10.13" customWidth="true" style="36"/>
    <col min="51" max="51" width="10.13" customWidth="true" style="36"/>
    <col min="52" max="52" width="10.13" customWidth="true" style="36"/>
    <col min="53" max="53" width="10.13" customWidth="true" style="36"/>
    <col min="54" max="54" width="10.13" customWidth="true" style="36"/>
    <col min="55" max="55" width="10.13" customWidth="true" style="36"/>
    <col min="56" max="56" width="10.13" customWidth="true" style="36"/>
    <col min="57" max="57" width="10.13" customWidth="true" style="36"/>
    <col min="58" max="58" width="10.13" customWidth="true" style="36"/>
    <col min="59" max="59" width="10.13" customWidth="true" style="36"/>
    <col min="60" max="60" width="10.13" customWidth="true" style="36"/>
    <col min="61" max="61" width="10.13" customWidth="true" style="36"/>
    <col min="62" max="62" width="10.13" customWidth="true" style="36"/>
    <col min="63" max="63" width="10.13" customWidth="true" style="36"/>
    <col min="64" max="64" width="10.13" customWidth="true" style="36"/>
    <col min="65" max="65" width="10.13" customWidth="true" style="36"/>
    <col min="66" max="66" width="10.13" customWidth="true" style="36"/>
    <col min="67" max="67" width="10.13" customWidth="true" style="36"/>
    <col min="68" max="68" width="10.13" customWidth="true" style="36"/>
    <col min="69" max="69" width="10.13" customWidth="true" style="36"/>
    <col min="70" max="70" width="10.13" customWidth="true" style="36"/>
    <col min="71" max="71" width="10.13" customWidth="true" style="36"/>
    <col min="72" max="72" width="10.13" customWidth="true" style="36"/>
    <col min="73" max="73" width="10.13" customWidth="true" style="36"/>
    <col min="74" max="74" width="10.13" customWidth="true" style="36"/>
    <col min="75" max="75" width="10.13" customWidth="true" style="36"/>
    <col min="76" max="76" width="10.13" customWidth="true" style="36"/>
    <col min="77" max="77" width="10.13" customWidth="true" style="36"/>
    <col min="78" max="78" width="10.13" customWidth="true" style="36"/>
    <col min="79" max="79" width="10.13" customWidth="true" style="36"/>
    <col min="80" max="80" width="10.13" customWidth="true" style="36"/>
    <col min="81" max="81" width="10.13" customWidth="true" style="36"/>
    <col min="82" max="82" width="10.13" customWidth="true" style="36"/>
    <col min="83" max="83" width="10.13" customWidth="true" style="36"/>
    <col min="84" max="84" width="10.13" customWidth="true" style="36"/>
    <col min="85" max="85" width="10.13" customWidth="true" style="36"/>
    <col min="86" max="86" width="10.13" customWidth="true" style="36"/>
    <col min="87" max="87" width="10.13" customWidth="true" style="36"/>
    <col min="88" max="88" width="10.13" customWidth="true" style="36"/>
    <col min="89" max="89" width="10.13" customWidth="true" style="36"/>
    <col min="90" max="90" width="10.13" customWidth="true" style="36"/>
    <col min="91" max="91" width="10.13" customWidth="true" style="36"/>
    <col min="92" max="92" width="10.13" customWidth="true" style="36"/>
    <col min="93" max="93" width="10.13" customWidth="true" style="36"/>
    <col min="94" max="94" width="10.13" customWidth="true" style="36"/>
    <col min="95" max="95" width="10.13" customWidth="true" style="36"/>
    <col min="96" max="96" width="10.13" customWidth="true" style="36"/>
    <col min="97" max="97" width="10.13" customWidth="true" style="36"/>
    <col min="98" max="98" width="10.13" customWidth="true" style="36"/>
    <col min="99" max="99" width="10.13" customWidth="true" style="36"/>
    <col min="100" max="100" width="10.13" customWidth="true" style="36"/>
    <col min="101" max="101" width="10.13" customWidth="true" style="36"/>
    <col min="102" max="102" width="10.13" customWidth="true" style="36"/>
    <col min="103" max="103" width="10.13" customWidth="true" style="36"/>
    <col min="104" max="104" width="10.13" customWidth="true" style="36"/>
    <col min="105" max="105" width="10.13" customWidth="true" style="36"/>
    <col min="106" max="106" width="10.13" customWidth="true" style="36"/>
    <col min="107" max="107" width="10.13" customWidth="true" style="36"/>
    <col min="108" max="108" width="10.13" customWidth="true" style="36"/>
    <col min="109" max="109" width="10.13" customWidth="true" style="36"/>
    <col min="110" max="110" width="10.13" customWidth="true" style="36"/>
    <col min="111" max="111" width="10.13" customWidth="true" style="36"/>
    <col min="112" max="112" width="10.13" customWidth="true" style="36"/>
    <col min="113" max="113" width="10.13" customWidth="true" style="36"/>
    <col min="114" max="114" width="10.13" customWidth="true" style="36"/>
    <col min="115" max="115" width="10.13" customWidth="true" style="36"/>
    <col min="116" max="116" width="10.13" customWidth="true" style="36"/>
    <col min="117" max="117" width="10.13" customWidth="true" style="36"/>
    <col min="118" max="118" width="10.13" customWidth="true" style="36"/>
    <col min="119" max="119" width="10.13" customWidth="true" style="36"/>
    <col min="120" max="120" width="10.13" customWidth="true" style="36"/>
    <col min="121" max="121" width="10.13" customWidth="true" style="36"/>
    <col min="122" max="122" width="10.13" customWidth="true" style="36"/>
    <col min="123" max="123" width="10.13" customWidth="true" style="36"/>
    <col min="124" max="124" width="10.13" customWidth="true" style="36"/>
    <col min="125" max="125" width="10.13" customWidth="true" style="36"/>
    <col min="126" max="126" width="10.13" customWidth="true" style="36"/>
    <col min="127" max="127" width="10.13" customWidth="true" style="36"/>
    <col min="128" max="128" width="10.13" customWidth="true" style="36"/>
    <col min="129" max="129" width="10.13" customWidth="true" style="36"/>
    <col min="130" max="130" width="10.13" customWidth="true" style="36"/>
    <col min="131" max="131" width="10.13" customWidth="true" style="36"/>
    <col min="132" max="132" width="10.13" customWidth="true" style="36"/>
    <col min="133" max="133" width="10.13" customWidth="true" style="36"/>
    <col min="134" max="134" width="10.13" customWidth="true" style="36"/>
    <col min="135" max="135" width="10.13" customWidth="true" style="36"/>
    <col min="136" max="136" width="10.13" customWidth="true" style="36"/>
    <col min="137" max="137" width="10.13" customWidth="true" style="36"/>
    <col min="138" max="138" width="10.13" customWidth="true" style="36"/>
    <col min="139" max="139" width="10.13" customWidth="true" style="36"/>
    <col min="140" max="140" width="10.13" customWidth="true" style="36"/>
    <col min="141" max="141" width="10.13" customWidth="true" style="36"/>
    <col min="142" max="142" width="10.13" customWidth="true" style="36"/>
    <col min="143" max="143" width="10.13" customWidth="true" style="36"/>
    <col min="144" max="144" width="10.13" customWidth="true" style="36"/>
    <col min="145" max="145" width="10.13" customWidth="true" style="36"/>
    <col min="146" max="146" width="10.13" customWidth="true" style="36"/>
    <col min="147" max="147" width="10.13" customWidth="true" style="36"/>
    <col min="148" max="148" width="10.13" customWidth="true" style="36"/>
    <col min="149" max="149" width="10.13" customWidth="true" style="36"/>
    <col min="150" max="150" width="10.13" customWidth="true" style="36"/>
    <col min="151" max="151" width="10.13" customWidth="true" style="36"/>
    <col min="152" max="152" width="10.13" customWidth="true" style="36"/>
    <col min="153" max="153" width="10.13" customWidth="true" style="36"/>
    <col min="154" max="154" width="10.13" customWidth="true" style="36"/>
    <col min="155" max="155" width="10.13" customWidth="true" style="36"/>
    <col min="156" max="156" width="10.13" customWidth="true" style="36"/>
    <col min="157" max="157" width="10.13" customWidth="true" style="36"/>
    <col min="158" max="158" width="10.13" customWidth="true" style="36"/>
    <col min="159" max="159" width="10.13" customWidth="true" style="36"/>
    <col min="160" max="160" width="10.13" customWidth="true" style="36"/>
    <col min="161" max="161" width="10.13" customWidth="true" style="36"/>
    <col min="162" max="162" width="10.13" customWidth="true" style="36"/>
    <col min="163" max="163" width="10.13" customWidth="true" style="36"/>
    <col min="164" max="164" width="10.13" customWidth="true" style="36"/>
    <col min="165" max="165" width="10.13" customWidth="true" style="36"/>
    <col min="166" max="166" width="10.13" customWidth="true" style="36"/>
    <col min="167" max="167" width="10.13" customWidth="true" style="36"/>
    <col min="168" max="168" width="10.13" customWidth="true" style="36"/>
    <col min="169" max="169" width="10.13" customWidth="true" style="36"/>
    <col min="170" max="170" width="10.13" customWidth="true" style="36"/>
    <col min="171" max="171" width="10.13" customWidth="true" style="36"/>
    <col min="172" max="172" width="10.13" customWidth="true" style="36"/>
    <col min="173" max="173" width="10.13" customWidth="true" style="36"/>
    <col min="174" max="174" width="10.13" customWidth="true" style="36"/>
    <col min="175" max="175" width="10.13" customWidth="true" style="36"/>
    <col min="176" max="176" width="10.13" customWidth="true" style="36"/>
    <col min="177" max="177" width="10.13" customWidth="true" style="36"/>
    <col min="178" max="178" width="10.13" customWidth="true" style="36"/>
    <col min="179" max="179" width="10.13" customWidth="true" style="36"/>
    <col min="180" max="180" width="10.13" customWidth="true" style="36"/>
    <col min="181" max="181" width="10.13" customWidth="true" style="36"/>
    <col min="182" max="182" width="10.13" customWidth="true" style="36"/>
    <col min="183" max="183" width="10.13" customWidth="true" style="36"/>
    <col min="184" max="184" width="10.13" customWidth="true" style="36"/>
    <col min="185" max="185" width="10.13" customWidth="true" style="36"/>
    <col min="186" max="186" width="10.13" customWidth="true" style="36"/>
    <col min="187" max="187" width="10.13" customWidth="true" style="36"/>
    <col min="188" max="188" width="10.13" customWidth="true" style="36"/>
    <col min="189" max="189" width="10.13" customWidth="true" style="36"/>
    <col min="190" max="190" width="10.13" customWidth="true" style="36"/>
    <col min="191" max="191" width="10.13" customWidth="true" style="36"/>
    <col min="192" max="192" width="10.13" customWidth="true" style="36"/>
    <col min="193" max="193" width="10.13" customWidth="true" style="36"/>
    <col min="194" max="194" width="10.13" customWidth="true" style="36"/>
    <col min="195" max="195" width="10.13" customWidth="true" style="36"/>
    <col min="196" max="196" width="10.13" customWidth="true" style="36"/>
    <col min="197" max="197" width="10.13" customWidth="true" style="36"/>
    <col min="198" max="198" width="10.13" customWidth="true" style="36"/>
    <col min="199" max="199" width="10.13" customWidth="true" style="36"/>
    <col min="200" max="200" width="10.13" customWidth="true" style="36"/>
    <col min="201" max="201" width="10.13" customWidth="true" style="36"/>
    <col min="202" max="202" width="10.13" customWidth="true" style="36"/>
    <col min="203" max="203" width="10.13" customWidth="true" style="36"/>
    <col min="204" max="204" width="10.13" customWidth="true" style="36"/>
    <col min="205" max="205" width="10.13" customWidth="true" style="36"/>
    <col min="206" max="206" width="10.13" customWidth="true" style="36"/>
    <col min="207" max="207" width="10.13" customWidth="true" style="36"/>
    <col min="208" max="208" width="10.13" customWidth="true" style="36"/>
    <col min="209" max="209" width="10.13" customWidth="true" style="36"/>
    <col min="210" max="210" width="10.13" customWidth="true" style="36"/>
    <col min="211" max="211" width="10.13" customWidth="true" style="36"/>
    <col min="212" max="212" width="10.13" customWidth="true" style="36"/>
    <col min="213" max="213" width="10.13" customWidth="true" style="36"/>
    <col min="214" max="214" width="10.13" customWidth="true" style="36"/>
    <col min="215" max="215" width="10.13" customWidth="true" style="36"/>
    <col min="216" max="216" width="10.13" customWidth="true" style="36"/>
    <col min="217" max="217" width="10.13" customWidth="true" style="36"/>
    <col min="218" max="218" width="10.13" customWidth="true" style="36"/>
    <col min="219" max="219" width="10.13" customWidth="true" style="36"/>
    <col min="220" max="220" width="10.13" customWidth="true" style="36"/>
    <col min="221" max="221" width="10.13" customWidth="true" style="36"/>
    <col min="222" max="222" width="10.13" customWidth="true" style="36"/>
    <col min="223" max="223" width="10.13" customWidth="true" style="36"/>
    <col min="224" max="224" width="10.13" customWidth="true" style="36"/>
    <col min="225" max="225" width="10.13" customWidth="true" style="36"/>
    <col min="226" max="226" width="10.13" customWidth="true" style="36"/>
    <col min="227" max="227" width="10.13" customWidth="true" style="36"/>
    <col min="228" max="228" width="10.13" customWidth="true" style="36"/>
    <col min="229" max="229" width="10.13" customWidth="true" style="36"/>
    <col min="230" max="230" width="10.13" customWidth="true" style="36"/>
    <col min="231" max="231" width="10.13" customWidth="true" style="36"/>
    <col min="232" max="232" width="10.13" customWidth="true" style="36"/>
    <col min="233" max="233" width="10.13" customWidth="true" style="36"/>
    <col min="234" max="234" width="10.13" customWidth="true" style="36"/>
    <col min="235" max="235" width="10.13" customWidth="true" style="36"/>
    <col min="236" max="236" width="10.13" customWidth="true" style="36"/>
    <col min="237" max="237" width="10.13" customWidth="true" style="36"/>
    <col min="238" max="238" width="10.13" customWidth="true" style="36"/>
    <col min="239" max="239" width="10.13" customWidth="true" style="36"/>
    <col min="240" max="240" width="10.13" customWidth="true" style="36"/>
    <col min="241" max="241" width="10.13" customWidth="true" style="36"/>
    <col min="242" max="242" width="10.13" customWidth="true" style="36"/>
    <col min="243" max="243" width="10.13" customWidth="true" style="36"/>
    <col min="244" max="244" width="10.13" customWidth="true" style="36"/>
    <col min="245" max="245" width="10.13" customWidth="true" style="36"/>
    <col min="246" max="246" width="10.13" customWidth="true" style="36"/>
    <col min="247" max="247" width="10.13" customWidth="true" style="36"/>
    <col min="248" max="248" width="10.13" customWidth="true" style="36"/>
    <col min="249" max="249" width="10.13" customWidth="true" style="36"/>
    <col min="250" max="250" width="10.13" customWidth="true" style="36"/>
    <col min="251" max="251" width="10.13" customWidth="true" style="36"/>
    <col min="252" max="252" width="10.13" customWidth="true" style="36"/>
    <col min="253" max="253" width="10.13" customWidth="true" style="36"/>
    <col min="254" max="254" width="10.13" customWidth="true" style="36"/>
    <col min="255" max="255" width="10.13" customWidth="true" style="36"/>
    <col min="256" max="256" width="10.13" customWidth="true" style="36"/>
    <col min="257" max="257" width="10.13" customWidth="true" style="36"/>
    <col min="258" max="258" width="10.13" customWidth="true" style="36"/>
    <col min="259" max="259" width="10.13" customWidth="true" style="36"/>
    <col min="260" max="260" width="10.13" customWidth="true" style="36"/>
    <col min="261" max="261" width="10.13" customWidth="true" style="36"/>
    <col min="262" max="262" width="10.13" customWidth="true" style="36"/>
    <col min="263" max="263" width="10.13" customWidth="true" style="36"/>
    <col min="264" max="264" width="10.13" customWidth="true" style="36"/>
    <col min="265" max="265" width="10.13" customWidth="true" style="36"/>
    <col min="266" max="266" width="10.13" customWidth="true" style="36"/>
    <col min="267" max="267" width="10.13" customWidth="true" style="36"/>
    <col min="268" max="268" width="10.13" customWidth="true" style="36"/>
    <col min="269" max="269" width="10.13" customWidth="true" style="36"/>
    <col min="270" max="270" width="10.13" customWidth="true" style="36"/>
    <col min="271" max="271" width="10.13" customWidth="true" style="36"/>
    <col min="272" max="272" width="10.13" customWidth="true" style="36"/>
    <col min="273" max="273" width="10.13" customWidth="true" style="36"/>
    <col min="274" max="274" width="10.13" customWidth="true" style="36"/>
    <col min="275" max="275" width="10.13" customWidth="true" style="36"/>
    <col min="276" max="276" width="10.13" customWidth="true" style="36"/>
    <col min="277" max="277" width="10.13" customWidth="true" style="36"/>
    <col min="278" max="278" width="10.13" customWidth="true" style="36"/>
    <col min="279" max="279" width="10.13" customWidth="true" style="36"/>
    <col min="280" max="280" width="10.13" customWidth="true" style="36"/>
    <col min="281" max="281" width="10.13" customWidth="true" style="36"/>
    <col min="282" max="282" width="10.13" customWidth="true" style="36"/>
    <col min="283" max="283" width="10.13" customWidth="true" style="36"/>
    <col min="284" max="284" width="10.13" customWidth="true" style="36"/>
    <col min="285" max="285" width="10.13" customWidth="true" style="36"/>
    <col min="286" max="286" width="10.13" customWidth="true" style="36"/>
    <col min="287" max="287" width="10.13" customWidth="true" style="36"/>
    <col min="288" max="288" width="10.13" customWidth="true" style="36"/>
    <col min="289" max="289" width="10.13" customWidth="true" style="36"/>
    <col min="290" max="290" width="10.13" customWidth="true" style="36"/>
    <col min="291" max="291" width="10.13" customWidth="true" style="36"/>
    <col min="292" max="292" width="10.13" customWidth="true" style="36"/>
    <col min="293" max="293" width="10.13" customWidth="true" style="36"/>
    <col min="294" max="294" width="10.13" customWidth="true" style="36"/>
    <col min="295" max="295" width="10.13" customWidth="true" style="36"/>
    <col min="296" max="296" width="10.13" customWidth="true" style="36"/>
    <col min="297" max="297" width="10.13" customWidth="true" style="36"/>
    <col min="298" max="298" width="10.13" customWidth="true" style="36"/>
    <col min="299" max="299" width="10.13" customWidth="true" style="36"/>
    <col min="300" max="300" width="10.13" customWidth="true" style="36"/>
    <col min="301" max="301" width="10.13" customWidth="true" style="36"/>
    <col min="302" max="302" width="10.13" customWidth="true" style="36"/>
    <col min="303" max="303" width="10.13" customWidth="true" style="36"/>
    <col min="304" max="304" width="10.13" customWidth="true" style="36"/>
    <col min="305" max="305" width="10.13" customWidth="true" style="36"/>
    <col min="306" max="306" width="10.13" customWidth="true" style="36"/>
    <col min="307" max="307" width="10.13" customWidth="true" style="36"/>
    <col min="308" max="308" width="10.13" customWidth="true" style="36"/>
    <col min="309" max="309" width="10.13" customWidth="true" style="36"/>
    <col min="310" max="310" width="10.13" customWidth="true" style="36"/>
    <col min="311" max="311" width="10.13" customWidth="true" style="36"/>
    <col min="312" max="312" width="10.13" customWidth="true" style="36"/>
    <col min="313" max="313" width="10.13" customWidth="true" style="36"/>
    <col min="314" max="314" width="10.13" customWidth="true" style="36"/>
    <col min="315" max="315" width="10.13" customWidth="true" style="36"/>
    <col min="316" max="316" width="10.13" customWidth="true" style="36"/>
    <col min="317" max="317" width="10.13" customWidth="true" style="36"/>
    <col min="318" max="318" width="10.13" customWidth="true" style="36"/>
    <col min="319" max="319" width="10.13" customWidth="true" style="36"/>
    <col min="320" max="320" width="10.13" customWidth="true" style="36"/>
    <col min="321" max="321" width="10.13" customWidth="true" style="36"/>
    <col min="322" max="322" width="10.13" customWidth="true" style="36"/>
    <col min="323" max="323" width="10.13" customWidth="true" style="36"/>
    <col min="324" max="324" width="10.13" customWidth="true" style="36"/>
    <col min="325" max="325" width="10.13" customWidth="true" style="36"/>
    <col min="326" max="326" width="10.13" customWidth="true" style="36"/>
    <col min="327" max="327" width="10.13" customWidth="true" style="36"/>
    <col min="328" max="328" width="10.13" customWidth="true" style="36"/>
    <col min="329" max="329" width="10.13" customWidth="true" style="36"/>
    <col min="330" max="330" width="10.13" customWidth="true" style="36"/>
    <col min="331" max="331" width="10.13" customWidth="true" style="36"/>
    <col min="332" max="332" width="10.13" customWidth="true" style="36"/>
    <col min="333" max="333" width="10.13" customWidth="true" style="36"/>
    <col min="334" max="334" width="10.13" customWidth="true" style="36"/>
    <col min="335" max="335" width="10.13" customWidth="true" style="36"/>
    <col min="336" max="336" width="10.13" customWidth="true" style="36"/>
    <col min="337" max="337" width="10.13" customWidth="true" style="36"/>
    <col min="338" max="338" width="10.13" customWidth="true" style="36"/>
    <col min="339" max="339" width="10.13" customWidth="true" style="36"/>
    <col min="340" max="340" width="10.13" customWidth="true" style="36"/>
    <col min="341" max="341" width="10.13" customWidth="true" style="36"/>
    <col min="342" max="342" width="10.13" customWidth="true" style="36"/>
    <col min="343" max="343" width="10.13" customWidth="true" style="36"/>
    <col min="344" max="344" width="10.13" customWidth="true" style="36"/>
    <col min="345" max="345" width="10.13" customWidth="true" style="36"/>
    <col min="346" max="346" width="10.13" customWidth="true" style="36"/>
    <col min="347" max="347" width="10.13" customWidth="true" style="36"/>
    <col min="348" max="348" width="10.13" customWidth="true" style="36"/>
    <col min="349" max="349" width="10.13" customWidth="true" style="36"/>
    <col min="350" max="350" width="10.13" customWidth="true" style="36"/>
    <col min="351" max="351" width="10.13" customWidth="true" style="36"/>
    <col min="352" max="352" width="10.13" customWidth="true" style="36"/>
    <col min="353" max="353" width="10.13" customWidth="true" style="36"/>
    <col min="354" max="354" width="10.13" customWidth="true" style="36"/>
    <col min="355" max="355" width="10.13" customWidth="true" style="36"/>
    <col min="356" max="356" width="10.13" customWidth="true" style="36"/>
    <col min="357" max="357" width="10.13" customWidth="true" style="36"/>
    <col min="358" max="358" width="10.13" customWidth="true" style="36"/>
    <col min="359" max="359" width="10.13" customWidth="true" style="36"/>
    <col min="360" max="360" width="10.13" customWidth="true" style="36"/>
    <col min="361" max="361" width="10.13" customWidth="true" style="36"/>
    <col min="362" max="362" width="10.13" customWidth="true" style="36"/>
    <col min="363" max="363" width="10.13" customWidth="true" style="36"/>
    <col min="364" max="364" width="10.13" customWidth="true" style="36"/>
    <col min="365" max="365" width="10.13" customWidth="true" style="36"/>
    <col min="366" max="366" width="10.13" customWidth="true" style="36"/>
    <col min="367" max="367" width="10.13" customWidth="true" style="36"/>
    <col min="368" max="368" width="10.13" customWidth="true" style="36"/>
    <col min="369" max="369" width="10.13" customWidth="true" style="36"/>
    <col min="370" max="370" width="10.13" customWidth="true" style="36"/>
    <col min="371" max="371" width="10.13" customWidth="true" style="36"/>
    <col min="372" max="372" width="10.13" customWidth="true" style="36"/>
    <col min="373" max="373" width="10.13" customWidth="true" style="36"/>
    <col min="374" max="374" width="10.13" customWidth="true" style="36"/>
    <col min="375" max="375" width="10.13" customWidth="true" style="36"/>
    <col min="376" max="376" width="10.13" customWidth="true" style="36"/>
    <col min="377" max="377" width="10.13" customWidth="true" style="36"/>
    <col min="378" max="378" width="10.13" customWidth="true" style="36"/>
    <col min="379" max="379" width="10.13" customWidth="true" style="36"/>
    <col min="380" max="380" width="10.13" customWidth="true" style="36"/>
    <col min="381" max="381" width="10.13" customWidth="true" style="36"/>
    <col min="382" max="382" width="10.13" customWidth="true" style="36"/>
    <col min="383" max="383" width="10.13" customWidth="true" style="36"/>
    <col min="384" max="384" width="10.13" customWidth="true" style="36"/>
    <col min="385" max="385" width="10.13" customWidth="true" style="36"/>
    <col min="386" max="386" width="10.13" customWidth="true" style="36"/>
    <col min="387" max="387" width="10.13" customWidth="true" style="36"/>
    <col min="388" max="388" width="10.13" customWidth="true" style="36"/>
    <col min="389" max="389" width="10.13" customWidth="true" style="36"/>
    <col min="390" max="390" width="10.13" customWidth="true" style="36"/>
    <col min="391" max="391" width="10.13" customWidth="true" style="36"/>
    <col min="392" max="392" width="10.13" customWidth="true" style="36"/>
    <col min="393" max="393" width="10.13" customWidth="true" style="36"/>
    <col min="394" max="394" width="10.13" customWidth="true" style="36"/>
    <col min="395" max="395" width="10.13" customWidth="true" style="36"/>
    <col min="396" max="396" width="10.13" customWidth="true" style="36"/>
    <col min="397" max="397" width="10.13" customWidth="true" style="36"/>
    <col min="398" max="398" width="10.13" customWidth="true" style="36"/>
    <col min="399" max="399" width="10.13" customWidth="true" style="36"/>
    <col min="400" max="400" width="10.13" customWidth="true" style="36"/>
    <col min="401" max="401" width="10.13" customWidth="true" style="36"/>
    <col min="402" max="402" width="10.13" customWidth="true" style="36"/>
    <col min="403" max="403" width="10.13" customWidth="true" style="36"/>
    <col min="404" max="404" width="10.13" customWidth="true" style="36"/>
    <col min="405" max="405" width="10.13" customWidth="true" style="36"/>
    <col min="406" max="406" width="10.13" customWidth="true" style="36"/>
    <col min="407" max="407" width="10.13" customWidth="true" style="36"/>
    <col min="408" max="408" width="10.13" customWidth="true" style="36"/>
    <col min="409" max="409" width="10.13" customWidth="true" style="36"/>
    <col min="410" max="410" width="10.13" customWidth="true" style="36"/>
    <col min="411" max="411" width="10.13" customWidth="true" style="36"/>
    <col min="412" max="412" width="10.13" customWidth="true" style="36"/>
    <col min="413" max="413" width="10.13" customWidth="true" style="36"/>
    <col min="414" max="414" width="10.13" customWidth="true" style="36"/>
    <col min="415" max="415" width="10.13" customWidth="true" style="36"/>
    <col min="416" max="416" width="10.13" customWidth="true" style="36"/>
    <col min="417" max="417" width="10.13" customWidth="true" style="36"/>
    <col min="418" max="418" width="10.13" customWidth="true" style="36"/>
    <col min="419" max="419" width="10.13" customWidth="true" style="36"/>
    <col min="420" max="420" width="10.13" customWidth="true" style="36"/>
    <col min="421" max="421" width="10.13" customWidth="true" style="36"/>
    <col min="422" max="422" width="10.13" customWidth="true" style="36"/>
    <col min="423" max="423" width="10.13" customWidth="true" style="36"/>
    <col min="424" max="424" width="10.13" customWidth="true" style="36"/>
    <col min="425" max="425" width="10.13" customWidth="true" style="36"/>
    <col min="426" max="426" width="10.13" customWidth="true" style="36"/>
    <col min="427" max="427" width="10.13" customWidth="true" style="36"/>
    <col min="428" max="428" width="10.13" customWidth="true" style="36"/>
    <col min="429" max="429" width="10.13" customWidth="true" style="36"/>
    <col min="430" max="430" width="10.13" customWidth="true" style="36"/>
    <col min="431" max="431" width="10.13" customWidth="true" style="36"/>
    <col min="432" max="432" width="10.13" customWidth="true" style="36"/>
    <col min="433" max="433" width="10.13" customWidth="true" style="36"/>
    <col min="434" max="434" width="10.13" customWidth="true" style="36"/>
    <col min="435" max="435" width="10.13" customWidth="true" style="36"/>
    <col min="436" max="436" width="10.13" customWidth="true" style="36"/>
    <col min="437" max="437" width="10.13" customWidth="true" style="36"/>
    <col min="438" max="438" width="10.13" customWidth="true" style="36"/>
    <col min="439" max="439" width="10.13" customWidth="true" style="36"/>
    <col min="440" max="440" width="10.13" customWidth="true" style="36"/>
    <col min="441" max="441" width="10.13" customWidth="true" style="36"/>
    <col min="442" max="442" width="10.13" customWidth="true" style="36"/>
    <col min="443" max="443" width="10.13" customWidth="true" style="36"/>
    <col min="444" max="444" width="10.13" customWidth="true" style="36"/>
    <col min="445" max="445" width="10.13" customWidth="true" style="36"/>
    <col min="446" max="446" width="10.13" customWidth="true" style="36"/>
    <col min="447" max="447" width="10.13" customWidth="true" style="36"/>
    <col min="448" max="448" width="10.13" customWidth="true" style="36"/>
    <col min="449" max="449" width="10.13" customWidth="true" style="36"/>
    <col min="450" max="450" width="10.13" customWidth="true" style="36"/>
    <col min="451" max="451" width="10.13" customWidth="true" style="36"/>
    <col min="452" max="452" width="10.13" customWidth="true" style="36"/>
    <col min="453" max="453" width="10.13" customWidth="true" style="36"/>
    <col min="454" max="454" width="10.13" customWidth="true" style="36"/>
    <col min="455" max="455" width="10.13" customWidth="true" style="36"/>
    <col min="456" max="456" width="10.13" customWidth="true" style="36"/>
    <col min="457" max="457" width="10.13" customWidth="true" style="36"/>
    <col min="458" max="458" width="10.13" customWidth="true" style="36"/>
    <col min="459" max="459" width="10.13" customWidth="true" style="36"/>
    <col min="460" max="460" width="10.13" customWidth="true" style="36"/>
    <col min="461" max="461" width="10.13" customWidth="true" style="36"/>
    <col min="462" max="462" width="10.13" customWidth="true" style="36"/>
    <col min="463" max="463" width="10.13" customWidth="true" style="36"/>
    <col min="464" max="464" width="10.13" customWidth="true" style="36"/>
    <col min="465" max="465" width="10.13" customWidth="true" style="36"/>
    <col min="466" max="466" width="10.13" customWidth="true" style="36"/>
    <col min="467" max="467" width="10.13" customWidth="true" style="36"/>
    <col min="468" max="468" width="10.13" customWidth="true" style="36"/>
    <col min="469" max="469" width="10.13" customWidth="true" style="36"/>
    <col min="470" max="470" width="10.13" customWidth="true" style="36"/>
    <col min="471" max="471" width="10.13" customWidth="true" style="36"/>
    <col min="472" max="472" width="10.13" customWidth="true" style="36"/>
    <col min="473" max="473" width="10.13" customWidth="true" style="36"/>
    <col min="474" max="474" width="10.13" customWidth="true" style="36"/>
    <col min="475" max="475" width="10.13" customWidth="true" style="36"/>
    <col min="476" max="476" width="10.13" customWidth="true" style="36"/>
    <col min="477" max="477" width="10.13" customWidth="true" style="36"/>
    <col min="478" max="478" width="10.13" customWidth="true" style="36"/>
    <col min="479" max="479" width="10.13" customWidth="true" style="36"/>
    <col min="480" max="480" width="10.13" customWidth="true" style="36"/>
    <col min="481" max="481" width="10.13" customWidth="true" style="36"/>
    <col min="482" max="482" width="10.13" customWidth="true" style="36"/>
    <col min="483" max="483" width="10.13" customWidth="true" style="36"/>
    <col min="484" max="484" width="10.13" customWidth="true" style="36"/>
    <col min="485" max="485" width="10.13" customWidth="true" style="36"/>
    <col min="486" max="486" width="10.13" customWidth="true" style="36"/>
    <col min="487" max="487" width="10.13" customWidth="true" style="36"/>
    <col min="488" max="488" width="10.13" customWidth="true" style="36"/>
    <col min="489" max="489" width="10.13" customWidth="true" style="36"/>
    <col min="490" max="490" width="10.13" customWidth="true" style="36"/>
    <col min="491" max="491" width="10.13" customWidth="true" style="36"/>
    <col min="492" max="492" width="10.13" customWidth="true" style="36"/>
    <col min="493" max="493" width="10.13" customWidth="true" style="36"/>
    <col min="494" max="494" width="10.13" customWidth="true" style="36"/>
    <col min="495" max="495" width="10.13" customWidth="true" style="36"/>
    <col min="496" max="496" width="10.13" customWidth="true" style="36"/>
    <col min="497" max="497" width="10.13" customWidth="true" style="36"/>
    <col min="498" max="498" width="10.13" customWidth="true" style="36"/>
    <col min="499" max="499" width="10.13" customWidth="true" style="36"/>
    <col min="500" max="500" width="10.13" customWidth="true" style="36"/>
    <col min="501" max="501" width="10.13" customWidth="true" style="36"/>
    <col min="502" max="502" width="10.13" customWidth="true" style="36"/>
    <col min="503" max="503" width="10.13" customWidth="true" style="36"/>
    <col min="504" max="504" width="10.13" customWidth="true" style="36"/>
    <col min="505" max="505" width="10.13" customWidth="true" style="36"/>
    <col min="506" max="506" width="10.13" customWidth="true" style="36"/>
    <col min="507" max="507" width="10.13" customWidth="true" style="36"/>
    <col min="508" max="508" width="10.13" customWidth="true" style="36"/>
    <col min="509" max="509" width="10.13" customWidth="true" style="36"/>
    <col min="510" max="510" width="10.13" customWidth="true" style="36"/>
    <col min="511" max="511" width="10.13" customWidth="true" style="36"/>
    <col min="512" max="512" width="10.13" customWidth="true" style="36"/>
    <col min="513" max="513" width="10.13" customWidth="true" style="36"/>
    <col min="514" max="514" width="10.13" customWidth="true" style="36"/>
    <col min="515" max="515" width="10.13" customWidth="true" style="36"/>
    <col min="516" max="516" width="10.13" customWidth="true" style="36"/>
    <col min="517" max="517" width="10.13" customWidth="true" style="36"/>
    <col min="518" max="518" width="10.13" customWidth="true" style="36"/>
    <col min="519" max="519" width="10.13" customWidth="true" style="36"/>
    <col min="520" max="520" width="10.13" customWidth="true" style="36"/>
    <col min="521" max="521" width="10.13" customWidth="true" style="36"/>
    <col min="522" max="522" width="10.13" customWidth="true" style="36"/>
    <col min="523" max="523" width="10.13" customWidth="true" style="36"/>
    <col min="524" max="524" width="10.13" customWidth="true" style="36"/>
    <col min="525" max="525" width="10.13" customWidth="true" style="36"/>
    <col min="526" max="526" width="10.13" customWidth="true" style="36"/>
    <col min="527" max="527" width="10.13" customWidth="true" style="36"/>
    <col min="528" max="528" width="10.13" customWidth="true" style="36"/>
    <col min="529" max="529" width="10.13" customWidth="true" style="36"/>
    <col min="530" max="530" width="10.13" customWidth="true" style="36"/>
    <col min="531" max="531" width="10.13" customWidth="true" style="36"/>
    <col min="532" max="532" width="10.13" customWidth="true" style="36"/>
    <col min="533" max="533" width="10.13" customWidth="true" style="36"/>
    <col min="534" max="534" width="10.13" customWidth="true" style="36"/>
    <col min="535" max="535" width="10.13" customWidth="true" style="36"/>
    <col min="536" max="536" width="10.13" customWidth="true" style="36"/>
    <col min="537" max="537" width="10.13" customWidth="true" style="36"/>
    <col min="538" max="538" width="10.13" customWidth="true" style="36"/>
    <col min="539" max="539" width="10.13" customWidth="true" style="36"/>
    <col min="540" max="540" width="10.13" customWidth="true" style="36"/>
    <col min="541" max="541" width="10.13" customWidth="true" style="36"/>
    <col min="542" max="542" width="10.13" customWidth="true" style="36"/>
    <col min="543" max="543" width="10.13" customWidth="true" style="36"/>
    <col min="544" max="544" width="10.13" customWidth="true" style="36"/>
    <col min="545" max="545" width="10.13" customWidth="true" style="36"/>
    <col min="546" max="546" width="10.13" customWidth="true" style="36"/>
    <col min="547" max="547" width="10.13" customWidth="true" style="36"/>
    <col min="548" max="548" width="10.13" customWidth="true" style="36"/>
    <col min="549" max="549" width="10.13" customWidth="true" style="36"/>
    <col min="550" max="550" width="10.13" customWidth="true" style="36"/>
    <col min="551" max="551" width="10.13" customWidth="true" style="36"/>
    <col min="552" max="552" width="10.13" customWidth="true" style="36"/>
    <col min="553" max="553" width="10.13" customWidth="true" style="36"/>
    <col min="554" max="554" width="10.13" customWidth="true" style="36"/>
    <col min="555" max="555" width="10.13" customWidth="true" style="36"/>
    <col min="556" max="556" width="10.13" customWidth="true" style="36"/>
    <col min="557" max="557" width="10.13" customWidth="true" style="36"/>
    <col min="558" max="558" width="10.13" customWidth="true" style="36"/>
    <col min="559" max="559" width="10.13" customWidth="true" style="36"/>
    <col min="560" max="560" width="10.13" customWidth="true" style="36"/>
    <col min="561" max="561" width="10.13" customWidth="true" style="36"/>
    <col min="562" max="562" width="10.13" customWidth="true" style="36"/>
    <col min="563" max="563" width="10.13" customWidth="true" style="36"/>
    <col min="564" max="564" width="10.13" customWidth="true" style="36"/>
    <col min="565" max="565" width="10.13" customWidth="true" style="36"/>
    <col min="566" max="566" width="10.13" customWidth="true" style="36"/>
    <col min="567" max="567" width="10.13" customWidth="true" style="36"/>
    <col min="568" max="568" width="10.13" customWidth="true" style="36"/>
    <col min="569" max="569" width="10.13" customWidth="true" style="36"/>
    <col min="570" max="570" width="10.13" customWidth="true" style="36"/>
    <col min="571" max="571" width="10.13" customWidth="true" style="36"/>
    <col min="572" max="572" width="10.13" customWidth="true" style="36"/>
    <col min="573" max="573" width="10.13" customWidth="true" style="36"/>
    <col min="574" max="574" width="10.13" customWidth="true" style="36"/>
    <col min="575" max="575" width="10.13" customWidth="true" style="36"/>
    <col min="576" max="576" width="10.13" customWidth="true" style="36"/>
    <col min="577" max="577" width="10.13" customWidth="true" style="36"/>
    <col min="578" max="578" width="10.13" customWidth="true" style="36"/>
    <col min="579" max="579" width="10.13" customWidth="true" style="36"/>
    <col min="580" max="580" width="10.13" customWidth="true" style="36"/>
    <col min="581" max="581" width="10.13" customWidth="true" style="36"/>
    <col min="582" max="582" width="10.13" customWidth="true" style="36"/>
    <col min="583" max="583" width="10.13" customWidth="true" style="36"/>
    <col min="584" max="584" width="10.13" customWidth="true" style="36"/>
    <col min="585" max="585" width="10.13" customWidth="true" style="36"/>
    <col min="586" max="586" width="10.13" customWidth="true" style="36"/>
    <col min="587" max="587" width="10.13" customWidth="true" style="36"/>
    <col min="588" max="588" width="10.13" customWidth="true" style="36"/>
    <col min="589" max="589" width="10.13" customWidth="true" style="36"/>
    <col min="590" max="590" width="10.13" customWidth="true" style="36"/>
    <col min="591" max="591" width="10.13" customWidth="true" style="36"/>
    <col min="592" max="592" width="10.13" customWidth="true" style="36"/>
    <col min="593" max="593" width="10.13" customWidth="true" style="36"/>
    <col min="594" max="594" width="10.13" customWidth="true" style="36"/>
    <col min="595" max="595" width="10.13" customWidth="true" style="36"/>
    <col min="596" max="596" width="10.13" customWidth="true" style="36"/>
    <col min="597" max="597" width="10.13" customWidth="true" style="36"/>
    <col min="598" max="598" width="10.13" customWidth="true" style="36"/>
    <col min="599" max="599" width="10.13" customWidth="true" style="36"/>
    <col min="600" max="600" width="10.13" customWidth="true" style="36"/>
    <col min="601" max="601" width="10.13" customWidth="true" style="36"/>
    <col min="602" max="602" width="10.13" customWidth="true" style="36"/>
    <col min="603" max="603" width="10.13" customWidth="true" style="36"/>
    <col min="604" max="604" width="10.13" customWidth="true" style="36"/>
    <col min="605" max="605" width="10.13" customWidth="true" style="36"/>
    <col min="606" max="606" width="10.13" customWidth="true" style="36"/>
    <col min="607" max="607" width="10.13" customWidth="true" style="36"/>
    <col min="608" max="608" width="10.13" customWidth="true" style="36"/>
    <col min="609" max="609" width="10.13" customWidth="true" style="36"/>
    <col min="610" max="610" width="10.13" customWidth="true" style="36"/>
    <col min="611" max="611" width="10.13" customWidth="true" style="36"/>
    <col min="612" max="612" width="10.13" customWidth="true" style="36"/>
    <col min="613" max="613" width="10.13" customWidth="true" style="36"/>
    <col min="614" max="614" width="10.13" customWidth="true" style="36"/>
    <col min="615" max="615" width="10.13" customWidth="true" style="36"/>
    <col min="616" max="616" width="10.13" customWidth="true" style="36"/>
    <col min="617" max="617" width="10.13" customWidth="true" style="36"/>
    <col min="618" max="618" width="10.13" customWidth="true" style="36"/>
    <col min="619" max="619" width="10.13" customWidth="true" style="36"/>
    <col min="620" max="620" width="10.13" customWidth="true" style="36"/>
    <col min="621" max="621" width="10.13" customWidth="true" style="36"/>
    <col min="622" max="622" width="10.13" customWidth="true" style="36"/>
    <col min="623" max="623" width="10.13" customWidth="true" style="36"/>
    <col min="624" max="624" width="10.13" customWidth="true" style="36"/>
    <col min="625" max="625" width="10.13" customWidth="true" style="36"/>
    <col min="626" max="626" width="10.13" customWidth="true" style="36"/>
    <col min="627" max="627" width="10.13" customWidth="true" style="36"/>
    <col min="628" max="628" width="10.13" customWidth="true" style="36"/>
    <col min="629" max="629" width="10.13" customWidth="true" style="36"/>
    <col min="630" max="630" width="10.13" customWidth="true" style="36"/>
    <col min="631" max="631" width="10.13" customWidth="true" style="36"/>
    <col min="632" max="632" width="10.13" customWidth="true" style="36"/>
    <col min="633" max="633" width="10.13" customWidth="true" style="36"/>
    <col min="634" max="634" width="10.13" customWidth="true" style="36"/>
    <col min="635" max="635" width="10.13" customWidth="true" style="36"/>
    <col min="636" max="636" width="10.13" customWidth="true" style="36"/>
    <col min="637" max="637" width="10.13" customWidth="true" style="36"/>
    <col min="638" max="638" width="10.13" customWidth="true" style="36"/>
    <col min="639" max="639" width="10.13" customWidth="true" style="36"/>
    <col min="640" max="640" width="10.13" customWidth="true" style="36"/>
    <col min="641" max="641" width="10.13" customWidth="true" style="36"/>
    <col min="642" max="642" width="10.13" customWidth="true" style="36"/>
    <col min="643" max="643" width="10.13" customWidth="true" style="36"/>
    <col min="644" max="644" width="10.13" customWidth="true" style="36"/>
    <col min="645" max="645" width="10.13" customWidth="true" style="36"/>
    <col min="646" max="646" width="10.13" customWidth="true" style="36"/>
    <col min="647" max="647" width="10.13" customWidth="true" style="36"/>
    <col min="648" max="648" width="10.13" customWidth="true" style="36"/>
    <col min="649" max="649" width="10.13" customWidth="true" style="36"/>
    <col min="650" max="650" width="10.13" customWidth="true" style="36"/>
    <col min="651" max="651" width="10.13" customWidth="true" style="36"/>
    <col min="652" max="652" width="10.13" customWidth="true" style="36"/>
    <col min="653" max="653" width="10.13" customWidth="true" style="36"/>
    <col min="654" max="654" width="10.13" customWidth="true" style="36"/>
    <col min="655" max="655" width="10.13" customWidth="true" style="36"/>
    <col min="656" max="656" width="10.13" customWidth="true" style="36"/>
    <col min="657" max="657" width="10.13" customWidth="true" style="36"/>
    <col min="658" max="658" width="10.13" customWidth="true" style="36"/>
    <col min="659" max="659" width="10.13" customWidth="true" style="36"/>
    <col min="660" max="660" width="10.13" customWidth="true" style="36"/>
    <col min="661" max="661" width="10.13" customWidth="true" style="36"/>
    <col min="662" max="662" width="10.13" customWidth="true" style="36"/>
    <col min="663" max="663" width="10.13" customWidth="true" style="36"/>
    <col min="664" max="664" width="10.13" customWidth="true" style="36"/>
    <col min="665" max="665" width="10.13" customWidth="true" style="36"/>
    <col min="666" max="666" width="10.13" customWidth="true" style="36"/>
    <col min="667" max="667" width="10.13" customWidth="true" style="36"/>
    <col min="668" max="668" width="10.13" customWidth="true" style="36"/>
    <col min="669" max="669" width="10.13" customWidth="true" style="36"/>
    <col min="670" max="670" width="10.13" customWidth="true" style="36"/>
    <col min="671" max="671" width="10.13" customWidth="true" style="36"/>
    <col min="672" max="672" width="10.13" customWidth="true" style="36"/>
    <col min="673" max="673" width="10.13" customWidth="true" style="36"/>
    <col min="674" max="674" width="10.13" customWidth="true" style="36"/>
    <col min="675" max="675" width="10.13" customWidth="true" style="36"/>
    <col min="676" max="676" width="10.13" customWidth="true" style="36"/>
    <col min="677" max="677" width="10.13" customWidth="true" style="36"/>
    <col min="678" max="678" width="10.13" customWidth="true" style="36"/>
    <col min="679" max="679" width="10.13" customWidth="true" style="36"/>
    <col min="680" max="680" width="10.13" customWidth="true" style="36"/>
    <col min="681" max="681" width="10.13" customWidth="true" style="36"/>
    <col min="682" max="682" width="10.13" customWidth="true" style="36"/>
    <col min="683" max="683" width="10.13" customWidth="true" style="36"/>
    <col min="684" max="684" width="10.13" customWidth="true" style="36"/>
    <col min="685" max="685" width="10.13" customWidth="true" style="36"/>
    <col min="686" max="686" width="10.13" customWidth="true" style="36"/>
    <col min="687" max="687" width="10.13" customWidth="true" style="36"/>
    <col min="688" max="688" width="10.13" customWidth="true" style="36"/>
    <col min="689" max="689" width="10.13" customWidth="true" style="36"/>
    <col min="690" max="690" width="10.13" customWidth="true" style="36"/>
    <col min="691" max="691" width="10.13" customWidth="true" style="36"/>
    <col min="692" max="692" width="10.13" customWidth="true" style="36"/>
    <col min="693" max="693" width="10.13" customWidth="true" style="36"/>
    <col min="694" max="694" width="10.13" customWidth="true" style="36"/>
    <col min="695" max="695" width="10.13" customWidth="true" style="36"/>
    <col min="696" max="696" width="10.13" customWidth="true" style="36"/>
    <col min="697" max="697" width="10.13" customWidth="true" style="36"/>
    <col min="698" max="698" width="10.13" customWidth="true" style="36"/>
    <col min="699" max="699" width="10.13" customWidth="true" style="36"/>
    <col min="700" max="700" width="10.13" customWidth="true" style="36"/>
    <col min="701" max="701" width="10.13" customWidth="true" style="36"/>
    <col min="702" max="702" width="10.13" customWidth="true" style="36"/>
    <col min="703" max="703" width="10.13" customWidth="true" style="36"/>
    <col min="704" max="704" width="10.13" customWidth="true" style="36"/>
    <col min="705" max="705" width="10.13" customWidth="true" style="36"/>
    <col min="706" max="706" width="10.13" customWidth="true" style="36"/>
    <col min="707" max="707" width="10.13" customWidth="true" style="36"/>
    <col min="708" max="708" width="10.13" customWidth="true" style="36"/>
    <col min="709" max="709" width="10.13" customWidth="true" style="36"/>
    <col min="710" max="710" width="10.13" customWidth="true" style="36"/>
    <col min="711" max="711" width="10.13" customWidth="true" style="36"/>
    <col min="712" max="712" width="10.13" customWidth="true" style="36"/>
    <col min="713" max="713" width="10.13" customWidth="true" style="36"/>
    <col min="714" max="714" width="10.13" customWidth="true" style="36"/>
    <col min="715" max="715" width="10.13" customWidth="true" style="36"/>
    <col min="716" max="716" width="10.13" customWidth="true" style="36"/>
    <col min="717" max="717" width="10.13" customWidth="true" style="36"/>
    <col min="718" max="718" width="10.13" customWidth="true" style="36"/>
    <col min="719" max="719" width="10.13" customWidth="true" style="36"/>
    <col min="720" max="720" width="10.13" customWidth="true" style="36"/>
    <col min="721" max="721" width="10.13" customWidth="true" style="36"/>
    <col min="722" max="722" width="10.13" customWidth="true" style="36"/>
    <col min="723" max="723" width="10.13" customWidth="true" style="36"/>
    <col min="724" max="724" width="10.13" customWidth="true" style="36"/>
    <col min="725" max="725" width="10.13" customWidth="true" style="36"/>
    <col min="726" max="726" width="10.13" customWidth="true" style="36"/>
    <col min="727" max="727" width="10.13" customWidth="true" style="36"/>
    <col min="728" max="728" width="10.13" customWidth="true" style="36"/>
    <col min="729" max="729" width="10.13" customWidth="true" style="36"/>
    <col min="730" max="730" width="10.13" customWidth="true" style="36"/>
    <col min="731" max="731" width="10.13" customWidth="true" style="36"/>
    <col min="732" max="732" width="10.13" customWidth="true" style="36"/>
    <col min="733" max="733" width="10.13" customWidth="true" style="36"/>
    <col min="734" max="734" width="10.13" customWidth="true" style="36"/>
    <col min="735" max="735" width="10.13" customWidth="true" style="36"/>
    <col min="736" max="736" width="10.13" customWidth="true" style="36"/>
    <col min="737" max="737" width="10.13" customWidth="true" style="36"/>
    <col min="738" max="738" width="10.13" customWidth="true" style="36"/>
    <col min="739" max="739" width="10.13" customWidth="true" style="36"/>
    <col min="740" max="740" width="10.13" customWidth="true" style="36"/>
    <col min="741" max="741" width="10.13" customWidth="true" style="36"/>
    <col min="742" max="742" width="10.13" customWidth="true" style="36"/>
    <col min="743" max="743" width="10.13" customWidth="true" style="36"/>
    <col min="744" max="744" width="10.13" customWidth="true" style="36"/>
    <col min="745" max="745" width="10.13" customWidth="true" style="36"/>
    <col min="746" max="746" width="10.13" customWidth="true" style="36"/>
    <col min="747" max="747" width="10.13" customWidth="true" style="36"/>
    <col min="748" max="748" width="10.13" customWidth="true" style="36"/>
    <col min="749" max="749" width="10.13" customWidth="true" style="36"/>
    <col min="750" max="750" width="10.13" customWidth="true" style="36"/>
    <col min="751" max="751" width="10.13" customWidth="true" style="36"/>
    <col min="752" max="752" width="10.13" customWidth="true" style="36"/>
    <col min="753" max="753" width="10.13" customWidth="true" style="36"/>
    <col min="754" max="754" width="10.13" customWidth="true" style="36"/>
    <col min="755" max="755" width="10.13" customWidth="true" style="36"/>
    <col min="756" max="756" width="10.13" customWidth="true" style="36"/>
    <col min="757" max="757" width="10.13" customWidth="true" style="36"/>
    <col min="758" max="758" width="10.13" customWidth="true" style="36"/>
    <col min="759" max="759" width="10.13" customWidth="true" style="36"/>
    <col min="760" max="760" width="10.13" customWidth="true" style="36"/>
    <col min="761" max="761" width="10.13" customWidth="true" style="36"/>
    <col min="762" max="762" width="10.13" customWidth="true" style="36"/>
    <col min="763" max="763" width="10.13" customWidth="true" style="36"/>
    <col min="764" max="764" width="10.13" customWidth="true" style="36"/>
    <col min="765" max="765" width="10.13" customWidth="true" style="36"/>
    <col min="766" max="766" width="10.13" customWidth="true" style="36"/>
    <col min="767" max="767" width="10.13" customWidth="true" style="36"/>
    <col min="768" max="768" width="10.13" customWidth="true" style="36"/>
    <col min="769" max="769" width="10.13" customWidth="true" style="36"/>
    <col min="770" max="770" width="10.13" customWidth="true" style="36"/>
    <col min="771" max="771" width="10.13" customWidth="true" style="36"/>
    <col min="772" max="772" width="10.13" customWidth="true" style="36"/>
    <col min="773" max="773" width="10.13" customWidth="true" style="36"/>
    <col min="774" max="774" width="10.13" customWidth="true" style="36"/>
    <col min="775" max="775" width="10.13" customWidth="true" style="36"/>
    <col min="776" max="776" width="10.13" customWidth="true" style="36"/>
    <col min="777" max="777" width="10.13" customWidth="true" style="36"/>
    <col min="778" max="778" width="10.13" customWidth="true" style="36"/>
    <col min="779" max="779" width="10.13" customWidth="true" style="36"/>
    <col min="780" max="780" width="10.13" customWidth="true" style="36"/>
    <col min="781" max="781" width="10.13" customWidth="true" style="36"/>
    <col min="782" max="782" width="10.13" customWidth="true" style="36"/>
    <col min="783" max="783" width="10.13" customWidth="true" style="36"/>
    <col min="784" max="784" width="10.13" customWidth="true" style="36"/>
    <col min="785" max="785" width="10.13" customWidth="true" style="36"/>
    <col min="786" max="786" width="10.13" customWidth="true" style="36"/>
    <col min="787" max="787" width="10.13" customWidth="true" style="36"/>
    <col min="788" max="788" width="10.13" customWidth="true" style="36"/>
    <col min="789" max="789" width="10.13" customWidth="true" style="36"/>
    <col min="790" max="790" width="10.13" customWidth="true" style="36"/>
    <col min="791" max="791" width="10.13" customWidth="true" style="36"/>
    <col min="792" max="792" width="10.13" customWidth="true" style="36"/>
    <col min="793" max="793" width="10.13" customWidth="true" style="36"/>
    <col min="794" max="794" width="10.13" customWidth="true" style="36"/>
    <col min="795" max="795" width="10.13" customWidth="true" style="36"/>
    <col min="796" max="796" width="10.13" customWidth="true" style="36"/>
    <col min="797" max="797" width="10.13" customWidth="true" style="36"/>
    <col min="798" max="798" width="10.13" customWidth="true" style="36"/>
    <col min="799" max="799" width="10.13" customWidth="true" style="36"/>
    <col min="800" max="800" width="10.13" customWidth="true" style="36"/>
    <col min="801" max="801" width="10.13" customWidth="true" style="36"/>
    <col min="802" max="802" width="10.13" customWidth="true" style="36"/>
    <col min="803" max="803" width="10.13" customWidth="true" style="36"/>
    <col min="804" max="804" width="10.13" customWidth="true" style="36"/>
    <col min="805" max="805" width="10.13" customWidth="true" style="36"/>
    <col min="806" max="806" width="10.13" customWidth="true" style="36"/>
    <col min="807" max="807" width="10.13" customWidth="true" style="36"/>
    <col min="808" max="808" width="10.13" customWidth="true" style="36"/>
    <col min="809" max="809" width="10.13" customWidth="true" style="36"/>
    <col min="810" max="810" width="10.13" customWidth="true" style="36"/>
    <col min="811" max="811" width="10.13" customWidth="true" style="36"/>
    <col min="812" max="812" width="10.13" customWidth="true" style="36"/>
    <col min="813" max="813" width="10.13" customWidth="true" style="36"/>
    <col min="814" max="814" width="10.13" customWidth="true" style="36"/>
    <col min="815" max="815" width="10.13" customWidth="true" style="36"/>
    <col min="816" max="816" width="10.13" customWidth="true" style="36"/>
    <col min="817" max="817" width="10.13" customWidth="true" style="36"/>
    <col min="818" max="818" width="10.13" customWidth="true" style="36"/>
    <col min="819" max="819" width="10.13" customWidth="true" style="36"/>
    <col min="820" max="820" width="10.13" customWidth="true" style="36"/>
    <col min="821" max="821" width="10.13" customWidth="true" style="36"/>
    <col min="822" max="822" width="10.13" customWidth="true" style="36"/>
    <col min="823" max="823" width="10.13" customWidth="true" style="36"/>
    <col min="824" max="824" width="10.13" customWidth="true" style="36"/>
    <col min="825" max="825" width="10.13" customWidth="true" style="36"/>
    <col min="826" max="826" width="10.13" customWidth="true" style="36"/>
    <col min="827" max="827" width="10.13" customWidth="true" style="36"/>
    <col min="828" max="828" width="10.13" customWidth="true" style="36"/>
    <col min="829" max="829" width="10.13" customWidth="true" style="36"/>
    <col min="830" max="830" width="10.13" customWidth="true" style="36"/>
    <col min="831" max="831" width="10.13" customWidth="true" style="36"/>
    <col min="832" max="832" width="10.13" customWidth="true" style="36"/>
    <col min="833" max="833" width="10.13" customWidth="true" style="36"/>
    <col min="834" max="834" width="10.13" customWidth="true" style="36"/>
    <col min="835" max="835" width="10.13" customWidth="true" style="36"/>
    <col min="836" max="836" width="10.13" customWidth="true" style="36"/>
    <col min="837" max="837" width="10.13" customWidth="true" style="36"/>
    <col min="838" max="838" width="10.13" customWidth="true" style="36"/>
    <col min="839" max="839" width="10.13" customWidth="true" style="36"/>
    <col min="840" max="840" width="10.13" customWidth="true" style="36"/>
    <col min="841" max="841" width="10.13" customWidth="true" style="36"/>
    <col min="842" max="842" width="10.13" customWidth="true" style="36"/>
    <col min="843" max="843" width="10.13" customWidth="true" style="36"/>
    <col min="844" max="844" width="10.13" customWidth="true" style="36"/>
    <col min="845" max="845" width="10.13" customWidth="true" style="36"/>
    <col min="846" max="846" width="10.13" customWidth="true" style="36"/>
    <col min="847" max="847" width="10.13" customWidth="true" style="36"/>
    <col min="848" max="848" width="10.13" customWidth="true" style="36"/>
    <col min="849" max="849" width="10.13" customWidth="true" style="36"/>
    <col min="850" max="850" width="10.13" customWidth="true" style="36"/>
    <col min="851" max="851" width="10.13" customWidth="true" style="36"/>
    <col min="852" max="852" width="10.13" customWidth="true" style="36"/>
    <col min="853" max="853" width="10.13" customWidth="true" style="36"/>
    <col min="854" max="854" width="10.13" customWidth="true" style="36"/>
    <col min="855" max="855" width="10.13" customWidth="true" style="36"/>
    <col min="856" max="856" width="10.13" customWidth="true" style="36"/>
    <col min="857" max="857" width="10.13" customWidth="true" style="36"/>
    <col min="858" max="858" width="10.13" customWidth="true" style="36"/>
    <col min="859" max="859" width="10.13" customWidth="true" style="36"/>
    <col min="860" max="860" width="10.13" customWidth="true" style="36"/>
    <col min="861" max="861" width="10.13" customWidth="true" style="36"/>
    <col min="862" max="862" width="10.13" customWidth="true" style="36"/>
    <col min="863" max="863" width="10.13" customWidth="true" style="36"/>
    <col min="864" max="864" width="10.13" customWidth="true" style="36"/>
    <col min="865" max="865" width="10.13" customWidth="true" style="36"/>
    <col min="866" max="866" width="10.13" customWidth="true" style="36"/>
    <col min="867" max="867" width="10.13" customWidth="true" style="36"/>
    <col min="868" max="868" width="10.13" customWidth="true" style="36"/>
    <col min="869" max="869" width="10.13" customWidth="true" style="36"/>
    <col min="870" max="870" width="10.13" customWidth="true" style="36"/>
    <col min="871" max="871" width="10.13" customWidth="true" style="36"/>
    <col min="872" max="872" width="10.13" customWidth="true" style="36"/>
    <col min="873" max="873" width="10.13" customWidth="true" style="36"/>
    <col min="874" max="874" width="10.13" customWidth="true" style="36"/>
    <col min="875" max="875" width="10.13" customWidth="true" style="36"/>
    <col min="876" max="876" width="10.13" customWidth="true" style="36"/>
    <col min="877" max="877" width="10.13" customWidth="true" style="36"/>
    <col min="878" max="878" width="10.13" customWidth="true" style="36"/>
    <col min="879" max="879" width="10.13" customWidth="true" style="36"/>
    <col min="880" max="880" width="10.13" customWidth="true" style="36"/>
    <col min="881" max="881" width="10.13" customWidth="true" style="36"/>
    <col min="882" max="882" width="10.13" customWidth="true" style="36"/>
    <col min="883" max="883" width="10.13" customWidth="true" style="36"/>
    <col min="884" max="884" width="10.13" customWidth="true" style="36"/>
    <col min="885" max="885" width="10.13" customWidth="true" style="36"/>
    <col min="886" max="886" width="10.13" customWidth="true" style="36"/>
    <col min="887" max="887" width="10.13" customWidth="true" style="36"/>
    <col min="888" max="888" width="10.13" customWidth="true" style="36"/>
    <col min="889" max="889" width="10.13" customWidth="true" style="36"/>
    <col min="890" max="890" width="10.13" customWidth="true" style="36"/>
    <col min="891" max="891" width="10.13" customWidth="true" style="36"/>
    <col min="892" max="892" width="10.13" customWidth="true" style="36"/>
    <col min="893" max="893" width="10.13" customWidth="true" style="36"/>
    <col min="894" max="894" width="10.13" customWidth="true" style="36"/>
    <col min="895" max="895" width="10.13" customWidth="true" style="36"/>
    <col min="896" max="896" width="10.13" customWidth="true" style="36"/>
    <col min="897" max="897" width="10.13" customWidth="true" style="36"/>
    <col min="898" max="898" width="10.13" customWidth="true" style="36"/>
    <col min="899" max="899" width="10.13" customWidth="true" style="36"/>
    <col min="900" max="900" width="10.13" customWidth="true" style="36"/>
    <col min="901" max="901" width="10.13" customWidth="true" style="36"/>
    <col min="902" max="902" width="10.13" customWidth="true" style="36"/>
    <col min="903" max="903" width="10.13" customWidth="true" style="36"/>
    <col min="904" max="904" width="10.13" customWidth="true" style="36"/>
    <col min="905" max="905" width="10.13" customWidth="true" style="36"/>
    <col min="906" max="906" width="10.13" customWidth="true" style="36"/>
    <col min="907" max="907" width="10.13" customWidth="true" style="36"/>
    <col min="908" max="908" width="10.13" customWidth="true" style="36"/>
    <col min="909" max="909" width="10.13" customWidth="true" style="36"/>
    <col min="910" max="910" width="10.13" customWidth="true" style="36"/>
    <col min="911" max="911" width="10.13" customWidth="true" style="36"/>
    <col min="912" max="912" width="10.13" customWidth="true" style="36"/>
    <col min="913" max="913" width="10.13" customWidth="true" style="36"/>
    <col min="914" max="914" width="10.13" customWidth="true" style="36"/>
    <col min="915" max="915" width="10.13" customWidth="true" style="36"/>
    <col min="916" max="916" width="10.13" customWidth="true" style="36"/>
    <col min="917" max="917" width="10.13" customWidth="true" style="36"/>
    <col min="918" max="918" width="10.13" customWidth="true" style="36"/>
    <col min="919" max="919" width="10.13" customWidth="true" style="36"/>
    <col min="920" max="920" width="10.13" customWidth="true" style="36"/>
    <col min="921" max="921" width="10.13" customWidth="true" style="36"/>
    <col min="922" max="922" width="10.13" customWidth="true" style="36"/>
    <col min="923" max="923" width="10.13" customWidth="true" style="36"/>
    <col min="924" max="924" width="10.13" customWidth="true" style="36"/>
    <col min="925" max="925" width="10.13" customWidth="true" style="36"/>
    <col min="926" max="926" width="10.13" customWidth="true" style="36"/>
    <col min="927" max="927" width="10.13" customWidth="true" style="36"/>
    <col min="928" max="928" width="10.13" customWidth="true" style="36"/>
    <col min="929" max="929" width="10.13" customWidth="true" style="36"/>
    <col min="930" max="930" width="10.13" customWidth="true" style="36"/>
    <col min="931" max="931" width="10.13" customWidth="true" style="36"/>
    <col min="932" max="932" width="10.13" customWidth="true" style="36"/>
    <col min="933" max="933" width="10.13" customWidth="true" style="36"/>
    <col min="934" max="934" width="10.13" customWidth="true" style="36"/>
    <col min="935" max="935" width="10.13" customWidth="true" style="36"/>
    <col min="936" max="936" width="10.13" customWidth="true" style="36"/>
    <col min="937" max="937" width="10.13" customWidth="true" style="36"/>
    <col min="938" max="938" width="10.13" customWidth="true" style="36"/>
    <col min="939" max="939" width="10.13" customWidth="true" style="36"/>
    <col min="940" max="940" width="10.13" customWidth="true" style="36"/>
    <col min="941" max="941" width="10.13" customWidth="true" style="36"/>
    <col min="942" max="942" width="10.13" customWidth="true" style="36"/>
    <col min="943" max="943" width="10.13" customWidth="true" style="36"/>
    <col min="944" max="944" width="10.13" customWidth="true" style="36"/>
    <col min="945" max="945" width="10.13" customWidth="true" style="36"/>
    <col min="946" max="946" width="10.13" customWidth="true" style="36"/>
    <col min="947" max="947" width="10.13" customWidth="true" style="36"/>
    <col min="948" max="948" width="10.13" customWidth="true" style="36"/>
    <col min="949" max="949" width="10.13" customWidth="true" style="36"/>
    <col min="950" max="950" width="10.13" customWidth="true" style="36"/>
    <col min="951" max="951" width="10.13" customWidth="true" style="36"/>
    <col min="952" max="952" width="10.13" customWidth="true" style="36"/>
    <col min="953" max="953" width="10.13" customWidth="true" style="36"/>
    <col min="954" max="954" width="10.13" customWidth="true" style="36"/>
    <col min="955" max="955" width="10.13" customWidth="true" style="36"/>
    <col min="956" max="956" width="10.13" customWidth="true" style="36"/>
    <col min="957" max="957" width="10.13" customWidth="true" style="36"/>
    <col min="958" max="958" width="10.13" customWidth="true" style="36"/>
    <col min="959" max="959" width="10.13" customWidth="true" style="36"/>
    <col min="960" max="960" width="10.13" customWidth="true" style="36"/>
    <col min="961" max="961" width="10.13" customWidth="true" style="36"/>
    <col min="962" max="962" width="10.13" customWidth="true" style="36"/>
    <col min="963" max="963" width="10.13" customWidth="true" style="36"/>
    <col min="964" max="964" width="10.13" customWidth="true" style="36"/>
    <col min="965" max="965" width="10.13" customWidth="true" style="36"/>
    <col min="966" max="966" width="10.13" customWidth="true" style="36"/>
    <col min="967" max="967" width="10.13" customWidth="true" style="36"/>
    <col min="968" max="968" width="10.13" customWidth="true" style="36"/>
    <col min="969" max="969" width="10.13" customWidth="true" style="36"/>
    <col min="970" max="970" width="10.13" customWidth="true" style="36"/>
    <col min="971" max="971" width="10.13" customWidth="true" style="36"/>
    <col min="972" max="972" width="10.13" customWidth="true" style="36"/>
    <col min="973" max="973" width="10.13" customWidth="true" style="36"/>
    <col min="974" max="974" width="10.13" customWidth="true" style="36"/>
    <col min="975" max="975" width="10.13" customWidth="true" style="36"/>
    <col min="976" max="976" width="10.13" customWidth="true" style="36"/>
    <col min="977" max="977" width="10.13" customWidth="true" style="36"/>
    <col min="978" max="978" width="10.13" customWidth="true" style="36"/>
    <col min="979" max="979" width="10.13" customWidth="true" style="36"/>
    <col min="980" max="980" width="10.13" customWidth="true" style="36"/>
    <col min="981" max="981" width="10.13" customWidth="true" style="36"/>
    <col min="982" max="982" width="10.13" customWidth="true" style="36"/>
    <col min="983" max="983" width="10.13" customWidth="true" style="36"/>
    <col min="984" max="984" width="10.13" customWidth="true" style="36"/>
    <col min="985" max="985" width="10.13" customWidth="true" style="36"/>
    <col min="986" max="986" width="10.13" customWidth="true" style="36"/>
    <col min="987" max="987" width="10.13" customWidth="true" style="36"/>
    <col min="988" max="988" width="10.13" customWidth="true" style="36"/>
    <col min="989" max="989" width="10.13" customWidth="true" style="36"/>
    <col min="990" max="990" width="10.13" customWidth="true" style="36"/>
    <col min="991" max="991" width="10.13" customWidth="true" style="36"/>
    <col min="992" max="992" width="10.13" customWidth="true" style="36"/>
    <col min="993" max="993" width="10.13" customWidth="true" style="36"/>
    <col min="994" max="994" width="10.13" customWidth="true" style="36"/>
    <col min="995" max="995" width="10.13" customWidth="true" style="36"/>
    <col min="996" max="996" width="10.13" customWidth="true" style="36"/>
    <col min="997" max="997" width="10.13" customWidth="true" style="36"/>
    <col min="998" max="998" width="10.13" customWidth="true" style="36"/>
    <col min="999" max="999" width="10.13" customWidth="true" style="36"/>
    <col min="1000" max="1000" width="10.13" customWidth="true" style="36"/>
    <col min="1001" max="1001" width="10.13" customWidth="true" style="36"/>
    <col min="1002" max="1002" width="10.13" customWidth="true" style="36"/>
    <col min="1003" max="1003" width="10.13" customWidth="true" style="36"/>
    <col min="1004" max="1004" width="10.13" customWidth="true" style="36"/>
    <col min="1005" max="1005" width="10.13" customWidth="true" style="36"/>
    <col min="1006" max="1006" width="10.13" customWidth="true" style="36"/>
    <col min="1007" max="1007" width="10.13" customWidth="true" style="36"/>
    <col min="1008" max="1008" width="10.13" customWidth="true" style="36"/>
    <col min="1009" max="1009" width="10.13" customWidth="true" style="36"/>
    <col min="1010" max="1010" width="10.13" customWidth="true" style="36"/>
    <col min="1011" max="1011" width="10.13" customWidth="true" style="36"/>
    <col min="1012" max="1012" width="10.13" customWidth="true" style="36"/>
    <col min="1013" max="1013" width="10.13" customWidth="true" style="36"/>
    <col min="1014" max="1014" width="10.13" customWidth="true" style="36"/>
    <col min="1015" max="1015" width="10.13" customWidth="true" style="36"/>
    <col min="1016" max="1016" width="10.13" customWidth="true" style="36"/>
    <col min="1017" max="1017" width="10.13" customWidth="true" style="36"/>
    <col min="1018" max="1018" width="10.13" customWidth="true" style="36"/>
    <col min="1019" max="1019" width="10.13" customWidth="true" style="36"/>
    <col min="1020" max="1020" width="10.13" customWidth="true" style="36"/>
    <col min="1021" max="1021" width="10.13" customWidth="true" style="36"/>
    <col min="1022" max="1022" width="10.13" customWidth="true" style="36"/>
    <col min="1023" max="1023" width="10.13" customWidth="true" style="36"/>
    <col min="1024" max="1024" width="10.13" customWidth="true" style="36"/>
  </cols>
  <sheetData>
    <row r="1" spans="1:1024" customHeight="1" ht="25.5">
      <c r="B1" s="38" t="s">
        <v>36</v>
      </c>
      <c r="D1" s="39" t="s">
        <v>37</v>
      </c>
      <c r="E1" s="40" t="str">
        <f>UPPER(TEXT(Débutexercicecomptable,"mmm"))</f>
        <v>0</v>
      </c>
      <c r="F1" s="40" t="str">
        <f>UPPER(TEXT(EOMONTH(Débutexercicecomptable,1),"mmm"))</f>
        <v>0</v>
      </c>
      <c r="G1" s="40" t="str">
        <f>UPPER(TEXT(EOMONTH(Débutexercicecomptable,2),"mmm"))</f>
        <v>0</v>
      </c>
      <c r="H1" s="40" t="str">
        <f>UPPER(TEXT(EOMONTH(Débutexercicecomptable,3),"mmm"))</f>
        <v>0</v>
      </c>
      <c r="I1" s="40" t="str">
        <f>UPPER(TEXT(EOMONTH(Débutexercicecomptable,4),"mmm"))</f>
        <v>0</v>
      </c>
      <c r="J1" s="40" t="str">
        <f>UPPER(TEXT(EOMONTH(Débutexercicecomptable,5),"mmm"))</f>
        <v>0</v>
      </c>
      <c r="K1" s="40" t="str">
        <f>UPPER(TEXT(EOMONTH(Débutexercicecomptable,6),"mmm"))</f>
        <v>0</v>
      </c>
      <c r="L1" s="40" t="str">
        <f>UPPER(TEXT(EOMONTH(Débutexercicecomptable,7),"mmm"))</f>
        <v>0</v>
      </c>
      <c r="M1" s="40" t="str">
        <f>UPPER(TEXT(EOMONTH(Débutexercicecomptable,8),"mmm"))</f>
        <v>0</v>
      </c>
      <c r="N1" s="40" t="str">
        <f>UPPER(TEXT(EOMONTH(Débutexercicecomptable,9),"mmm"))</f>
        <v>0</v>
      </c>
      <c r="O1" s="40" t="str">
        <f>UPPER(TEXT(EOMONTH(Débutexercicecomptable,10),"mmm"))</f>
        <v>0</v>
      </c>
      <c r="P1" s="40" t="str">
        <f>UPPER(TEXT(EOMONTH(Débutexercicecomptable,11),"mmm"))</f>
        <v>0</v>
      </c>
      <c r="Q1" s="41"/>
      <c r="R1" s="42" t="s">
        <v>38</v>
      </c>
      <c r="T1" s="43">
        <v>1667.11</v>
      </c>
    </row>
    <row r="2" spans="1:1024" customHeight="1" ht="12.75">
      <c r="B2" s="44">
        <v>44218</v>
      </c>
      <c r="D2" s="45" t="s">
        <v>39</v>
      </c>
      <c r="E2" s="45" t="str">
        <f>Débutexercicecomptable</f>
        <v>0</v>
      </c>
      <c r="F2" s="45" t="str">
        <f>EOMONTH(E2,0)+DAY(Débutexercicecomptable)</f>
        <v>0</v>
      </c>
      <c r="G2" s="45" t="str">
        <f>EOMONTH(F2,0)+DAY(Débutexercicecomptable)</f>
        <v>0</v>
      </c>
      <c r="H2" s="45" t="str">
        <f>EOMONTH(G2,0)+DAY(Débutexercicecomptable)</f>
        <v>0</v>
      </c>
      <c r="I2" s="45" t="str">
        <f>EOMONTH(H2,0)+DAY(Débutexercicecomptable)</f>
        <v>0</v>
      </c>
      <c r="J2" s="45" t="str">
        <f>EOMONTH(I2,0)+DAY(Débutexercicecomptable)</f>
        <v>0</v>
      </c>
      <c r="K2" s="45" t="str">
        <f>EOMONTH(J2,0)+DAY(Débutexercicecomptable)</f>
        <v>0</v>
      </c>
      <c r="L2" s="45" t="str">
        <f>EOMONTH(K2,0)+DAY(Débutexercicecomptable)</f>
        <v>0</v>
      </c>
      <c r="M2" s="45" t="str">
        <f>EOMONTH(L2,0)+DAY(Débutexercicecomptable)</f>
        <v>0</v>
      </c>
      <c r="N2" s="45" t="str">
        <f>EOMONTH(M2,0)+DAY(Débutexercicecomptable)</f>
        <v>0</v>
      </c>
      <c r="O2" s="45" t="str">
        <f>EOMONTH(N2,0)+DAY(Débutexercicecomptable)</f>
        <v>0</v>
      </c>
      <c r="P2" s="45" t="str">
        <f>EOMONTH(O2,0)+DAY(Débutexercicecomptable)</f>
        <v>0</v>
      </c>
      <c r="Q2" s="46"/>
      <c r="R2" s="47" t="s">
        <v>40</v>
      </c>
    </row>
    <row r="3" spans="1:1024" customHeight="1" ht="17.25">
      <c r="B3" s="44"/>
      <c r="D3" s="4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  <c r="R3" s="49"/>
    </row>
    <row r="4" spans="1:1024" customHeight="1" ht="17.25">
      <c r="B4" s="51" t="s">
        <v>41</v>
      </c>
      <c r="D4" s="52">
        <v>102548.87</v>
      </c>
      <c r="E4" s="52">
        <v>15560.61</v>
      </c>
      <c r="F4" s="52" t="str">
        <f>E214</f>
        <v>0</v>
      </c>
      <c r="G4" s="52" t="str">
        <f>F214</f>
        <v>0</v>
      </c>
      <c r="H4" s="52" t="str">
        <f>G214</f>
        <v>0</v>
      </c>
      <c r="I4" s="52" t="str">
        <f>H214</f>
        <v>0</v>
      </c>
      <c r="J4" s="52" t="str">
        <f>I214</f>
        <v>0</v>
      </c>
      <c r="K4" s="52" t="str">
        <f>J214</f>
        <v>0</v>
      </c>
      <c r="L4" s="52" t="str">
        <f>K214</f>
        <v>0</v>
      </c>
      <c r="M4" s="52" t="str">
        <f>L214</f>
        <v>0</v>
      </c>
      <c r="N4" s="52" t="str">
        <f>M214</f>
        <v>0</v>
      </c>
      <c r="O4" s="52" t="str">
        <f>N214</f>
        <v>0</v>
      </c>
      <c r="P4" s="52" t="str">
        <f>O214</f>
        <v>0</v>
      </c>
      <c r="Q4" s="53"/>
      <c r="R4" s="52" t="str">
        <f>P4</f>
        <v>0</v>
      </c>
      <c r="S4" s="54"/>
    </row>
    <row r="5" spans="1:1024" customHeight="1" ht="17.25">
      <c r="B5" s="51" t="s">
        <v>42</v>
      </c>
      <c r="D5" s="55" t="str">
        <f>SUM(D4:D4)</f>
        <v>0</v>
      </c>
      <c r="E5" s="55" t="str">
        <f>E4</f>
        <v>0</v>
      </c>
      <c r="F5" s="55" t="str">
        <f>E214</f>
        <v>0</v>
      </c>
      <c r="G5" s="55" t="str">
        <f>F214</f>
        <v>0</v>
      </c>
      <c r="H5" s="55" t="str">
        <f>G214</f>
        <v>0</v>
      </c>
      <c r="I5" s="55" t="str">
        <f>H214</f>
        <v>0</v>
      </c>
      <c r="J5" s="55" t="str">
        <f>I214</f>
        <v>0</v>
      </c>
      <c r="K5" s="55" t="str">
        <f>J214</f>
        <v>0</v>
      </c>
      <c r="L5" s="55" t="str">
        <f>K214</f>
        <v>0</v>
      </c>
      <c r="M5" s="55" t="str">
        <f>L214</f>
        <v>0</v>
      </c>
      <c r="N5" s="55" t="str">
        <f>M214</f>
        <v>0</v>
      </c>
      <c r="O5" s="55" t="str">
        <f>N214</f>
        <v>0</v>
      </c>
      <c r="P5" s="55" t="str">
        <f>O214</f>
        <v>0</v>
      </c>
      <c r="Q5" s="53"/>
      <c r="R5" s="52" t="str">
        <f>P5</f>
        <v>0</v>
      </c>
      <c r="S5" s="54"/>
    </row>
    <row r="6" spans="1:1024" customHeight="1" ht="11.25">
      <c r="B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  <c r="R6" s="57"/>
      <c r="S6" s="59"/>
    </row>
    <row r="7" spans="1:1024" customHeight="1" ht="17.25">
      <c r="B7" s="60" t="s">
        <v>43</v>
      </c>
      <c r="Q7" s="61"/>
    </row>
    <row r="8" spans="1:1024" customHeight="1" ht="9">
      <c r="M8" s="62"/>
    </row>
    <row r="9" spans="1:1024" customHeight="1" ht="17.25">
      <c r="B9" s="63" t="s">
        <v>44</v>
      </c>
      <c r="C9" s="61"/>
      <c r="D9" s="57"/>
      <c r="E9" s="57" t="str">
        <f>115000+80000+45000</f>
        <v>0</v>
      </c>
      <c r="F9" s="64" t="str">
        <f>100000+75000+85000</f>
        <v>0</v>
      </c>
      <c r="G9" s="64" t="str">
        <f>40000+110000+70000+60000+175000</f>
        <v>0</v>
      </c>
      <c r="H9" s="64" t="str">
        <f>20000+80000+164000</f>
        <v>0</v>
      </c>
      <c r="I9" s="64" t="str">
        <f>26000+10000+30000+75000</f>
        <v>0</v>
      </c>
      <c r="J9" s="64" t="str">
        <f>30000+30000+60000+30000+170000+46000</f>
        <v>0</v>
      </c>
      <c r="K9" s="64"/>
      <c r="L9" s="57"/>
      <c r="M9" s="64"/>
      <c r="N9" s="57"/>
      <c r="O9" s="57"/>
      <c r="P9" s="57"/>
      <c r="Q9" s="61"/>
      <c r="R9" s="36" t="str">
        <f>SUM(Encaissements52[[#This Row],[Période 0]:[Période 12]])</f>
        <v>0</v>
      </c>
    </row>
    <row r="10" spans="1:1024" customHeight="1" ht="17.25">
      <c r="B10" s="63" t="s">
        <v>45</v>
      </c>
      <c r="C10" s="61"/>
      <c r="D10" s="57"/>
      <c r="E10" s="57"/>
      <c r="F10" s="64"/>
      <c r="G10" s="57"/>
      <c r="H10" s="64"/>
      <c r="I10" s="64"/>
      <c r="J10" s="64"/>
      <c r="K10" s="64"/>
      <c r="L10" s="57"/>
      <c r="M10" s="57"/>
      <c r="N10" s="57"/>
      <c r="O10" s="57"/>
      <c r="P10" s="57"/>
      <c r="Q10" s="61"/>
      <c r="R10" s="36" t="str">
        <f>SUM(Encaissements52[[#This Row],[Période 0]:[Période 12]])</f>
        <v>0</v>
      </c>
    </row>
    <row r="11" spans="1:1024" customHeight="1" ht="17.25">
      <c r="B11" s="63" t="s">
        <v>46</v>
      </c>
      <c r="C11" s="65"/>
      <c r="D11" s="57"/>
      <c r="E11" s="57"/>
      <c r="F11" s="57" t="str">
        <f>108.9+116.43+155.24+388.1</f>
        <v>0</v>
      </c>
      <c r="G11" s="57">
        <v>43</v>
      </c>
      <c r="H11" s="57" t="str">
        <f>176.67+611.14+248+620+186+1226.46+61.3+186</f>
        <v>0</v>
      </c>
      <c r="I11" s="64" t="str">
        <f>4.16+68.92+579.73+80.37</f>
        <v>0</v>
      </c>
      <c r="J11" s="57" t="str">
        <f>13711.35+220.8+25.5+201.48+579.73+544.74+1739.99</f>
        <v>0</v>
      </c>
      <c r="K11" s="57"/>
      <c r="L11" s="57"/>
      <c r="M11" s="57"/>
      <c r="N11" s="57"/>
      <c r="O11" s="57"/>
      <c r="P11" s="57"/>
      <c r="Q11" s="61"/>
      <c r="R11" s="36" t="str">
        <f>SUM(Encaissements52[[#This Row],[Période 0]:[Période 12]])</f>
        <v>0</v>
      </c>
    </row>
    <row r="12" spans="1:1024" customHeight="1" ht="17.25">
      <c r="B12" s="66" t="s">
        <v>38</v>
      </c>
      <c r="C12" s="67"/>
      <c r="D12" s="68" t="str">
        <f>SUBTOTAL(109,Encaissements52[Période 0])</f>
        <v>0</v>
      </c>
      <c r="E12" s="68" t="str">
        <f>SUBTOTAL(109,Encaissements52[Période 1])</f>
        <v>0</v>
      </c>
      <c r="F12" s="68" t="str">
        <f>SUBTOTAL(109,Encaissements52[Période 2])</f>
        <v>0</v>
      </c>
      <c r="G12" s="68" t="str">
        <f>SUBTOTAL(109,Encaissements52[Période 3])</f>
        <v>0</v>
      </c>
      <c r="H12" s="68" t="str">
        <f>SUBTOTAL(109,Encaissements52[Période 4])</f>
        <v>0</v>
      </c>
      <c r="I12" s="68" t="str">
        <f>SUBTOTAL(109,Encaissements52[Période 5])</f>
        <v>0</v>
      </c>
      <c r="J12" s="68" t="str">
        <f>SUBTOTAL(109,Encaissements52[Période 6])</f>
        <v>0</v>
      </c>
      <c r="K12" s="68" t="str">
        <f>SUBTOTAL(109,Encaissements52[Période 7])</f>
        <v>0</v>
      </c>
      <c r="L12" s="68" t="str">
        <f>SUBTOTAL(109,Encaissements52[Période 8])</f>
        <v>0</v>
      </c>
      <c r="M12" s="68"/>
      <c r="N12" s="68" t="str">
        <f>SUBTOTAL(109,Encaissements52[Période 10])</f>
        <v>0</v>
      </c>
      <c r="O12" s="68" t="str">
        <f>SUBTOTAL(109,Encaissements52[Période 11])</f>
        <v>0</v>
      </c>
      <c r="P12" s="68" t="str">
        <f>SUBTOTAL(109,Encaissements52[Période 12])</f>
        <v>0</v>
      </c>
      <c r="Q12" s="69"/>
      <c r="R12" s="68" t="str">
        <f>SUBTOTAL(109,Encaissements52[Total])</f>
        <v>0</v>
      </c>
      <c r="S12" s="68"/>
      <c r="T12" s="68"/>
    </row>
    <row r="13" spans="1:1024" customHeight="1" ht="17.25">
      <c r="B13" s="70" t="s">
        <v>47</v>
      </c>
      <c r="C13" s="71"/>
      <c r="D13" s="72" t="str">
        <f>D5+SUM(Encaissements52[Période 0])</f>
        <v>0</v>
      </c>
      <c r="E13" s="72" t="str">
        <f>E5+SUM(Encaissements52[Période 1])</f>
        <v>0</v>
      </c>
      <c r="F13" s="72" t="str">
        <f>F4+SUM(Encaissements52[Période 2])</f>
        <v>0</v>
      </c>
      <c r="G13" s="72" t="str">
        <f>G4+SUM(Encaissements52[Période 3])</f>
        <v>0</v>
      </c>
      <c r="H13" s="72" t="str">
        <f>H4+SUM(Encaissements52[Période 4])</f>
        <v>0</v>
      </c>
      <c r="I13" s="72" t="str">
        <f>I4+Encaissements52[[#Totals],[Période 5]]</f>
        <v>0</v>
      </c>
      <c r="J13" s="72" t="str">
        <f>J4+SUM(Encaissements52[Période 6])</f>
        <v>0</v>
      </c>
      <c r="K13" s="72" t="str">
        <f>K4+SUM(Encaissements52[Période 7])</f>
        <v>0</v>
      </c>
      <c r="L13" s="72" t="str">
        <f>L4+SUM(Encaissements52[Période 8])</f>
        <v>0</v>
      </c>
      <c r="M13" s="72" t="str">
        <f>M4+SUM(Encaissements52[Période 9])</f>
        <v>0</v>
      </c>
      <c r="N13" s="72" t="str">
        <f>N4+SUM(Encaissements52[Période 10])</f>
        <v>0</v>
      </c>
      <c r="O13" s="72" t="str">
        <f>O4+SUM(Encaissements52[Période 11])</f>
        <v>0</v>
      </c>
      <c r="P13" s="72" t="str">
        <f>P4+SUM(Encaissements52[Période 12])</f>
        <v>0</v>
      </c>
      <c r="Q13" s="73"/>
      <c r="R13" s="74" t="str">
        <f>R4+SUM(Encaissements52[Total])</f>
        <v>0</v>
      </c>
      <c r="S13" s="75"/>
    </row>
    <row r="14" spans="1:1024" customHeight="1" ht="8.25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</row>
    <row r="15" spans="1:1024" customHeight="1" ht="17.25">
      <c r="B15" s="77" t="s">
        <v>48</v>
      </c>
      <c r="C15" s="61"/>
      <c r="Q15" s="61"/>
    </row>
    <row r="16" spans="1:1024" customHeight="1" ht="6.75"/>
    <row r="17" spans="1:1024" customHeight="1" ht="17.25">
      <c r="B17" s="78" t="s">
        <v>49</v>
      </c>
      <c r="C17" s="61"/>
      <c r="D17" s="57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  <c r="R17" s="36" t="str">
        <f>SUM(Décaissements63[[#This Row],[Période 0]:[Période 12]])</f>
        <v>0</v>
      </c>
      <c r="S17" s="36" t="str">
        <f>+AVERAGE(Décaissements63[[#This Row],[Période 1]:[Période 12]])</f>
        <v>0</v>
      </c>
    </row>
    <row r="18" spans="1:1024" customHeight="1" ht="17.25">
      <c r="B18" s="81" t="s">
        <v>50</v>
      </c>
      <c r="C18" s="82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4"/>
      <c r="R18" s="85" t="str">
        <f>SUM(Décaissements63[[#This Row],[Période 0]:[Période 12]])</f>
        <v>0</v>
      </c>
      <c r="S18" s="36" t="str">
        <f>+AVERAGE(Décaissements63[[#This Row],[Période 1]:[Période 12]])</f>
        <v>0</v>
      </c>
    </row>
    <row r="19" spans="1:1024" customHeight="1" ht="17.25">
      <c r="B19" s="86" t="s">
        <v>51</v>
      </c>
      <c r="C19" s="82"/>
      <c r="D19" s="87"/>
      <c r="E19" s="64">
        <v>5283.09</v>
      </c>
      <c r="F19" s="64">
        <v>5283.09</v>
      </c>
      <c r="G19" s="64">
        <v>5283.09</v>
      </c>
      <c r="H19" s="64">
        <v>5283.09</v>
      </c>
      <c r="I19" s="64">
        <v>5283.09</v>
      </c>
      <c r="J19" s="88">
        <v>5283.09</v>
      </c>
      <c r="K19" s="88"/>
      <c r="L19" s="87"/>
      <c r="M19" s="64"/>
      <c r="N19" s="87"/>
      <c r="O19" s="87"/>
      <c r="P19" s="87"/>
      <c r="Q19" s="84"/>
      <c r="R19" s="85" t="str">
        <f>SUM(Décaissements63[[#This Row],[Période 0]:[Période 12]])</f>
        <v>0</v>
      </c>
      <c r="S19" s="36" t="str">
        <f>+AVERAGE(Décaissements63[[#This Row],[Période 1]:[Période 12]])</f>
        <v>0</v>
      </c>
    </row>
    <row r="20" spans="1:1024" customHeight="1" ht="17.25">
      <c r="B20" s="89" t="s">
        <v>52</v>
      </c>
      <c r="C20" s="90"/>
      <c r="D20" s="88"/>
      <c r="E20" s="64"/>
      <c r="F20" s="64"/>
      <c r="G20" s="64" t="str">
        <f>120.9+6</f>
        <v>0</v>
      </c>
      <c r="H20" s="91" t="str">
        <f>186+93.8</f>
        <v>0</v>
      </c>
      <c r="I20" s="92"/>
      <c r="J20" s="92"/>
      <c r="K20" s="92"/>
      <c r="L20" s="92"/>
      <c r="M20" s="92"/>
      <c r="N20" s="92"/>
      <c r="O20" s="92"/>
      <c r="P20" s="92"/>
      <c r="Q20" s="93"/>
      <c r="R20" s="62" t="str">
        <f>SUM(Décaissements63[[#This Row],[Période 0]:[Période 12]])</f>
        <v>0</v>
      </c>
      <c r="S20" s="94" t="str">
        <f>+AVERAGE(Décaissements63[[#This Row],[Période 1]:[Période 12]])</f>
        <v>0</v>
      </c>
    </row>
    <row r="21" spans="1:1024" customHeight="1" ht="17.25">
      <c r="B21" s="86" t="s">
        <v>53</v>
      </c>
      <c r="C21" s="82"/>
      <c r="D21" s="87"/>
      <c r="E21" s="64">
        <v>1128</v>
      </c>
      <c r="F21" s="64">
        <v>1236</v>
      </c>
      <c r="G21" s="64">
        <v>1164</v>
      </c>
      <c r="H21" s="64">
        <v>1188</v>
      </c>
      <c r="I21" s="64">
        <v>1260</v>
      </c>
      <c r="J21" s="88">
        <v>1224</v>
      </c>
      <c r="K21" s="88"/>
      <c r="L21" s="87"/>
      <c r="M21" s="64"/>
      <c r="N21" s="87"/>
      <c r="O21" s="87"/>
      <c r="P21" s="87"/>
      <c r="Q21" s="82"/>
      <c r="R21" s="85" t="str">
        <f>SUM(Décaissements63[[#This Row],[Période 0]:[Période 12]])</f>
        <v>0</v>
      </c>
      <c r="S21" s="36" t="str">
        <f>+AVERAGE(Décaissements63[[#This Row],[Période 1]:[Période 12]])</f>
        <v>0</v>
      </c>
    </row>
    <row r="22" spans="1:1024" customHeight="1" ht="17.25">
      <c r="B22" s="81" t="s">
        <v>54</v>
      </c>
      <c r="C22" s="82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4"/>
      <c r="R22" s="85" t="str">
        <f>SUM(Décaissements63[[#This Row],[Période 0]:[Période 12]])</f>
        <v>0</v>
      </c>
      <c r="S22" s="36" t="str">
        <f>+AVERAGE(Décaissements63[[#This Row],[Période 1]:[Période 12]])</f>
        <v>0</v>
      </c>
    </row>
    <row r="23" spans="1:1024" customHeight="1" ht="17.25">
      <c r="B23" s="86" t="s">
        <v>55</v>
      </c>
      <c r="C23" s="82"/>
      <c r="D23" s="87"/>
      <c r="E23" s="64"/>
      <c r="F23" s="64">
        <v>940</v>
      </c>
      <c r="G23" s="64">
        <v>940</v>
      </c>
      <c r="H23" s="64"/>
      <c r="I23" s="64"/>
      <c r="J23" s="64"/>
      <c r="K23" s="64"/>
      <c r="L23" s="64"/>
      <c r="M23" s="64"/>
      <c r="N23" s="87"/>
      <c r="O23" s="87"/>
      <c r="P23" s="87"/>
      <c r="Q23" s="82"/>
      <c r="R23" s="85" t="str">
        <f>SUM(Décaissements63[[#This Row],[Période 0]:[Période 12]])</f>
        <v>0</v>
      </c>
      <c r="S23" s="36" t="str">
        <f>+AVERAGE(Décaissements63[[#This Row],[Période 1]:[Période 12]])</f>
        <v>0</v>
      </c>
    </row>
    <row r="24" spans="1:1024" customHeight="1" ht="17.25">
      <c r="B24" s="86" t="s">
        <v>56</v>
      </c>
      <c r="C24" s="82"/>
      <c r="D24" s="87"/>
      <c r="E24" s="64">
        <v>590</v>
      </c>
      <c r="F24" s="95">
        <v>590</v>
      </c>
      <c r="G24" s="64">
        <v>590</v>
      </c>
      <c r="H24" s="64">
        <v>590</v>
      </c>
      <c r="I24" s="64"/>
      <c r="J24" s="64"/>
      <c r="K24" s="64"/>
      <c r="L24" s="64"/>
      <c r="M24" s="64"/>
      <c r="N24" s="87"/>
      <c r="O24" s="87"/>
      <c r="P24" s="87"/>
      <c r="Q24" s="82"/>
      <c r="R24" s="85" t="str">
        <f>SUM(Décaissements63[[#This Row],[Période 0]:[Période 12]])</f>
        <v>0</v>
      </c>
      <c r="S24" s="36" t="str">
        <f>+AVERAGE(Décaissements63[[#This Row],[Période 1]:[Période 12]])</f>
        <v>0</v>
      </c>
    </row>
    <row r="25" spans="1:1024" customHeight="1" ht="17.25">
      <c r="B25" s="86" t="s">
        <v>57</v>
      </c>
      <c r="C25" s="90"/>
      <c r="D25" s="88"/>
      <c r="E25" s="88"/>
      <c r="F25" s="88"/>
      <c r="G25" s="88"/>
      <c r="H25" s="88"/>
      <c r="I25" s="64"/>
      <c r="J25" s="64"/>
      <c r="K25" s="64"/>
      <c r="L25" s="64"/>
      <c r="M25" s="64"/>
      <c r="N25" s="88"/>
      <c r="O25" s="88"/>
      <c r="P25" s="88"/>
      <c r="Q25" s="93"/>
      <c r="R25" s="62" t="str">
        <f>SUM(Décaissements63[[#This Row],[Période 0]:[Période 12]])</f>
        <v>0</v>
      </c>
      <c r="S25" s="36" t="str">
        <f>+AVERAGE(Décaissements63[[#This Row],[Période 1]:[Période 12]])</f>
        <v>0</v>
      </c>
    </row>
    <row r="26" spans="1:1024" customHeight="1" ht="17.25">
      <c r="B26" s="89" t="s">
        <v>58</v>
      </c>
      <c r="C26" s="90"/>
      <c r="D26" s="88"/>
      <c r="E26" s="64"/>
      <c r="F26" s="64"/>
      <c r="G26" s="64"/>
      <c r="H26" s="91"/>
      <c r="I26" s="92"/>
      <c r="J26" s="92"/>
      <c r="K26" s="92"/>
      <c r="L26" s="92"/>
      <c r="M26" s="92"/>
      <c r="N26" s="92"/>
      <c r="O26" s="92"/>
      <c r="P26" s="92"/>
      <c r="Q26" s="93"/>
      <c r="R26" s="62" t="str">
        <f>SUM(Décaissements63[[#This Row],[Période 0]:[Période 12]])</f>
        <v>0</v>
      </c>
      <c r="S26" s="36" t="str">
        <f>+AVERAGE(Décaissements63[[#This Row],[Période 1]:[Période 12]])</f>
        <v>0</v>
      </c>
    </row>
    <row r="27" spans="1:1024" customHeight="1" ht="17.25">
      <c r="B27" s="86" t="s">
        <v>59</v>
      </c>
      <c r="C27" s="90"/>
      <c r="D27" s="88"/>
      <c r="E27" s="64">
        <v>600</v>
      </c>
      <c r="F27" s="64">
        <v>600</v>
      </c>
      <c r="G27" s="64">
        <v>600</v>
      </c>
      <c r="H27" s="91" t="str">
        <f>1200+600</f>
        <v>0</v>
      </c>
      <c r="I27" s="64"/>
      <c r="J27" s="64"/>
      <c r="K27" s="64"/>
      <c r="L27" s="64"/>
      <c r="M27" s="64"/>
      <c r="N27" s="92"/>
      <c r="O27" s="92"/>
      <c r="P27" s="92"/>
      <c r="Q27" s="93"/>
      <c r="R27" s="62" t="str">
        <f>SUM(Décaissements63[[#This Row],[Période 0]:[Période 12]])</f>
        <v>0</v>
      </c>
      <c r="S27" s="36" t="str">
        <f>+AVERAGE(Décaissements63[[#This Row],[Période 1]:[Période 12]])</f>
        <v>0</v>
      </c>
    </row>
    <row r="28" spans="1:1024" customHeight="1" ht="17.25">
      <c r="B28" s="86" t="s">
        <v>60</v>
      </c>
      <c r="C28" s="82"/>
      <c r="D28" s="87"/>
      <c r="E28" s="64">
        <v>500</v>
      </c>
      <c r="F28" s="64">
        <v>500</v>
      </c>
      <c r="G28" s="64">
        <v>500</v>
      </c>
      <c r="H28" s="64">
        <v>500</v>
      </c>
      <c r="I28" s="64">
        <v>500</v>
      </c>
      <c r="J28" s="64">
        <v>500</v>
      </c>
      <c r="K28" s="64"/>
      <c r="L28" s="64"/>
      <c r="M28" s="64"/>
      <c r="N28" s="87"/>
      <c r="O28" s="87"/>
      <c r="P28" s="87"/>
      <c r="Q28" s="82"/>
      <c r="R28" s="85" t="str">
        <f>SUM(Décaissements63[[#This Row],[Période 0]:[Période 12]])</f>
        <v>0</v>
      </c>
      <c r="S28" s="36" t="str">
        <f>+AVERAGE(Décaissements63[[#This Row],[Période 1]:[Période 12]])</f>
        <v>0</v>
      </c>
    </row>
    <row r="29" spans="1:1024" customHeight="1" ht="17.25">
      <c r="B29" s="86" t="s">
        <v>61</v>
      </c>
      <c r="C29" s="82"/>
      <c r="D29" s="87"/>
      <c r="E29" s="64">
        <v>1100</v>
      </c>
      <c r="F29" s="64"/>
      <c r="G29" s="64">
        <v>2200</v>
      </c>
      <c r="H29" s="64">
        <v>2200</v>
      </c>
      <c r="I29" s="64"/>
      <c r="J29" s="64">
        <v>1100</v>
      </c>
      <c r="K29" s="64"/>
      <c r="L29" s="64"/>
      <c r="M29" s="64"/>
      <c r="N29" s="87"/>
      <c r="O29" s="87"/>
      <c r="P29" s="87"/>
      <c r="Q29" s="82"/>
      <c r="R29" s="85" t="str">
        <f>SUM(Décaissements63[[#This Row],[Période 0]:[Période 12]])</f>
        <v>0</v>
      </c>
      <c r="S29" s="36" t="str">
        <f>+AVERAGE(Décaissements63[[#This Row],[Période 1]:[Période 12]])</f>
        <v>0</v>
      </c>
    </row>
    <row r="30" spans="1:1024" customHeight="1" ht="17.25">
      <c r="B30" s="86" t="s">
        <v>62</v>
      </c>
      <c r="C30" s="90"/>
      <c r="D30" s="88"/>
      <c r="E30" s="64">
        <v>29.45</v>
      </c>
      <c r="F30" s="64"/>
      <c r="G30" s="64" t="str">
        <f>304.78+1059.3</f>
        <v>0</v>
      </c>
      <c r="H30" s="91">
        <v>77.3</v>
      </c>
      <c r="I30" s="64"/>
      <c r="J30" s="92">
        <v>1059.3</v>
      </c>
      <c r="K30" s="64"/>
      <c r="L30" s="64"/>
      <c r="M30" s="64"/>
      <c r="N30" s="92"/>
      <c r="O30" s="92"/>
      <c r="P30" s="92"/>
      <c r="Q30" s="93"/>
      <c r="R30" s="62" t="str">
        <f>SUM(Décaissements63[[#This Row],[Période 0]:[Période 12]])</f>
        <v>0</v>
      </c>
      <c r="S30" s="36" t="str">
        <f>+AVERAGE(Décaissements63[[#This Row],[Période 1]:[Période 12]])</f>
        <v>0</v>
      </c>
    </row>
    <row r="31" spans="1:1024" customHeight="1" ht="17.25">
      <c r="B31" s="86" t="s">
        <v>63</v>
      </c>
      <c r="C31" s="90"/>
      <c r="D31" s="88"/>
      <c r="E31" s="64" t="str">
        <f>162.4+762+822+193.2</f>
        <v>0</v>
      </c>
      <c r="F31" s="64">
        <v>762</v>
      </c>
      <c r="G31" s="64" t="str">
        <f>768.98</f>
        <v>0</v>
      </c>
      <c r="H31" s="91">
        <v>891.47</v>
      </c>
      <c r="I31" s="92">
        <v>891.47</v>
      </c>
      <c r="J31" s="92">
        <v>891.47</v>
      </c>
      <c r="K31" s="92"/>
      <c r="L31" s="92"/>
      <c r="M31" s="92"/>
      <c r="N31" s="92"/>
      <c r="O31" s="92"/>
      <c r="P31" s="92"/>
      <c r="Q31" s="93"/>
      <c r="R31" s="62" t="str">
        <f>SUM(Décaissements63[[#This Row],[Période 0]:[Période 12]])</f>
        <v>0</v>
      </c>
      <c r="S31" s="94" t="str">
        <f>+AVERAGE(Décaissements63[[#This Row],[Période 1]:[Période 12]])</f>
        <v>0</v>
      </c>
    </row>
    <row r="32" spans="1:1024" customHeight="1" ht="17.25">
      <c r="B32" s="86" t="s">
        <v>64</v>
      </c>
      <c r="C32" s="90"/>
      <c r="D32" s="88"/>
      <c r="E32" s="88">
        <v>1226.46</v>
      </c>
      <c r="F32" s="88"/>
      <c r="G32" s="88"/>
      <c r="H32" s="88" t="str">
        <f>1226.46</f>
        <v>0</v>
      </c>
      <c r="I32" s="64"/>
      <c r="J32" s="88"/>
      <c r="K32" s="88"/>
      <c r="L32" s="88"/>
      <c r="M32" s="88"/>
      <c r="N32" s="88"/>
      <c r="O32" s="88"/>
      <c r="P32" s="88"/>
      <c r="Q32" s="93"/>
      <c r="R32" s="62" t="str">
        <f>SUM(Décaissements63[[#This Row],[Période 0]:[Période 12]])</f>
        <v>0</v>
      </c>
      <c r="S32" s="36" t="str">
        <f>+AVERAGE(Décaissements63[[#This Row],[Période 1]:[Période 12]])</f>
        <v>0</v>
      </c>
    </row>
    <row r="33" spans="1:1024" customHeight="1" ht="17.25">
      <c r="B33" s="86" t="s">
        <v>65</v>
      </c>
      <c r="C33" s="90"/>
      <c r="D33" s="88"/>
      <c r="E33" s="64">
        <v>2100</v>
      </c>
      <c r="F33" s="64">
        <v>2100</v>
      </c>
      <c r="G33" s="64">
        <v>2100</v>
      </c>
      <c r="H33" s="91">
        <v>2100</v>
      </c>
      <c r="I33" s="92">
        <v>2100</v>
      </c>
      <c r="J33" s="92" t="str">
        <f>3000+2100</f>
        <v>0</v>
      </c>
      <c r="K33" s="92"/>
      <c r="L33" s="92"/>
      <c r="M33" s="92"/>
      <c r="N33" s="92"/>
      <c r="O33" s="92"/>
      <c r="P33" s="92"/>
      <c r="Q33" s="93"/>
      <c r="R33" s="62" t="str">
        <f>SUM(Décaissements63[[#This Row],[Période 0]:[Période 12]])</f>
        <v>0</v>
      </c>
      <c r="S33" s="36" t="str">
        <f>+AVERAGE(Décaissements63[[#This Row],[Période 1]:[Période 12]])</f>
        <v>0</v>
      </c>
    </row>
    <row r="34" spans="1:1024" customHeight="1" ht="17.25">
      <c r="B34" s="81" t="s">
        <v>66</v>
      </c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2"/>
      <c r="R34" s="85" t="str">
        <f>SUM(Décaissements63[[#This Row],[Période 0]:[Période 12]])</f>
        <v>0</v>
      </c>
      <c r="S34" s="36" t="str">
        <f>+AVERAGE(Décaissements63[[#This Row],[Période 1]:[Période 12]])</f>
        <v>0</v>
      </c>
    </row>
    <row r="35" spans="1:1024" customHeight="1" ht="17.25">
      <c r="B35" s="86" t="s">
        <v>67</v>
      </c>
      <c r="C35" s="82"/>
      <c r="D35" s="87"/>
      <c r="E35" s="64">
        <v>3203.09</v>
      </c>
      <c r="F35" s="64">
        <v>3203.09</v>
      </c>
      <c r="G35" s="64">
        <v>3203.09</v>
      </c>
      <c r="H35" s="64">
        <v>3203.09</v>
      </c>
      <c r="I35" s="64">
        <v>3203.09</v>
      </c>
      <c r="J35" s="64">
        <v>3203.09</v>
      </c>
      <c r="K35" s="64"/>
      <c r="L35" s="64"/>
      <c r="M35" s="64"/>
      <c r="N35" s="96"/>
      <c r="O35" s="87"/>
      <c r="P35" s="87"/>
      <c r="Q35" s="82"/>
      <c r="R35" s="85" t="str">
        <f>SUM(Décaissements63[[#This Row],[Période 0]:[Période 12]])</f>
        <v>0</v>
      </c>
      <c r="S35" s="36" t="str">
        <f>+AVERAGE(Décaissements63[[#This Row],[Période 1]:[Période 12]])</f>
        <v>0</v>
      </c>
    </row>
    <row r="36" spans="1:1024" customHeight="1" ht="17.25">
      <c r="B36" s="86" t="s">
        <v>68</v>
      </c>
      <c r="C36" s="82"/>
      <c r="D36" s="87"/>
      <c r="E36" s="64">
        <v>99.97</v>
      </c>
      <c r="F36" s="64">
        <v>99.97</v>
      </c>
      <c r="G36" s="64">
        <v>99.97</v>
      </c>
      <c r="H36" s="64">
        <v>99.97</v>
      </c>
      <c r="I36" s="64">
        <v>99.97</v>
      </c>
      <c r="J36" s="64">
        <v>99.97</v>
      </c>
      <c r="K36" s="64"/>
      <c r="L36" s="64"/>
      <c r="M36" s="64"/>
      <c r="N36" s="64"/>
      <c r="O36" s="64"/>
      <c r="P36" s="64"/>
      <c r="Q36" s="97"/>
      <c r="R36" s="85" t="str">
        <f>SUM(Décaissements63[[#This Row],[Période 0]:[Période 12]])</f>
        <v>0</v>
      </c>
      <c r="S36" s="36" t="str">
        <f>+AVERAGE(Décaissements63[[#This Row],[Période 1]:[Période 12]])</f>
        <v>0</v>
      </c>
    </row>
    <row r="37" spans="1:1024" customHeight="1" ht="17.25">
      <c r="B37" s="86" t="s">
        <v>69</v>
      </c>
      <c r="C37" s="82"/>
      <c r="D37" s="87"/>
      <c r="E37" s="64">
        <v>104.12</v>
      </c>
      <c r="F37" s="64">
        <v>104.12</v>
      </c>
      <c r="G37" s="64">
        <v>104.12</v>
      </c>
      <c r="H37" s="64">
        <v>104.12</v>
      </c>
      <c r="I37" s="64">
        <v>104.12</v>
      </c>
      <c r="J37" s="64">
        <v>90.74</v>
      </c>
      <c r="K37" s="64"/>
      <c r="L37" s="64"/>
      <c r="M37" s="64"/>
      <c r="N37" s="64"/>
      <c r="O37" s="64"/>
      <c r="P37" s="64"/>
      <c r="Q37" s="84"/>
      <c r="R37" s="85" t="str">
        <f>SUM(Décaissements63[[#This Row],[Période 0]:[Période 12]])</f>
        <v>0</v>
      </c>
      <c r="S37" s="36" t="str">
        <f>+AVERAGE(Décaissements63[[#This Row],[Période 1]:[Période 12]])</f>
        <v>0</v>
      </c>
    </row>
    <row r="38" spans="1:1024" customHeight="1" ht="17.25">
      <c r="B38" s="86" t="s">
        <v>70</v>
      </c>
      <c r="C38" s="82"/>
      <c r="D38" s="87"/>
      <c r="E38" s="64">
        <v>89.4</v>
      </c>
      <c r="F38" s="64">
        <v>89.4</v>
      </c>
      <c r="G38" s="64">
        <v>89.4</v>
      </c>
      <c r="H38" s="64">
        <v>89.4</v>
      </c>
      <c r="I38" s="64">
        <v>89.4</v>
      </c>
      <c r="J38" s="64">
        <v>102.36</v>
      </c>
      <c r="K38" s="64"/>
      <c r="L38" s="64"/>
      <c r="M38" s="64"/>
      <c r="N38" s="98"/>
      <c r="O38" s="64"/>
      <c r="P38" s="64"/>
      <c r="Q38" s="84"/>
      <c r="R38" s="85" t="str">
        <f>SUM(Décaissements63[[#This Row],[Période 0]:[Période 12]])</f>
        <v>0</v>
      </c>
      <c r="S38" s="36" t="str">
        <f>+AVERAGE(Décaissements63[[#This Row],[Période 1]:[Période 12]])</f>
        <v>0</v>
      </c>
    </row>
    <row r="39" spans="1:1024" customHeight="1" ht="17.25">
      <c r="B39" s="86" t="s">
        <v>71</v>
      </c>
      <c r="C39" s="82"/>
      <c r="D39" s="87"/>
      <c r="E39" s="64">
        <v>100.82</v>
      </c>
      <c r="F39" s="64">
        <v>100.82</v>
      </c>
      <c r="G39" s="64">
        <v>100.82</v>
      </c>
      <c r="H39" s="64">
        <v>100.82</v>
      </c>
      <c r="I39" s="88">
        <v>100.82</v>
      </c>
      <c r="J39" s="64">
        <v>85.99</v>
      </c>
      <c r="K39" s="64"/>
      <c r="L39" s="64"/>
      <c r="M39" s="64"/>
      <c r="N39" s="64"/>
      <c r="O39" s="64"/>
      <c r="P39" s="64"/>
      <c r="Q39" s="84"/>
      <c r="R39" s="85" t="str">
        <f>SUM(Décaissements63[[#This Row],[Période 0]:[Période 12]])</f>
        <v>0</v>
      </c>
      <c r="S39" s="36" t="str">
        <f>+AVERAGE(Décaissements63[[#This Row],[Période 1]:[Période 12]])</f>
        <v>0</v>
      </c>
    </row>
    <row r="40" spans="1:1024" customHeight="1" ht="17.25">
      <c r="B40" s="86" t="s">
        <v>72</v>
      </c>
      <c r="C40" s="82"/>
      <c r="D40" s="87"/>
      <c r="E40" s="64">
        <v>71.32</v>
      </c>
      <c r="F40" s="64">
        <v>71.32</v>
      </c>
      <c r="G40" s="64">
        <v>71.32</v>
      </c>
      <c r="H40" s="64">
        <v>71.32</v>
      </c>
      <c r="I40" s="88">
        <v>71.32</v>
      </c>
      <c r="J40" s="64">
        <v>71.32</v>
      </c>
      <c r="K40" s="64"/>
      <c r="L40" s="64"/>
      <c r="M40" s="64"/>
      <c r="N40" s="64"/>
      <c r="O40" s="64"/>
      <c r="P40" s="64"/>
      <c r="Q40" s="84"/>
      <c r="R40" s="85" t="str">
        <f>SUM(Décaissements63[[#This Row],[Période 0]:[Période 12]])</f>
        <v>0</v>
      </c>
      <c r="S40" s="36" t="str">
        <f>+AVERAGE(Décaissements63[[#This Row],[Période 1]:[Période 12]])</f>
        <v>0</v>
      </c>
    </row>
    <row r="41" spans="1:1024" customHeight="1" ht="17.25">
      <c r="B41" s="86" t="s">
        <v>73</v>
      </c>
      <c r="C41" s="90"/>
      <c r="D41" s="88"/>
      <c r="E41" s="88">
        <v>127.11</v>
      </c>
      <c r="F41" s="88">
        <v>127.11</v>
      </c>
      <c r="G41" s="64">
        <v>127.11</v>
      </c>
      <c r="H41" s="64">
        <v>127.11</v>
      </c>
      <c r="I41" s="64">
        <v>127.11</v>
      </c>
      <c r="J41" s="64">
        <v>127.11</v>
      </c>
      <c r="K41" s="64"/>
      <c r="L41" s="64"/>
      <c r="M41" s="64"/>
      <c r="N41" s="96"/>
      <c r="O41" s="87"/>
      <c r="P41" s="87"/>
      <c r="Q41" s="93"/>
      <c r="R41" s="62" t="str">
        <f>SUM(Décaissements63[[#This Row],[Période 0]:[Période 12]])</f>
        <v>0</v>
      </c>
      <c r="S41" s="36" t="str">
        <f>+AVERAGE(Décaissements63[[#This Row],[Période 1]:[Période 12]])</f>
        <v>0</v>
      </c>
    </row>
    <row r="42" spans="1:1024" customHeight="1" ht="17.25">
      <c r="B42" s="86" t="s">
        <v>74</v>
      </c>
      <c r="C42" s="90"/>
      <c r="D42" s="88"/>
      <c r="E42" s="64">
        <v>50.31</v>
      </c>
      <c r="F42" s="64">
        <v>118.69</v>
      </c>
      <c r="G42" s="64">
        <v>93.87</v>
      </c>
      <c r="H42" s="64">
        <v>93.87</v>
      </c>
      <c r="I42" s="64">
        <v>93.87</v>
      </c>
      <c r="J42" s="64">
        <v>93.87</v>
      </c>
      <c r="K42" s="64"/>
      <c r="L42" s="64"/>
      <c r="M42" s="64"/>
      <c r="N42" s="96"/>
      <c r="O42" s="87"/>
      <c r="P42" s="87"/>
      <c r="Q42" s="93"/>
      <c r="R42" s="62" t="str">
        <f>SUM(Décaissements63[[#This Row],[Période 0]:[Période 12]])</f>
        <v>0</v>
      </c>
      <c r="S42" s="36" t="str">
        <f>+AVERAGE(Décaissements63[[#This Row],[Période 1]:[Période 12]])</f>
        <v>0</v>
      </c>
    </row>
    <row r="43" spans="1:1024" customHeight="1" ht="17.25">
      <c r="B43" s="86" t="s">
        <v>75</v>
      </c>
      <c r="C43" s="82"/>
      <c r="D43" s="87"/>
      <c r="E43" s="64">
        <v>15.24</v>
      </c>
      <c r="F43" s="64">
        <v>15.24</v>
      </c>
      <c r="G43" s="64">
        <v>15.24</v>
      </c>
      <c r="H43" s="64">
        <v>15.24</v>
      </c>
      <c r="I43" s="64">
        <v>15.24</v>
      </c>
      <c r="J43" s="64">
        <v>15.24</v>
      </c>
      <c r="K43" s="64"/>
      <c r="L43" s="64"/>
      <c r="M43" s="64"/>
      <c r="N43" s="64"/>
      <c r="O43" s="64"/>
      <c r="P43" s="64"/>
      <c r="Q43" s="97"/>
      <c r="R43" s="85" t="str">
        <f>SUM(Décaissements63[[#This Row],[Période 0]:[Période 12]])</f>
        <v>0</v>
      </c>
      <c r="S43" s="36" t="str">
        <f>+AVERAGE(Décaissements63[[#This Row],[Période 1]:[Période 12]])</f>
        <v>0</v>
      </c>
    </row>
    <row r="44" spans="1:1024" customHeight="1" ht="17.25">
      <c r="B44" s="86" t="s">
        <v>76</v>
      </c>
      <c r="C44" s="82"/>
      <c r="D44" s="87"/>
      <c r="E44" s="64">
        <v>16.99</v>
      </c>
      <c r="F44" s="64">
        <v>16.99</v>
      </c>
      <c r="G44" s="64">
        <v>16.99</v>
      </c>
      <c r="H44" s="64">
        <v>16.99</v>
      </c>
      <c r="I44" s="64">
        <v>16.99</v>
      </c>
      <c r="J44" s="64">
        <v>16.99</v>
      </c>
      <c r="K44" s="64"/>
      <c r="L44" s="64"/>
      <c r="M44" s="64"/>
      <c r="N44" s="64"/>
      <c r="O44" s="99"/>
      <c r="P44" s="99"/>
      <c r="Q44" s="87"/>
      <c r="R44" s="85" t="str">
        <f>SUM(Décaissements63[[#This Row],[Période 0]:[Période 12]])</f>
        <v>0</v>
      </c>
      <c r="S44" s="87" t="str">
        <f>+AVERAGE(Décaissements63[[#This Row],[Période 1]:[Période 12]])</f>
        <v>0</v>
      </c>
    </row>
    <row r="45" spans="1:1024" customHeight="1" ht="17.25">
      <c r="B45" s="86" t="s">
        <v>77</v>
      </c>
      <c r="C45" s="82"/>
      <c r="D45" s="87"/>
      <c r="E45" s="64"/>
      <c r="F45" s="64"/>
      <c r="G45" s="57"/>
      <c r="H45" s="87"/>
      <c r="I45" s="64"/>
      <c r="J45" s="64"/>
      <c r="K45" s="87"/>
      <c r="L45" s="87"/>
      <c r="M45" s="64"/>
      <c r="N45" s="87"/>
      <c r="O45" s="87"/>
      <c r="P45" s="87"/>
      <c r="Q45" s="84"/>
      <c r="R45" s="85" t="str">
        <f>SUM(Décaissements63[[#This Row],[Période 0]:[Période 12]])</f>
        <v>0</v>
      </c>
      <c r="S45" s="36" t="str">
        <f>+AVERAGE(Décaissements63[[#This Row],[Période 1]:[Période 12]])</f>
        <v>0</v>
      </c>
    </row>
    <row r="46" spans="1:1024" customHeight="1" ht="17.25">
      <c r="B46" s="86" t="s">
        <v>78</v>
      </c>
      <c r="C46" s="90"/>
      <c r="D46" s="88"/>
      <c r="E46" s="64" t="str">
        <f>15.95+15.95</f>
        <v>0</v>
      </c>
      <c r="F46" s="64" t="str">
        <f>15.95+15.95</f>
        <v>0</v>
      </c>
      <c r="G46" s="64" t="str">
        <f>15.95+15.95</f>
        <v>0</v>
      </c>
      <c r="H46" s="91" t="str">
        <f>15.95+15.95</f>
        <v>0</v>
      </c>
      <c r="I46" s="92" t="str">
        <f>15.95+15.95</f>
        <v>0</v>
      </c>
      <c r="J46" s="92" t="str">
        <f>15.95+15.95</f>
        <v>0</v>
      </c>
      <c r="K46" s="92"/>
      <c r="L46" s="92"/>
      <c r="M46" s="92"/>
      <c r="N46" s="92"/>
      <c r="O46" s="92"/>
      <c r="P46" s="92"/>
      <c r="Q46" s="93"/>
      <c r="R46" s="62" t="str">
        <f>SUM(Décaissements63[[#This Row],[Période 0]:[Période 12]])</f>
        <v>0</v>
      </c>
      <c r="S46" s="94" t="str">
        <f>+AVERAGE(Décaissements63[[#This Row],[Période 1]:[Période 12]])</f>
        <v>0</v>
      </c>
    </row>
    <row r="47" spans="1:1024" customHeight="1" ht="17.25">
      <c r="B47" s="86" t="s">
        <v>79</v>
      </c>
      <c r="C47" s="82"/>
      <c r="D47" s="87"/>
      <c r="E47" s="64">
        <v>142.1</v>
      </c>
      <c r="F47" s="64">
        <v>142.1</v>
      </c>
      <c r="G47" s="64">
        <v>142.1</v>
      </c>
      <c r="H47" s="64">
        <v>143.25</v>
      </c>
      <c r="I47" s="64" t="str">
        <f>143.25+220</f>
        <v>0</v>
      </c>
      <c r="J47" s="64">
        <v>143.25</v>
      </c>
      <c r="K47" s="64"/>
      <c r="L47" s="64"/>
      <c r="M47" s="64"/>
      <c r="N47" s="96"/>
      <c r="O47" s="87"/>
      <c r="P47" s="87"/>
      <c r="Q47" s="97"/>
      <c r="R47" s="85" t="str">
        <f>SUM(Décaissements63[[#This Row],[Période 0]:[Période 12]])</f>
        <v>0</v>
      </c>
      <c r="S47" s="36" t="str">
        <f>+AVERAGE(Décaissements63[[#This Row],[Période 1]:[Période 12]])</f>
        <v>0</v>
      </c>
    </row>
    <row r="48" spans="1:1024" customHeight="1" ht="15.75">
      <c r="B48" s="100" t="s">
        <v>80</v>
      </c>
      <c r="C48" s="61"/>
      <c r="D48" s="10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80"/>
      <c r="R48" s="36" t="str">
        <f>SUM(Décaissements63[[#This Row],[Période 0]:[Période 12]])</f>
        <v>0</v>
      </c>
    </row>
    <row r="49" spans="1:1024" customHeight="1" ht="17.25">
      <c r="B49" s="78" t="s">
        <v>81</v>
      </c>
      <c r="C49" s="90"/>
      <c r="D49" s="103"/>
      <c r="E49" s="103"/>
      <c r="F49" s="103"/>
      <c r="G49" s="101"/>
      <c r="H49" s="103"/>
      <c r="I49" s="103"/>
      <c r="J49" s="103"/>
      <c r="K49" s="103"/>
      <c r="L49" s="103"/>
      <c r="M49" s="103"/>
      <c r="N49" s="103"/>
      <c r="O49" s="103"/>
      <c r="P49" s="103"/>
      <c r="Q49" s="93"/>
      <c r="R49" s="62" t="str">
        <f>SUM(Décaissements63[[#This Row],[Période 0]:[Période 12]])</f>
        <v>0</v>
      </c>
    </row>
    <row r="50" spans="1:1024" customHeight="1" ht="17.25">
      <c r="B50" s="89" t="s">
        <v>82</v>
      </c>
      <c r="C50" s="90"/>
      <c r="D50" s="88"/>
      <c r="E50" s="64"/>
      <c r="F50" s="64"/>
      <c r="G50" s="57"/>
      <c r="H50" s="88"/>
      <c r="I50" s="88"/>
      <c r="J50" s="88"/>
      <c r="K50" s="88"/>
      <c r="L50" s="88"/>
      <c r="M50" s="88"/>
      <c r="N50" s="88"/>
      <c r="O50" s="88"/>
      <c r="P50" s="88"/>
      <c r="Q50" s="104"/>
      <c r="R50" s="62" t="str">
        <f>SUM(Décaissements63[[#This Row],[Période 0]:[Période 12]])</f>
        <v>0</v>
      </c>
      <c r="S50" s="36" t="str">
        <f>+AVERAGE(Décaissements63[[#This Row],[Période 1]:[Période 12]])</f>
        <v>0</v>
      </c>
    </row>
    <row r="51" spans="1:1024" customHeight="1" ht="17.25">
      <c r="B51" s="89" t="s">
        <v>83</v>
      </c>
      <c r="C51" s="90"/>
      <c r="D51" s="88"/>
      <c r="E51" s="64"/>
      <c r="F51" s="64"/>
      <c r="G51" s="64"/>
      <c r="H51" s="91" t="str">
        <f>39+39+39+39</f>
        <v>0</v>
      </c>
      <c r="I51" s="64" t="str">
        <f>39</f>
        <v>0</v>
      </c>
      <c r="J51" s="92" t="str">
        <f>39+39+39</f>
        <v>0</v>
      </c>
      <c r="K51" s="92"/>
      <c r="L51" s="92"/>
      <c r="M51" s="64"/>
      <c r="N51" s="92"/>
      <c r="O51" s="92"/>
      <c r="P51" s="92"/>
      <c r="Q51" s="93"/>
      <c r="R51" s="62" t="str">
        <f>SUM(Décaissements63[[#This Row],[Période 0]:[Période 12]])</f>
        <v>0</v>
      </c>
      <c r="S51" s="36" t="str">
        <f>+AVERAGE(Décaissements63[[#This Row],[Période 1]:[Période 12]])</f>
        <v>0</v>
      </c>
    </row>
    <row r="52" spans="1:1024" customHeight="1" ht="17.25">
      <c r="B52" s="89" t="s">
        <v>84</v>
      </c>
      <c r="C52" s="90"/>
      <c r="D52" s="88"/>
      <c r="E52" s="64"/>
      <c r="F52" s="64"/>
      <c r="G52" s="64"/>
      <c r="H52" s="91"/>
      <c r="I52" s="64"/>
      <c r="J52" s="92"/>
      <c r="K52" s="92"/>
      <c r="L52" s="92"/>
      <c r="M52" s="64"/>
      <c r="N52" s="92"/>
      <c r="O52" s="92"/>
      <c r="P52" s="92"/>
      <c r="Q52" s="93"/>
      <c r="R52" s="62" t="str">
        <f>SUM(Décaissements63[[#This Row],[Période 0]:[Période 12]])</f>
        <v>0</v>
      </c>
      <c r="S52" s="36" t="str">
        <f>+AVERAGE(Décaissements63[[#This Row],[Période 1]:[Période 12]])</f>
        <v>0</v>
      </c>
    </row>
    <row r="53" spans="1:1024" customHeight="1" ht="17.25">
      <c r="B53" s="89" t="s">
        <v>85</v>
      </c>
      <c r="C53" s="90"/>
      <c r="D53" s="88"/>
      <c r="E53" s="88"/>
      <c r="F53" s="88">
        <v>1500.57</v>
      </c>
      <c r="G53" s="88"/>
      <c r="H53" s="88"/>
      <c r="I53" s="64"/>
      <c r="J53" s="88"/>
      <c r="K53" s="88"/>
      <c r="L53" s="88"/>
      <c r="M53" s="64"/>
      <c r="N53" s="88"/>
      <c r="O53" s="88"/>
      <c r="P53" s="88"/>
      <c r="Q53" s="93"/>
      <c r="R53" s="62" t="str">
        <f>SUM(Décaissements63[[#This Row],[Période 0]:[Période 12]])</f>
        <v>0</v>
      </c>
      <c r="S53" s="36" t="str">
        <f>+AVERAGE(Décaissements63[[#This Row],[Période 1]:[Période 12]])</f>
        <v>0</v>
      </c>
    </row>
    <row r="54" spans="1:1024" customHeight="1" ht="17.25">
      <c r="B54" s="89" t="s">
        <v>86</v>
      </c>
      <c r="C54" s="90"/>
      <c r="D54" s="88"/>
      <c r="E54" s="64">
        <v>1903.67</v>
      </c>
      <c r="F54" s="64">
        <v>1891.31</v>
      </c>
      <c r="G54" s="64">
        <v>2117.11</v>
      </c>
      <c r="H54" s="64">
        <v>2159.14</v>
      </c>
      <c r="I54" s="64">
        <v>2054.49</v>
      </c>
      <c r="J54" s="88">
        <v>2202.95</v>
      </c>
      <c r="K54" s="88"/>
      <c r="L54" s="92"/>
      <c r="M54" s="64"/>
      <c r="N54" s="92"/>
      <c r="O54" s="92"/>
      <c r="P54" s="92"/>
      <c r="Q54" s="105"/>
      <c r="R54" s="62" t="str">
        <f>SUM(Décaissements63[[#This Row],[Période 0]:[Période 12]])</f>
        <v>0</v>
      </c>
      <c r="S54" s="36" t="str">
        <f>+AVERAGE(Décaissements63[[#This Row],[Période 1]:[Période 12]])</f>
        <v>0</v>
      </c>
    </row>
    <row r="55" spans="1:1024" customHeight="1" ht="17.25" s="106" customFormat="1">
      <c r="B55" s="89" t="s">
        <v>87</v>
      </c>
      <c r="C55" s="90"/>
      <c r="D55" s="88"/>
      <c r="E55" s="64"/>
      <c r="F55" s="64"/>
      <c r="G55" s="64"/>
      <c r="H55" s="92"/>
      <c r="I55" s="64"/>
      <c r="J55" s="88"/>
      <c r="K55" s="88"/>
      <c r="L55" s="92"/>
      <c r="M55" s="64"/>
      <c r="N55" s="92"/>
      <c r="O55" s="92"/>
      <c r="P55" s="92"/>
      <c r="Q55" s="93"/>
      <c r="R55" s="62" t="str">
        <f>SUM(Décaissements63[[#This Row],[Période 0]:[Période 12]])</f>
        <v>0</v>
      </c>
      <c r="S55" s="36" t="str">
        <f>+AVERAGE(Décaissements63[[#This Row],[Période 1]:[Période 12]])</f>
        <v>0</v>
      </c>
      <c r="T55" s="36"/>
    </row>
    <row r="56" spans="1:1024" customHeight="1" ht="17.25">
      <c r="B56" s="89" t="s">
        <v>88</v>
      </c>
      <c r="C56" s="90"/>
      <c r="D56" s="88"/>
      <c r="E56" s="64">
        <v>1761.46</v>
      </c>
      <c r="F56" s="64"/>
      <c r="G56" s="64">
        <v>1765.42</v>
      </c>
      <c r="H56" s="64">
        <v>1799.9</v>
      </c>
      <c r="I56" s="64">
        <v>1659.59</v>
      </c>
      <c r="J56" s="88">
        <v>1809.12</v>
      </c>
      <c r="K56" s="88"/>
      <c r="L56" s="92"/>
      <c r="M56" s="64"/>
      <c r="N56" s="92"/>
      <c r="O56" s="92"/>
      <c r="P56" s="92"/>
      <c r="Q56" s="93"/>
      <c r="R56" s="62" t="str">
        <f>SUM(Décaissements63[[#This Row],[Période 0]:[Période 12]])</f>
        <v>0</v>
      </c>
      <c r="S56" s="36" t="str">
        <f>+AVERAGE(Décaissements63[[#This Row],[Période 1]:[Période 12]])</f>
        <v>0</v>
      </c>
      <c r="T56" s="106"/>
    </row>
    <row r="57" spans="1:1024" customHeight="1" ht="17.25">
      <c r="B57" s="89" t="s">
        <v>89</v>
      </c>
      <c r="C57" s="90"/>
      <c r="D57" s="88"/>
      <c r="E57" s="64"/>
      <c r="F57" s="64"/>
      <c r="G57" s="92"/>
      <c r="H57" s="92"/>
      <c r="I57" s="64"/>
      <c r="J57" s="88"/>
      <c r="K57" s="88"/>
      <c r="L57" s="92"/>
      <c r="M57" s="64"/>
      <c r="N57" s="92"/>
      <c r="O57" s="92"/>
      <c r="P57" s="92"/>
      <c r="Q57" s="93"/>
      <c r="R57" s="62" t="str">
        <f>SUM(Décaissements63[[#This Row],[Période 0]:[Période 12]])</f>
        <v>0</v>
      </c>
      <c r="S57" s="36" t="str">
        <f>+AVERAGE(Décaissements63[[#This Row],[Période 1]:[Période 12]])</f>
        <v>0</v>
      </c>
    </row>
    <row r="58" spans="1:1024" customHeight="1" ht="17.25">
      <c r="B58" s="89" t="s">
        <v>90</v>
      </c>
      <c r="C58" s="90"/>
      <c r="D58" s="88"/>
      <c r="E58" s="64"/>
      <c r="F58" s="64">
        <v>2295</v>
      </c>
      <c r="G58" s="64">
        <v>342.92</v>
      </c>
      <c r="H58" s="88"/>
      <c r="I58" s="64"/>
      <c r="J58" s="88"/>
      <c r="K58" s="88"/>
      <c r="L58" s="88"/>
      <c r="M58" s="64"/>
      <c r="N58" s="88"/>
      <c r="O58" s="88"/>
      <c r="P58" s="88"/>
      <c r="Q58" s="93"/>
      <c r="R58" s="62" t="str">
        <f>SUM(Décaissements63[[#This Row],[Période 0]:[Période 12]])</f>
        <v>0</v>
      </c>
      <c r="S58" s="36" t="str">
        <f>+AVERAGE(Décaissements63[[#This Row],[Période 1]:[Période 12]])</f>
        <v>0</v>
      </c>
    </row>
    <row r="59" spans="1:1024" customHeight="1" ht="17.25">
      <c r="B59" s="89" t="s">
        <v>91</v>
      </c>
      <c r="C59" s="90"/>
      <c r="D59" s="88"/>
      <c r="E59" s="64">
        <v>7851</v>
      </c>
      <c r="F59" s="64">
        <v>10078</v>
      </c>
      <c r="G59" s="64">
        <v>11150</v>
      </c>
      <c r="H59" s="64">
        <v>11213</v>
      </c>
      <c r="I59" s="64">
        <v>10494</v>
      </c>
      <c r="J59" s="88">
        <v>11809</v>
      </c>
      <c r="K59" s="88"/>
      <c r="L59" s="92"/>
      <c r="M59" s="64"/>
      <c r="N59" s="92"/>
      <c r="O59" s="92"/>
      <c r="P59" s="92"/>
      <c r="Q59" s="93"/>
      <c r="R59" s="62" t="str">
        <f>SUM(Décaissements63[[#This Row],[Période 0]:[Période 12]])</f>
        <v>0</v>
      </c>
      <c r="S59" s="36" t="str">
        <f>+AVERAGE(Décaissements63[[#This Row],[Période 1]:[Période 12]])</f>
        <v>0</v>
      </c>
    </row>
    <row r="60" spans="1:1024" customHeight="1" ht="17.25">
      <c r="B60" s="89" t="s">
        <v>92</v>
      </c>
      <c r="C60" s="90"/>
      <c r="D60" s="88"/>
      <c r="E60" s="64">
        <v>1909.83</v>
      </c>
      <c r="F60" s="64"/>
      <c r="G60" s="57"/>
      <c r="H60" s="64">
        <v>2210.28</v>
      </c>
      <c r="I60" s="64"/>
      <c r="J60" s="88"/>
      <c r="K60" s="64"/>
      <c r="L60" s="92"/>
      <c r="M60" s="64"/>
      <c r="N60" s="92"/>
      <c r="O60" s="92"/>
      <c r="P60" s="92"/>
      <c r="Q60" s="93"/>
      <c r="R60" s="62" t="str">
        <f>SUM(Décaissements63[[#This Row],[Période 0]:[Période 12]])</f>
        <v>0</v>
      </c>
      <c r="S60" s="36" t="str">
        <f>+AVERAGE(Décaissements63[[#This Row],[Période 1]:[Période 12]])</f>
        <v>0</v>
      </c>
    </row>
    <row r="61" spans="1:1024" customHeight="1" ht="17.25">
      <c r="B61" s="89" t="s">
        <v>93</v>
      </c>
      <c r="C61" s="90"/>
      <c r="D61" s="88"/>
      <c r="E61" s="64">
        <v>5596</v>
      </c>
      <c r="F61" s="64">
        <v>5074</v>
      </c>
      <c r="G61" s="64">
        <v>4965</v>
      </c>
      <c r="H61" s="92">
        <v>6024</v>
      </c>
      <c r="I61" s="64">
        <v>6112</v>
      </c>
      <c r="J61" s="88">
        <v>5467</v>
      </c>
      <c r="K61" s="92"/>
      <c r="L61" s="64"/>
      <c r="M61" s="64"/>
      <c r="N61" s="92"/>
      <c r="O61" s="92"/>
      <c r="P61" s="92"/>
      <c r="Q61" s="93"/>
      <c r="R61" s="62" t="str">
        <f>SUM(Décaissements63[[#This Row],[Période 0]:[Période 12]])</f>
        <v>0</v>
      </c>
      <c r="S61" s="36" t="str">
        <f>+AVERAGE(Décaissements63[[#This Row],[Période 1]:[Période 12]])</f>
        <v>0</v>
      </c>
    </row>
    <row r="62" spans="1:1024" customHeight="1" ht="17.1">
      <c r="B62" s="89" t="s">
        <v>94</v>
      </c>
      <c r="C62" s="90"/>
      <c r="D62" s="88"/>
      <c r="E62" s="64"/>
      <c r="F62" s="64"/>
      <c r="G62" s="64"/>
      <c r="H62" s="91"/>
      <c r="I62" s="64"/>
      <c r="J62" s="88"/>
      <c r="K62" s="88"/>
      <c r="L62" s="92"/>
      <c r="M62" s="64"/>
      <c r="N62" s="92"/>
      <c r="O62" s="92"/>
      <c r="P62" s="92"/>
      <c r="Q62" s="93"/>
      <c r="R62" s="62" t="str">
        <f>SUM(Décaissements63[[#This Row],[Période 0]:[Période 12]])</f>
        <v>0</v>
      </c>
      <c r="S62" s="36" t="str">
        <f>+AVERAGE(Décaissements63[[#This Row],[Période 1]:[Période 12]])</f>
        <v>0</v>
      </c>
    </row>
    <row r="63" spans="1:1024" customHeight="1" ht="17.25">
      <c r="B63" s="89" t="s">
        <v>95</v>
      </c>
      <c r="C63" s="90"/>
      <c r="D63" s="88"/>
      <c r="E63" s="64"/>
      <c r="F63" s="64"/>
      <c r="G63" s="64"/>
      <c r="H63" s="64"/>
      <c r="I63" s="64"/>
      <c r="J63" s="88"/>
      <c r="K63" s="88"/>
      <c r="L63" s="57"/>
      <c r="M63" s="64"/>
      <c r="N63" s="57"/>
      <c r="O63" s="57"/>
      <c r="P63" s="57"/>
      <c r="Q63" s="93"/>
      <c r="R63" s="62" t="str">
        <f>SUM(Décaissements63[[#This Row],[Période 0]:[Période 12]])</f>
        <v>0</v>
      </c>
      <c r="S63" s="36" t="str">
        <f>+AVERAGE(Décaissements63[[#This Row],[Période 1]:[Période 12]])</f>
        <v>0</v>
      </c>
    </row>
    <row r="64" spans="1:1024" customHeight="1" ht="17.25">
      <c r="B64" s="78" t="s">
        <v>96</v>
      </c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9"/>
      <c r="R64" s="110" t="str">
        <f>SUM(Décaissements63[[#This Row],[Période 0]:[Période 12]])</f>
        <v>0</v>
      </c>
    </row>
    <row r="65" spans="1:1024" customHeight="1" ht="17.25">
      <c r="B65" s="89" t="s">
        <v>97</v>
      </c>
      <c r="C65" s="90"/>
      <c r="D65" s="88"/>
      <c r="E65" s="64">
        <v>96.8</v>
      </c>
      <c r="F65" s="64">
        <v>117.19</v>
      </c>
      <c r="G65" s="64">
        <v>31.66</v>
      </c>
      <c r="H65" s="92">
        <v>58.93</v>
      </c>
      <c r="I65" s="88">
        <v>25.28</v>
      </c>
      <c r="J65" s="92"/>
      <c r="K65" s="88"/>
      <c r="L65" s="92"/>
      <c r="M65" s="88"/>
      <c r="N65" s="92"/>
      <c r="O65" s="92"/>
      <c r="P65" s="92"/>
      <c r="Q65" s="90"/>
      <c r="R65" s="62" t="str">
        <f>SUM(Décaissements63[[#This Row],[Période 0]:[Période 12]])</f>
        <v>0</v>
      </c>
      <c r="S65" s="36" t="str">
        <f>+AVERAGE(Décaissements63[[#This Row],[Période 1]:[Période 12]])</f>
        <v>0</v>
      </c>
    </row>
    <row r="66" spans="1:1024" customHeight="1" ht="17.25">
      <c r="B66" s="89" t="s">
        <v>98</v>
      </c>
      <c r="C66" s="90"/>
      <c r="D66" s="88"/>
      <c r="E66" s="64">
        <v>228.84</v>
      </c>
      <c r="F66" s="64">
        <v>163.77</v>
      </c>
      <c r="G66" s="64">
        <v>295.19</v>
      </c>
      <c r="H66" s="64">
        <v>277.96</v>
      </c>
      <c r="I66" s="88">
        <v>224.93</v>
      </c>
      <c r="J66" s="88">
        <v>135.38</v>
      </c>
      <c r="K66" s="88"/>
      <c r="L66" s="88"/>
      <c r="M66" s="88"/>
      <c r="N66" s="92"/>
      <c r="O66" s="92"/>
      <c r="P66" s="92"/>
      <c r="Q66" s="90"/>
      <c r="R66" s="62" t="str">
        <f>SUM(Décaissements63[[#This Row],[Période 0]:[Période 12]])</f>
        <v>0</v>
      </c>
      <c r="S66" s="36" t="str">
        <f>+AVERAGE(Décaissements63[[#This Row],[Période 1]:[Période 12]])</f>
        <v>0</v>
      </c>
    </row>
    <row r="67" spans="1:1024" customHeight="1" ht="17.25">
      <c r="B67" s="89" t="s">
        <v>99</v>
      </c>
      <c r="C67" s="90"/>
      <c r="D67" s="88"/>
      <c r="E67" s="88">
        <v>268.67</v>
      </c>
      <c r="F67" s="92">
        <v>20.24</v>
      </c>
      <c r="G67" s="64">
        <v>19.97</v>
      </c>
      <c r="H67" s="92">
        <v>19.38</v>
      </c>
      <c r="I67" s="88">
        <v>5.31</v>
      </c>
      <c r="J67" s="88"/>
      <c r="K67" s="88"/>
      <c r="L67" s="88"/>
      <c r="M67" s="88"/>
      <c r="N67" s="92"/>
      <c r="O67" s="92"/>
      <c r="P67" s="92"/>
      <c r="Q67" s="90"/>
      <c r="R67" s="62" t="str">
        <f>SUM(Décaissements63[[#This Row],[Période 0]:[Période 12]])</f>
        <v>0</v>
      </c>
      <c r="S67" s="36" t="str">
        <f>+AVERAGE(Décaissements63[[#This Row],[Période 1]:[Période 12]])</f>
        <v>0</v>
      </c>
    </row>
    <row r="68" spans="1:1024" customHeight="1" ht="17.25">
      <c r="B68" s="89" t="s">
        <v>100</v>
      </c>
      <c r="C68" s="90"/>
      <c r="D68" s="88"/>
      <c r="E68" s="88">
        <v>14.14</v>
      </c>
      <c r="F68" s="88">
        <v>14.14</v>
      </c>
      <c r="G68" s="64">
        <v>14.14</v>
      </c>
      <c r="H68" s="88">
        <v>14.14</v>
      </c>
      <c r="I68" s="88"/>
      <c r="J68" s="88"/>
      <c r="K68" s="88"/>
      <c r="L68" s="88"/>
      <c r="M68" s="88"/>
      <c r="N68" s="88"/>
      <c r="O68" s="88"/>
      <c r="P68" s="88"/>
      <c r="Q68" s="93"/>
      <c r="R68" s="62" t="str">
        <f>SUM(Décaissements63[[#This Row],[Période 0]:[Période 12]])</f>
        <v>0</v>
      </c>
      <c r="S68" s="36" t="str">
        <f>+AVERAGE(Décaissements63[[#This Row],[Période 1]:[Période 12]])</f>
        <v>0</v>
      </c>
    </row>
    <row r="69" spans="1:1024" customHeight="1" ht="17.25">
      <c r="B69" s="89" t="s">
        <v>101</v>
      </c>
      <c r="C69" s="90"/>
      <c r="D69" s="88"/>
      <c r="E69" s="64" t="str">
        <f>43+32</f>
        <v>0</v>
      </c>
      <c r="F69" s="64">
        <v>43</v>
      </c>
      <c r="G69" s="64" t="str">
        <f>43+32</f>
        <v>0</v>
      </c>
      <c r="H69" s="64" t="str">
        <f>43+34.43</f>
        <v>0</v>
      </c>
      <c r="I69" s="88" t="str">
        <f>43+34.62</f>
        <v>0</v>
      </c>
      <c r="J69" s="88" t="str">
        <f>43+32</f>
        <v>0</v>
      </c>
      <c r="K69" s="88"/>
      <c r="L69" s="88"/>
      <c r="M69" s="88"/>
      <c r="N69" s="92"/>
      <c r="O69" s="92"/>
      <c r="P69" s="92"/>
      <c r="Q69" s="90"/>
      <c r="R69" s="62" t="str">
        <f>SUM(Décaissements63[[#This Row],[Période 0]:[Période 12]])</f>
        <v>0</v>
      </c>
      <c r="S69" s="36" t="str">
        <f>+AVERAGE(Décaissements63[[#This Row],[Période 1]:[Période 12]])</f>
        <v>0</v>
      </c>
    </row>
    <row r="70" spans="1:1024" customHeight="1" ht="17.25">
      <c r="B70" s="89" t="s">
        <v>102</v>
      </c>
      <c r="C70" s="90"/>
      <c r="D70" s="88"/>
      <c r="E70" s="64" t="str">
        <f>50+35+31+31+31.67</f>
        <v>0</v>
      </c>
      <c r="F70" s="64" t="str">
        <f>50+38+36.36+31+31+36.54</f>
        <v>0</v>
      </c>
      <c r="G70" s="64" t="str">
        <f>50+38+31+31+31</f>
        <v>0</v>
      </c>
      <c r="H70" s="64" t="str">
        <f>50+38+31+31+31</f>
        <v>0</v>
      </c>
      <c r="I70" s="88" t="str">
        <f>50+38+31+31+35.19</f>
        <v>0</v>
      </c>
      <c r="J70" s="88" t="str">
        <f>50+38+70.98+31+31</f>
        <v>0</v>
      </c>
      <c r="K70" s="64"/>
      <c r="L70" s="88"/>
      <c r="M70" s="88"/>
      <c r="N70" s="92"/>
      <c r="O70" s="92"/>
      <c r="P70" s="92"/>
      <c r="Q70" s="93"/>
      <c r="R70" s="62" t="str">
        <f>SUM(Décaissements63[[#This Row],[Période 0]:[Période 12]])</f>
        <v>0</v>
      </c>
      <c r="S70" s="36" t="str">
        <f>+AVERAGE(Décaissements63[[#This Row],[Période 1]:[Période 12]])</f>
        <v>0</v>
      </c>
    </row>
    <row r="71" spans="1:1024" customHeight="1" ht="17.25">
      <c r="B71" s="89" t="s">
        <v>103</v>
      </c>
      <c r="C71" s="90"/>
      <c r="D71" s="88"/>
      <c r="E71" s="88"/>
      <c r="F71" s="88"/>
      <c r="G71" s="88"/>
      <c r="H71" s="88"/>
      <c r="I71" s="88">
        <v>307.8</v>
      </c>
      <c r="J71" s="88"/>
      <c r="K71" s="88"/>
      <c r="L71" s="88"/>
      <c r="M71" s="88"/>
      <c r="N71" s="88"/>
      <c r="O71" s="88"/>
      <c r="P71" s="88"/>
      <c r="Q71" s="93"/>
      <c r="R71" s="62" t="str">
        <f>SUM(Décaissements63[[#This Row],[Période 0]:[Période 12]])</f>
        <v>0</v>
      </c>
      <c r="S71" s="36" t="str">
        <f>+AVERAGE(Décaissements63[[#This Row],[Période 1]:[Période 12]])</f>
        <v>0</v>
      </c>
    </row>
    <row r="72" spans="1:1024" customHeight="1" ht="17.25">
      <c r="B72" s="89" t="s">
        <v>104</v>
      </c>
      <c r="C72" s="90"/>
      <c r="D72" s="88"/>
      <c r="E72" s="64">
        <v>180.56</v>
      </c>
      <c r="F72" s="64"/>
      <c r="G72" s="64">
        <v>142.33</v>
      </c>
      <c r="H72" s="92"/>
      <c r="I72" s="88">
        <v>405.73</v>
      </c>
      <c r="J72" s="88"/>
      <c r="K72" s="88"/>
      <c r="L72" s="92"/>
      <c r="M72" s="92"/>
      <c r="N72" s="92"/>
      <c r="O72" s="92"/>
      <c r="P72" s="92"/>
      <c r="Q72" s="105"/>
      <c r="R72" s="62" t="str">
        <f>SUM(Décaissements63[[#This Row],[Période 0]:[Période 12]])</f>
        <v>0</v>
      </c>
      <c r="S72" s="36" t="str">
        <f>+AVERAGE(Décaissements63[[#This Row],[Période 1]:[Période 12]])</f>
        <v>0</v>
      </c>
    </row>
    <row r="73" spans="1:1024" customHeight="1" ht="17.25">
      <c r="B73" s="89" t="s">
        <v>105</v>
      </c>
      <c r="C73" s="90"/>
      <c r="D73" s="88"/>
      <c r="E73" s="64"/>
      <c r="F73" s="64"/>
      <c r="G73" s="64"/>
      <c r="H73" s="92"/>
      <c r="I73" s="88"/>
      <c r="J73" s="88"/>
      <c r="K73" s="92"/>
      <c r="L73" s="92"/>
      <c r="M73" s="92"/>
      <c r="N73" s="92"/>
      <c r="O73" s="92"/>
      <c r="P73" s="92"/>
      <c r="Q73" s="105"/>
      <c r="R73" s="62" t="str">
        <f>SUM(Décaissements63[[#This Row],[Période 0]:[Période 12]])</f>
        <v>0</v>
      </c>
      <c r="S73" s="36" t="str">
        <f>+AVERAGE(Décaissements63[[#This Row],[Période 1]:[Période 12]])</f>
        <v>0</v>
      </c>
    </row>
    <row r="74" spans="1:1024" customHeight="1" ht="17.25">
      <c r="B74" s="89" t="s">
        <v>106</v>
      </c>
      <c r="C74" s="90"/>
      <c r="D74" s="88"/>
      <c r="E74" s="88"/>
      <c r="F74" s="88">
        <v>45.24</v>
      </c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93"/>
      <c r="R74" s="62" t="str">
        <f>SUM(Décaissements63[[#This Row],[Période 0]:[Période 12]])</f>
        <v>0</v>
      </c>
      <c r="S74" s="36" t="str">
        <f>+AVERAGE(Décaissements63[[#This Row],[Période 1]:[Période 12]])</f>
        <v>0</v>
      </c>
    </row>
    <row r="75" spans="1:1024" customHeight="1" ht="17.25">
      <c r="B75" s="89" t="s">
        <v>107</v>
      </c>
      <c r="C75" s="90"/>
      <c r="D75" s="88"/>
      <c r="E75" s="64" t="str">
        <f>980+260+380+1665.67</f>
        <v>0</v>
      </c>
      <c r="F75" s="64"/>
      <c r="G75" s="64" t="str">
        <f>240.11+1135+237.48</f>
        <v>0</v>
      </c>
      <c r="H75" s="111" t="str">
        <f>194+130+1600</f>
        <v>0</v>
      </c>
      <c r="I75" s="88" t="str">
        <f>515.29+1600+822.05</f>
        <v>0</v>
      </c>
      <c r="J75" s="88" t="str">
        <f>484.99+17+364+475.87+541.94</f>
        <v>0</v>
      </c>
      <c r="K75" s="88"/>
      <c r="L75" s="88"/>
      <c r="M75" s="92"/>
      <c r="N75" s="92"/>
      <c r="O75" s="92"/>
      <c r="P75" s="92"/>
      <c r="Q75" s="105"/>
      <c r="R75" s="62" t="str">
        <f>SUM(Décaissements63[[#This Row],[Période 0]:[Période 12]])</f>
        <v>0</v>
      </c>
      <c r="S75" s="36" t="str">
        <f>+AVERAGE(Décaissements63[[#This Row],[Période 1]:[Période 12]])</f>
        <v>0</v>
      </c>
    </row>
    <row r="76" spans="1:1024" customHeight="1" ht="17.25">
      <c r="B76" s="89" t="s">
        <v>108</v>
      </c>
      <c r="C76" s="90"/>
      <c r="D76" s="88"/>
      <c r="E76" s="64" t="str">
        <f>8.6+1311.36</f>
        <v>0</v>
      </c>
      <c r="F76" s="64">
        <v>9.7</v>
      </c>
      <c r="G76" s="64" t="str">
        <f>936.1+2+1139.27</f>
        <v>0</v>
      </c>
      <c r="H76" s="112" t="str">
        <f>2.3+1102.38</f>
        <v>0</v>
      </c>
      <c r="I76" s="88" t="str">
        <f>3.2+919.8</f>
        <v>0</v>
      </c>
      <c r="J76" s="88">
        <v>811.94</v>
      </c>
      <c r="K76" s="88"/>
      <c r="L76" s="92"/>
      <c r="M76" s="88"/>
      <c r="N76" s="92"/>
      <c r="O76" s="92"/>
      <c r="P76" s="92"/>
      <c r="Q76" s="105"/>
      <c r="R76" s="62" t="str">
        <f>SUM(Décaissements63[[#This Row],[Période 0]:[Période 12]])</f>
        <v>0</v>
      </c>
      <c r="S76" s="36" t="str">
        <f>+AVERAGE(Décaissements63[[#This Row],[Période 1]:[Période 12]])</f>
        <v>0</v>
      </c>
    </row>
    <row r="77" spans="1:1024" customHeight="1" ht="17.25">
      <c r="B77" s="89" t="s">
        <v>109</v>
      </c>
      <c r="C77" s="90"/>
      <c r="D77" s="88"/>
      <c r="E77" s="64" t="str">
        <f>2104.85+1720.53</f>
        <v>0</v>
      </c>
      <c r="F77" s="64" t="str">
        <f>1966.62+1748.92</f>
        <v>0</v>
      </c>
      <c r="G77" s="64" t="str">
        <f>1875.91+2345.35+51.73</f>
        <v>0</v>
      </c>
      <c r="H77" s="64" t="str">
        <f>3143.33+2219.29</f>
        <v>0</v>
      </c>
      <c r="I77" s="88" t="str">
        <f>2377.72+2029.45</f>
        <v>0</v>
      </c>
      <c r="J77" s="88" t="str">
        <f>1944.5+2344.68</f>
        <v>0</v>
      </c>
      <c r="K77" s="88"/>
      <c r="L77" s="88"/>
      <c r="M77" s="88"/>
      <c r="N77" s="92"/>
      <c r="O77" s="92"/>
      <c r="P77" s="92"/>
      <c r="Q77" s="105"/>
      <c r="R77" s="62" t="str">
        <f>SUM(Décaissements63[[#This Row],[Période 0]:[Période 12]])</f>
        <v>0</v>
      </c>
      <c r="S77" s="36" t="str">
        <f>+AVERAGE(Décaissements63[[#This Row],[Période 1]:[Période 12]])</f>
        <v>0</v>
      </c>
    </row>
    <row r="78" spans="1:1024" customHeight="1" ht="17.25">
      <c r="B78" s="89" t="s">
        <v>110</v>
      </c>
      <c r="C78" s="90"/>
      <c r="D78" s="88"/>
      <c r="E78" s="64"/>
      <c r="F78" s="64"/>
      <c r="G78" s="64" t="str">
        <f>505.92+3328.92+306.24+427.99+3103.15</f>
        <v>0</v>
      </c>
      <c r="H78" s="88"/>
      <c r="I78" s="88" t="str">
        <f>2363.02+366.58</f>
        <v>0</v>
      </c>
      <c r="J78" s="113" t="str">
        <f>3699.65+4679</f>
        <v>0</v>
      </c>
      <c r="K78" s="88"/>
      <c r="L78" s="88"/>
      <c r="M78" s="88"/>
      <c r="N78" s="88"/>
      <c r="O78" s="88"/>
      <c r="P78" s="88"/>
      <c r="Q78" s="93"/>
      <c r="R78" s="62" t="str">
        <f>SUM(Décaissements63[[#This Row],[Période 0]:[Période 12]])</f>
        <v>0</v>
      </c>
      <c r="S78" s="36" t="str">
        <f>+AVERAGE(Décaissements63[[#This Row],[Période 1]:[Période 12]])</f>
        <v>0</v>
      </c>
    </row>
    <row r="79" spans="1:1024" customHeight="1" ht="17.25">
      <c r="B79" s="89" t="s">
        <v>111</v>
      </c>
      <c r="C79" s="90"/>
      <c r="D79" s="88"/>
      <c r="E79" s="64"/>
      <c r="F79" s="64"/>
      <c r="G79" s="57"/>
      <c r="H79" s="92"/>
      <c r="I79" s="88"/>
      <c r="J79" s="92"/>
      <c r="K79" s="92"/>
      <c r="L79" s="92"/>
      <c r="M79" s="92"/>
      <c r="N79" s="92"/>
      <c r="O79" s="92"/>
      <c r="P79" s="92"/>
      <c r="Q79" s="105"/>
      <c r="R79" s="62" t="str">
        <f>SUM(Décaissements63[[#This Row],[Période 0]:[Période 12]])</f>
        <v>0</v>
      </c>
      <c r="S79" s="36" t="str">
        <f>+AVERAGE(Décaissements63[[#This Row],[Période 1]:[Période 12]])</f>
        <v>0</v>
      </c>
    </row>
    <row r="80" spans="1:1024" customHeight="1" ht="17.25">
      <c r="B80" s="78" t="s">
        <v>112</v>
      </c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9"/>
      <c r="R80" s="110" t="str">
        <f>SUM(Décaissements63[[#This Row],[Période 0]:[Période 12]])</f>
        <v>0</v>
      </c>
    </row>
    <row r="81" spans="1:1024" customHeight="1" ht="17.25">
      <c r="B81" s="89" t="s">
        <v>113</v>
      </c>
      <c r="C81" s="90"/>
      <c r="D81" s="88"/>
      <c r="E81" s="64">
        <v>53.88</v>
      </c>
      <c r="F81" s="64"/>
      <c r="G81" s="64"/>
      <c r="H81" s="88"/>
      <c r="I81" s="88"/>
      <c r="J81" s="88"/>
      <c r="K81" s="88"/>
      <c r="L81" s="88"/>
      <c r="M81" s="88"/>
      <c r="N81" s="88"/>
      <c r="O81" s="88"/>
      <c r="P81" s="88"/>
      <c r="Q81" s="93"/>
      <c r="R81" s="62" t="str">
        <f>SUM(Décaissements63[[#This Row],[Période 0]:[Période 12]])</f>
        <v>0</v>
      </c>
      <c r="S81" s="36" t="str">
        <f>+AVERAGE(Décaissements63[[#This Row],[Période 1]:[Période 12]])</f>
        <v>0</v>
      </c>
    </row>
    <row r="82" spans="1:1024" customHeight="1" ht="17.25">
      <c r="B82" s="89" t="s">
        <v>114</v>
      </c>
      <c r="C82" s="90"/>
      <c r="D82" s="88"/>
      <c r="E82" s="64"/>
      <c r="F82" s="64"/>
      <c r="G82" s="64"/>
      <c r="H82" s="91"/>
      <c r="I82" s="88"/>
      <c r="J82" s="92"/>
      <c r="K82" s="88"/>
      <c r="L82" s="92"/>
      <c r="M82" s="92"/>
      <c r="N82" s="92"/>
      <c r="O82" s="92"/>
      <c r="P82" s="92"/>
      <c r="Q82" s="93"/>
      <c r="R82" s="62" t="str">
        <f>SUM(Décaissements63[[#This Row],[Période 0]:[Période 12]])</f>
        <v>0</v>
      </c>
      <c r="S82" s="36" t="str">
        <f>+AVERAGE(Décaissements63[[#This Row],[Période 1]:[Période 12]])</f>
        <v>0</v>
      </c>
    </row>
    <row r="83" spans="1:1024" customHeight="1" ht="17.25">
      <c r="B83" s="89" t="s">
        <v>115</v>
      </c>
      <c r="C83" s="90"/>
      <c r="D83" s="88"/>
      <c r="E83" s="64">
        <v>100</v>
      </c>
      <c r="F83" s="64"/>
      <c r="G83" s="64" t="str">
        <f>480+99</f>
        <v>0</v>
      </c>
      <c r="H83" s="88"/>
      <c r="I83" s="88">
        <v>348</v>
      </c>
      <c r="J83" s="88"/>
      <c r="K83" s="88"/>
      <c r="L83" s="88"/>
      <c r="M83" s="88"/>
      <c r="N83" s="88"/>
      <c r="O83" s="88"/>
      <c r="P83" s="88"/>
      <c r="Q83" s="93"/>
      <c r="R83" s="62" t="str">
        <f>SUM(Décaissements63[[#This Row],[Période 0]:[Période 12]])</f>
        <v>0</v>
      </c>
      <c r="S83" s="36" t="str">
        <f>+AVERAGE(Décaissements63[[#This Row],[Période 1]:[Période 12]])</f>
        <v>0</v>
      </c>
    </row>
    <row r="84" spans="1:1024" customHeight="1" ht="17.25">
      <c r="B84" s="89" t="s">
        <v>116</v>
      </c>
      <c r="C84" s="90"/>
      <c r="D84" s="88"/>
      <c r="E84" s="64">
        <v>19.99</v>
      </c>
      <c r="F84" s="64"/>
      <c r="G84" s="57"/>
      <c r="H84" s="88"/>
      <c r="I84" s="88"/>
      <c r="J84" s="88"/>
      <c r="K84" s="88"/>
      <c r="L84" s="88"/>
      <c r="M84" s="88"/>
      <c r="N84" s="88"/>
      <c r="O84" s="88"/>
      <c r="P84" s="88"/>
      <c r="Q84" s="93"/>
      <c r="R84" s="62" t="str">
        <f>SUM(Décaissements63[[#This Row],[Période 0]:[Période 12]])</f>
        <v>0</v>
      </c>
      <c r="S84" s="36" t="str">
        <f>+AVERAGE(Décaissements63[[#This Row],[Période 1]:[Période 12]])</f>
        <v>0</v>
      </c>
    </row>
    <row r="85" spans="1:1024" customHeight="1" ht="17.25">
      <c r="B85" s="89" t="s">
        <v>117</v>
      </c>
      <c r="C85" s="90"/>
      <c r="D85" s="88"/>
      <c r="E85" s="88"/>
      <c r="F85" s="88"/>
      <c r="G85" s="64"/>
      <c r="H85" s="88"/>
      <c r="I85" s="88"/>
      <c r="J85" s="88"/>
      <c r="K85" s="88"/>
      <c r="L85" s="88"/>
      <c r="M85" s="88"/>
      <c r="N85" s="88"/>
      <c r="O85" s="88"/>
      <c r="P85" s="88"/>
      <c r="Q85" s="93"/>
      <c r="R85" s="62" t="str">
        <f>SUM(Décaissements63[[#This Row],[Période 0]:[Période 12]])</f>
        <v>0</v>
      </c>
      <c r="S85" s="36" t="str">
        <f>+AVERAGE(Décaissements63[[#This Row],[Période 1]:[Période 12]])</f>
        <v>0</v>
      </c>
    </row>
    <row r="86" spans="1:1024" customHeight="1" ht="17.25">
      <c r="B86" s="89" t="s">
        <v>118</v>
      </c>
      <c r="C86" s="90"/>
      <c r="D86" s="88"/>
      <c r="E86" s="64"/>
      <c r="F86" s="64"/>
      <c r="G86" s="57"/>
      <c r="H86" s="88"/>
      <c r="I86" s="88"/>
      <c r="J86" s="88"/>
      <c r="K86" s="88"/>
      <c r="L86" s="88"/>
      <c r="M86" s="88"/>
      <c r="N86" s="88"/>
      <c r="O86" s="88"/>
      <c r="P86" s="88"/>
      <c r="Q86" s="93"/>
      <c r="R86" s="62" t="str">
        <f>SUM(Décaissements63[[#This Row],[Période 0]:[Période 12]])</f>
        <v>0</v>
      </c>
      <c r="S86" s="36" t="str">
        <f>+AVERAGE(Décaissements63[[#This Row],[Période 1]:[Période 12]])</f>
        <v>0</v>
      </c>
    </row>
    <row r="87" spans="1:1024" customHeight="1" ht="17.25">
      <c r="B87" s="89" t="s">
        <v>119</v>
      </c>
      <c r="C87" s="90"/>
      <c r="D87" s="88"/>
      <c r="E87" s="88"/>
      <c r="F87" s="88"/>
      <c r="G87" s="64">
        <v>588</v>
      </c>
      <c r="H87" s="88">
        <v>498</v>
      </c>
      <c r="I87" s="88">
        <v>570</v>
      </c>
      <c r="J87" s="88"/>
      <c r="K87" s="88"/>
      <c r="L87" s="88"/>
      <c r="M87" s="88"/>
      <c r="N87" s="88"/>
      <c r="O87" s="88"/>
      <c r="P87" s="88"/>
      <c r="Q87" s="93"/>
      <c r="R87" s="62" t="str">
        <f>SUM(Décaissements63[[#This Row],[Période 0]:[Période 12]])</f>
        <v>0</v>
      </c>
      <c r="S87" s="36" t="str">
        <f>+AVERAGE(Décaissements63[[#This Row],[Période 1]:[Période 12]])</f>
        <v>0</v>
      </c>
    </row>
    <row r="88" spans="1:1024" customHeight="1" ht="17.25">
      <c r="B88" s="89" t="s">
        <v>120</v>
      </c>
      <c r="C88" s="90"/>
      <c r="D88" s="88"/>
      <c r="E88" s="64">
        <v>17.99</v>
      </c>
      <c r="F88" s="64"/>
      <c r="G88" s="64" t="str">
        <f>17.99+17.99</f>
        <v>0</v>
      </c>
      <c r="H88" s="88">
        <v>17.99</v>
      </c>
      <c r="I88" s="88">
        <v>17.99</v>
      </c>
      <c r="J88" s="88">
        <v>17.99</v>
      </c>
      <c r="K88" s="88"/>
      <c r="L88" s="88"/>
      <c r="M88" s="88"/>
      <c r="N88" s="88"/>
      <c r="O88" s="88"/>
      <c r="P88" s="88"/>
      <c r="Q88" s="93"/>
      <c r="R88" s="62" t="str">
        <f>SUM(Décaissements63[[#This Row],[Période 0]:[Période 12]])</f>
        <v>0</v>
      </c>
      <c r="S88" s="36" t="str">
        <f>+AVERAGE(Décaissements63[[#This Row],[Période 1]:[Période 12]])</f>
        <v>0</v>
      </c>
    </row>
    <row r="89" spans="1:1024" customHeight="1" ht="17.25">
      <c r="B89" s="89" t="s">
        <v>94</v>
      </c>
      <c r="C89" s="90"/>
      <c r="D89" s="88"/>
      <c r="E89" s="64">
        <v>28</v>
      </c>
      <c r="F89" s="64"/>
      <c r="G89" s="64"/>
      <c r="H89" s="88"/>
      <c r="I89" s="88"/>
      <c r="J89" s="88"/>
      <c r="K89" s="88"/>
      <c r="L89" s="88"/>
      <c r="M89" s="88"/>
      <c r="N89" s="88"/>
      <c r="O89" s="88"/>
      <c r="P89" s="88"/>
      <c r="Q89" s="93"/>
      <c r="R89" s="62" t="str">
        <f>SUM(Décaissements63[[#This Row],[Période 0]:[Période 12]])</f>
        <v>0</v>
      </c>
      <c r="S89" s="36" t="str">
        <f>+AVERAGE(Décaissements63[[#This Row],[Période 1]:[Période 12]])</f>
        <v>0</v>
      </c>
    </row>
    <row r="90" spans="1:1024" customHeight="1" ht="17.25">
      <c r="B90" s="89" t="s">
        <v>121</v>
      </c>
      <c r="C90" s="90"/>
      <c r="D90" s="88"/>
      <c r="E90" s="88" t="str">
        <f>5*0.18+1.98</f>
        <v>0</v>
      </c>
      <c r="F90" s="88" t="str">
        <f>2.7+0.9</f>
        <v>0</v>
      </c>
      <c r="G90" s="64" t="str">
        <f>(13*0.18)+1.08</f>
        <v>0</v>
      </c>
      <c r="H90" s="88" t="str">
        <f>16*0.18</f>
        <v>0</v>
      </c>
      <c r="I90" s="88" t="str">
        <f>0.18+0.54</f>
        <v>0</v>
      </c>
      <c r="J90" s="88" t="str">
        <f>3.24+18.6+1.8</f>
        <v>0</v>
      </c>
      <c r="K90" s="88"/>
      <c r="L90" s="88"/>
      <c r="M90" s="88"/>
      <c r="N90" s="88"/>
      <c r="O90" s="88"/>
      <c r="P90" s="88"/>
      <c r="Q90" s="93"/>
      <c r="R90" s="62" t="str">
        <f>SUM(Décaissements63[[#This Row],[Période 0]:[Période 12]])</f>
        <v>0</v>
      </c>
      <c r="S90" s="36" t="str">
        <f>+AVERAGE(Décaissements63[[#This Row],[Période 1]:[Période 12]])</f>
        <v>0</v>
      </c>
    </row>
    <row r="91" spans="1:1024" customHeight="1" ht="17.25">
      <c r="B91" s="89" t="s">
        <v>122</v>
      </c>
      <c r="C91" s="90"/>
      <c r="D91" s="88"/>
      <c r="E91" s="64"/>
      <c r="F91" s="64"/>
      <c r="G91" s="64"/>
      <c r="H91" s="88"/>
      <c r="I91" s="92"/>
      <c r="J91" s="114"/>
      <c r="K91" s="88"/>
      <c r="L91" s="88"/>
      <c r="M91" s="88"/>
      <c r="N91" s="88"/>
      <c r="O91" s="88"/>
      <c r="P91" s="88"/>
      <c r="Q91" s="93"/>
      <c r="R91" s="62" t="str">
        <f>SUM(Décaissements63[[#This Row],[Période 0]:[Période 12]])</f>
        <v>0</v>
      </c>
      <c r="S91" s="36" t="str">
        <f>+AVERAGE(Décaissements63[[#This Row],[Période 1]:[Période 12]])</f>
        <v>0</v>
      </c>
    </row>
    <row r="92" spans="1:1024" customHeight="1" ht="16.5">
      <c r="B92" s="89" t="s">
        <v>123</v>
      </c>
      <c r="C92" s="90"/>
      <c r="D92" s="88"/>
      <c r="E92" s="64"/>
      <c r="F92" s="64"/>
      <c r="G92" s="64"/>
      <c r="H92" s="91"/>
      <c r="I92" s="88"/>
      <c r="J92" s="88"/>
      <c r="K92" s="88"/>
      <c r="L92" s="88"/>
      <c r="M92" s="88"/>
      <c r="N92" s="88"/>
      <c r="O92" s="88"/>
      <c r="P92" s="88"/>
      <c r="Q92" s="93"/>
      <c r="R92" s="62" t="str">
        <f>SUM(Décaissements63[[#This Row],[Période 0]:[Période 12]])</f>
        <v>0</v>
      </c>
      <c r="S92" s="36" t="str">
        <f>+AVERAGE(Décaissements63[[#This Row],[Période 1]:[Période 12]])</f>
        <v>0</v>
      </c>
    </row>
    <row r="93" spans="1:1024" customHeight="1" ht="17.25">
      <c r="B93" s="78" t="s">
        <v>124</v>
      </c>
      <c r="C93" s="107"/>
      <c r="D93" s="108"/>
      <c r="E93" s="108"/>
      <c r="F93" s="108"/>
      <c r="G93" s="108"/>
      <c r="H93" s="108"/>
      <c r="I93" s="108"/>
      <c r="J93" s="115"/>
      <c r="K93" s="108"/>
      <c r="L93" s="108"/>
      <c r="M93" s="108"/>
      <c r="N93" s="108"/>
      <c r="O93" s="108"/>
      <c r="P93" s="108"/>
      <c r="Q93" s="109"/>
      <c r="R93" s="110" t="str">
        <f>SUM(Décaissements63[[#This Row],[Période 0]:[Période 12]])</f>
        <v>0</v>
      </c>
    </row>
    <row r="94" spans="1:1024" customHeight="1" ht="17.25">
      <c r="B94" s="63" t="s">
        <v>125</v>
      </c>
      <c r="C94" s="90"/>
      <c r="D94" s="88"/>
      <c r="E94" s="64">
        <v>4000</v>
      </c>
      <c r="F94" s="64"/>
      <c r="G94" s="57"/>
      <c r="H94" s="92"/>
      <c r="I94" s="92"/>
      <c r="J94" s="113"/>
      <c r="K94" s="92"/>
      <c r="L94" s="92"/>
      <c r="M94" s="92"/>
      <c r="N94" s="92"/>
      <c r="O94" s="92"/>
      <c r="P94" s="92"/>
      <c r="Q94" s="90"/>
      <c r="R94" s="62" t="str">
        <f>SUM(Décaissements63[[#This Row],[Période 0]:[Période 12]])</f>
        <v>0</v>
      </c>
      <c r="S94" s="36" t="str">
        <f>+AVERAGE(Décaissements63[[#This Row],[Période 1]:[Période 12]])</f>
        <v>0</v>
      </c>
    </row>
    <row r="95" spans="1:1024" customHeight="1" ht="17.25">
      <c r="B95" s="63" t="s">
        <v>126</v>
      </c>
      <c r="C95" s="90"/>
      <c r="D95" s="88"/>
      <c r="E95" s="64"/>
      <c r="F95" s="64"/>
      <c r="G95" s="57"/>
      <c r="H95" s="92"/>
      <c r="I95" s="92"/>
      <c r="J95" s="113"/>
      <c r="K95" s="92"/>
      <c r="L95" s="92"/>
      <c r="M95" s="92"/>
      <c r="N95" s="92"/>
      <c r="O95" s="92"/>
      <c r="P95" s="92"/>
      <c r="Q95" s="105"/>
      <c r="R95" s="62"/>
      <c r="S95" s="36" t="str">
        <f>+AVERAGE(Décaissements63[[#This Row],[Période 1]:[Période 12]])</f>
        <v>0</v>
      </c>
    </row>
    <row r="96" spans="1:1024" customHeight="1" ht="17.25">
      <c r="B96" s="63" t="s">
        <v>127</v>
      </c>
      <c r="C96" s="90"/>
      <c r="D96" s="88"/>
      <c r="E96" s="64">
        <v>8200</v>
      </c>
      <c r="F96" s="64">
        <v>1440</v>
      </c>
      <c r="G96" s="64">
        <v>511.2</v>
      </c>
      <c r="H96" s="88">
        <v>4680</v>
      </c>
      <c r="I96" s="88"/>
      <c r="J96" s="113"/>
      <c r="K96" s="88"/>
      <c r="L96" s="88"/>
      <c r="M96" s="92"/>
      <c r="N96" s="92"/>
      <c r="O96" s="92"/>
      <c r="P96" s="92"/>
      <c r="Q96" s="105"/>
      <c r="R96" s="62"/>
      <c r="S96" s="36" t="str">
        <f>+AVERAGE(Décaissements63[[#This Row],[Période 1]:[Période 12]])</f>
        <v>0</v>
      </c>
    </row>
    <row r="97" spans="1:1024" customHeight="1" ht="17.25">
      <c r="B97" s="63" t="s">
        <v>128</v>
      </c>
      <c r="C97" s="90"/>
      <c r="D97" s="88"/>
      <c r="E97" s="64">
        <v>2000</v>
      </c>
      <c r="F97" s="64">
        <v>9000</v>
      </c>
      <c r="G97" s="64"/>
      <c r="H97" s="91" t="str">
        <f>9000+4000</f>
        <v>0</v>
      </c>
      <c r="I97" s="92"/>
      <c r="J97" s="92">
        <v>4000</v>
      </c>
      <c r="K97" s="92"/>
      <c r="L97" s="88"/>
      <c r="M97" s="88"/>
      <c r="N97" s="92"/>
      <c r="O97" s="92"/>
      <c r="P97" s="92"/>
      <c r="Q97" s="93"/>
      <c r="R97" s="62" t="str">
        <f>SUM(Décaissements63[[#This Row],[Période 0]:[Période 12]])</f>
        <v>0</v>
      </c>
      <c r="S97" s="36" t="str">
        <f>+AVERAGE(Décaissements63[[#This Row],[Période 1]:[Période 12]])</f>
        <v>0</v>
      </c>
    </row>
    <row r="98" spans="1:1024" customHeight="1" ht="17.25">
      <c r="B98" s="63" t="s">
        <v>129</v>
      </c>
      <c r="C98" s="90"/>
      <c r="D98" s="88"/>
      <c r="E98" s="64"/>
      <c r="F98" s="64"/>
      <c r="G98" s="57"/>
      <c r="H98" s="92"/>
      <c r="I98" s="92"/>
      <c r="J98" s="113"/>
      <c r="K98" s="92"/>
      <c r="L98" s="92"/>
      <c r="M98" s="88"/>
      <c r="N98" s="92"/>
      <c r="O98" s="92"/>
      <c r="P98" s="92"/>
      <c r="Q98" s="105"/>
      <c r="R98" s="62"/>
      <c r="S98" s="36" t="str">
        <f>+AVERAGE(Décaissements63[[#This Row],[Période 1]:[Période 12]])</f>
        <v>0</v>
      </c>
    </row>
    <row r="99" spans="1:1024" customHeight="1" ht="17.25">
      <c r="B99" s="63" t="s">
        <v>130</v>
      </c>
      <c r="C99" s="90"/>
      <c r="D99" s="88"/>
      <c r="E99" s="64">
        <v>10000</v>
      </c>
      <c r="F99" s="64"/>
      <c r="G99" s="64"/>
      <c r="H99" s="91" t="str">
        <f>7657+12965</f>
        <v>0</v>
      </c>
      <c r="I99" s="92"/>
      <c r="J99" s="92">
        <v>16160</v>
      </c>
      <c r="K99" s="92"/>
      <c r="L99" s="92"/>
      <c r="M99" s="92"/>
      <c r="N99" s="92"/>
      <c r="O99" s="92"/>
      <c r="P99" s="92"/>
      <c r="Q99" s="93"/>
      <c r="R99" s="62" t="str">
        <f>SUM(Décaissements63[[#This Row],[Période 0]:[Période 12]])</f>
        <v>0</v>
      </c>
      <c r="S99" s="94" t="str">
        <f>+AVERAGE(Décaissements63[[#This Row],[Période 1]:[Période 12]])</f>
        <v>0</v>
      </c>
    </row>
    <row r="100" spans="1:1024" customHeight="1" ht="17.25">
      <c r="B100" s="63" t="s">
        <v>131</v>
      </c>
      <c r="C100" s="90"/>
      <c r="D100" s="88"/>
      <c r="E100" s="64"/>
      <c r="F100" s="64"/>
      <c r="G100" s="64"/>
      <c r="H100" s="91"/>
      <c r="I100" s="92"/>
      <c r="J100" s="92">
        <v>5000</v>
      </c>
      <c r="K100" s="92"/>
      <c r="L100" s="92"/>
      <c r="M100" s="88"/>
      <c r="N100" s="92"/>
      <c r="O100" s="92"/>
      <c r="P100" s="92"/>
      <c r="Q100" s="93"/>
      <c r="R100" s="62" t="str">
        <f>SUM(Décaissements63[[#This Row],[Période 0]:[Période 12]])</f>
        <v>0</v>
      </c>
      <c r="S100" s="36" t="str">
        <f>+AVERAGE(Décaissements63[[#This Row],[Période 1]:[Période 12]])</f>
        <v>0</v>
      </c>
    </row>
    <row r="101" spans="1:1024" customHeight="1" ht="17.25">
      <c r="B101" s="63" t="s">
        <v>132</v>
      </c>
      <c r="C101" s="90"/>
      <c r="D101" s="88"/>
      <c r="E101" s="64"/>
      <c r="F101" s="64"/>
      <c r="G101" s="64">
        <v>1900</v>
      </c>
      <c r="H101" s="91"/>
      <c r="I101" s="92"/>
      <c r="J101" s="92"/>
      <c r="K101" s="92"/>
      <c r="L101" s="92"/>
      <c r="M101" s="88"/>
      <c r="N101" s="92"/>
      <c r="O101" s="92"/>
      <c r="P101" s="92"/>
      <c r="Q101" s="93"/>
      <c r="R101" s="62" t="str">
        <f>SUM(Décaissements63[[#This Row],[Période 0]:[Période 12]])</f>
        <v>0</v>
      </c>
      <c r="S101" s="36" t="str">
        <f>+AVERAGE(Décaissements63[[#This Row],[Période 1]:[Période 12]])</f>
        <v>0</v>
      </c>
    </row>
    <row r="102" spans="1:1024" customHeight="1" ht="17.25">
      <c r="B102" s="63" t="s">
        <v>133</v>
      </c>
      <c r="C102" s="90"/>
      <c r="D102" s="88"/>
      <c r="E102" s="64"/>
      <c r="F102" s="64"/>
      <c r="G102" s="64"/>
      <c r="H102" s="91">
        <v>3600</v>
      </c>
      <c r="I102" s="92"/>
      <c r="J102" s="92"/>
      <c r="K102" s="88"/>
      <c r="L102" s="92"/>
      <c r="M102" s="88"/>
      <c r="N102" s="92"/>
      <c r="O102" s="92"/>
      <c r="P102" s="92"/>
      <c r="Q102" s="93"/>
      <c r="R102" s="62" t="str">
        <f>SUM(Décaissements63[[#This Row],[Période 0]:[Période 12]])</f>
        <v>0</v>
      </c>
      <c r="S102" s="36" t="str">
        <f>+AVERAGE(Décaissements63[[#This Row],[Période 1]:[Période 12]])</f>
        <v>0</v>
      </c>
    </row>
    <row r="103" spans="1:1024" customHeight="1" ht="17.25">
      <c r="B103" s="63" t="s">
        <v>134</v>
      </c>
      <c r="C103" s="90"/>
      <c r="D103" s="88"/>
      <c r="E103" s="64"/>
      <c r="F103" s="64"/>
      <c r="G103" s="64"/>
      <c r="H103" s="64"/>
      <c r="I103" s="92"/>
      <c r="J103" s="88">
        <v>5060</v>
      </c>
      <c r="K103" s="92"/>
      <c r="L103" s="88"/>
      <c r="M103" s="88"/>
      <c r="N103" s="92"/>
      <c r="O103" s="92"/>
      <c r="P103" s="92"/>
      <c r="Q103" s="93"/>
      <c r="R103" s="62" t="str">
        <f>SUM(Décaissements63[[#This Row],[Période 0]:[Période 12]])</f>
        <v>0</v>
      </c>
      <c r="S103" s="36" t="str">
        <f>+AVERAGE(Décaissements63[[#This Row],[Période 1]:[Période 12]])</f>
        <v>0</v>
      </c>
    </row>
    <row r="104" spans="1:1024" customHeight="1" ht="17.25">
      <c r="B104" s="63" t="s">
        <v>135</v>
      </c>
      <c r="C104" s="90"/>
      <c r="D104" s="88"/>
      <c r="E104" s="64"/>
      <c r="F104" s="64"/>
      <c r="G104" s="57"/>
      <c r="H104" s="88"/>
      <c r="I104" s="88"/>
      <c r="J104" s="88"/>
      <c r="K104" s="92"/>
      <c r="L104" s="92"/>
      <c r="M104" s="92"/>
      <c r="N104" s="92"/>
      <c r="O104" s="92"/>
      <c r="P104" s="92"/>
      <c r="Q104" s="93"/>
      <c r="R104" s="62" t="str">
        <f>SUM(Décaissements63[[#This Row],[Période 0]:[Période 12]])</f>
        <v>0</v>
      </c>
      <c r="S104" s="36" t="str">
        <f>+AVERAGE(Décaissements63[[#This Row],[Période 1]:[Période 12]])</f>
        <v>0</v>
      </c>
    </row>
    <row r="105" spans="1:1024" customHeight="1" ht="17.25">
      <c r="B105" s="63" t="s">
        <v>136</v>
      </c>
      <c r="C105" s="90"/>
      <c r="D105" s="88"/>
      <c r="E105" s="64"/>
      <c r="F105" s="64"/>
      <c r="G105" s="57"/>
      <c r="H105" s="88"/>
      <c r="I105" s="88"/>
      <c r="J105" s="113">
        <v>10750</v>
      </c>
      <c r="K105" s="92"/>
      <c r="L105" s="92"/>
      <c r="M105" s="92"/>
      <c r="N105" s="92"/>
      <c r="O105" s="92"/>
      <c r="P105" s="92"/>
      <c r="Q105" s="93"/>
      <c r="R105" s="62" t="str">
        <f>SUM(Décaissements63[[#This Row],[Période 0]:[Période 12]])</f>
        <v>0</v>
      </c>
      <c r="S105" s="36" t="str">
        <f>+AVERAGE(Décaissements63[[#This Row],[Période 1]:[Période 12]])</f>
        <v>0</v>
      </c>
    </row>
    <row r="106" spans="1:1024" customHeight="1" ht="17.25">
      <c r="B106" s="63" t="s">
        <v>137</v>
      </c>
      <c r="C106" s="90"/>
      <c r="D106" s="88"/>
      <c r="E106" s="88"/>
      <c r="F106" s="88"/>
      <c r="G106" s="64"/>
      <c r="H106" s="88"/>
      <c r="I106" s="88"/>
      <c r="J106" s="92">
        <v>6000</v>
      </c>
      <c r="K106" s="88"/>
      <c r="L106" s="92"/>
      <c r="M106" s="92"/>
      <c r="N106" s="92"/>
      <c r="O106" s="92"/>
      <c r="P106" s="92"/>
      <c r="Q106" s="93"/>
      <c r="R106" s="62" t="str">
        <f>SUM(Décaissements63[[#This Row],[Période 0]:[Période 12]])</f>
        <v>0</v>
      </c>
      <c r="S106" s="36" t="str">
        <f>+AVERAGE(Décaissements63[[#This Row],[Période 1]:[Période 12]])</f>
        <v>0</v>
      </c>
    </row>
    <row r="107" spans="1:1024" customHeight="1" ht="17.25">
      <c r="B107" s="63" t="s">
        <v>138</v>
      </c>
      <c r="C107" s="90"/>
      <c r="D107" s="88"/>
      <c r="E107" s="64"/>
      <c r="F107" s="64"/>
      <c r="G107" s="64"/>
      <c r="H107" s="91"/>
      <c r="I107" s="92"/>
      <c r="J107" s="92"/>
      <c r="K107" s="92"/>
      <c r="L107" s="88"/>
      <c r="M107" s="92"/>
      <c r="N107" s="92"/>
      <c r="O107" s="92"/>
      <c r="P107" s="92"/>
      <c r="Q107" s="93"/>
      <c r="R107" s="62" t="str">
        <f>SUM(Décaissements63[[#This Row],[Période 0]:[Période 12]])</f>
        <v>0</v>
      </c>
      <c r="S107" s="36" t="str">
        <f>+AVERAGE(Décaissements63[[#This Row],[Période 1]:[Période 12]])</f>
        <v>0</v>
      </c>
    </row>
    <row r="108" spans="1:1024" customHeight="1" ht="17.25">
      <c r="B108" s="63" t="s">
        <v>139</v>
      </c>
      <c r="C108" s="90"/>
      <c r="D108" s="88"/>
      <c r="E108" s="64"/>
      <c r="F108" s="64"/>
      <c r="G108" s="64"/>
      <c r="H108" s="91"/>
      <c r="I108" s="92"/>
      <c r="J108" s="92"/>
      <c r="K108" s="88"/>
      <c r="L108" s="88"/>
      <c r="M108" s="92"/>
      <c r="N108" s="92"/>
      <c r="O108" s="92"/>
      <c r="P108" s="92"/>
      <c r="Q108" s="93"/>
      <c r="R108" s="62" t="str">
        <f>SUM(Décaissements63[[#This Row],[Période 0]:[Période 12]])</f>
        <v>0</v>
      </c>
      <c r="S108" s="36" t="str">
        <f>+AVERAGE(Décaissements63[[#This Row],[Période 1]:[Période 12]])</f>
        <v>0</v>
      </c>
    </row>
    <row r="109" spans="1:1024" customHeight="1" ht="17.25">
      <c r="B109" s="63" t="s">
        <v>140</v>
      </c>
      <c r="C109" s="90"/>
      <c r="D109" s="88"/>
      <c r="E109" s="64"/>
      <c r="F109" s="64"/>
      <c r="G109" s="57"/>
      <c r="H109" s="88"/>
      <c r="I109" s="88"/>
      <c r="J109" s="92"/>
      <c r="K109" s="92"/>
      <c r="L109" s="92"/>
      <c r="M109" s="92"/>
      <c r="N109" s="92"/>
      <c r="O109" s="92"/>
      <c r="P109" s="92"/>
      <c r="Q109" s="93"/>
      <c r="R109" s="62" t="str">
        <f>SUM(Décaissements63[[#This Row],[Période 0]:[Période 12]])</f>
        <v>0</v>
      </c>
      <c r="S109" s="36" t="str">
        <f>+AVERAGE(Décaissements63[[#This Row],[Période 1]:[Période 12]])</f>
        <v>0</v>
      </c>
    </row>
    <row r="110" spans="1:1024" customHeight="1" ht="17.25">
      <c r="B110" s="63" t="s">
        <v>141</v>
      </c>
      <c r="C110" s="90"/>
      <c r="D110" s="88"/>
      <c r="E110" s="64"/>
      <c r="F110" s="64">
        <v>5000</v>
      </c>
      <c r="G110" s="57"/>
      <c r="H110" s="88">
        <v>6000</v>
      </c>
      <c r="I110" s="88"/>
      <c r="J110" s="92">
        <v>20000</v>
      </c>
      <c r="K110" s="92"/>
      <c r="L110" s="92"/>
      <c r="M110" s="92"/>
      <c r="N110" s="92"/>
      <c r="O110" s="92"/>
      <c r="P110" s="92"/>
      <c r="Q110" s="93"/>
      <c r="R110" s="62" t="str">
        <f>SUM(Décaissements63[[#This Row],[Période 0]:[Période 12]])</f>
        <v>0</v>
      </c>
      <c r="S110" s="36" t="str">
        <f>+AVERAGE(Décaissements63[[#This Row],[Période 1]:[Période 12]])</f>
        <v>0</v>
      </c>
    </row>
    <row r="111" spans="1:1024" customHeight="1" ht="17.25">
      <c r="B111" s="63" t="s">
        <v>142</v>
      </c>
      <c r="C111" s="90"/>
      <c r="D111" s="88"/>
      <c r="E111" s="64"/>
      <c r="F111" s="64"/>
      <c r="G111" s="64"/>
      <c r="H111" s="91"/>
      <c r="I111" s="88"/>
      <c r="J111" s="92">
        <v>1440</v>
      </c>
      <c r="K111" s="92"/>
      <c r="L111" s="92"/>
      <c r="M111" s="92"/>
      <c r="N111" s="92"/>
      <c r="O111" s="92"/>
      <c r="P111" s="92"/>
      <c r="Q111" s="93"/>
      <c r="R111" s="62" t="str">
        <f>SUM(Décaissements63[[#This Row],[Période 0]:[Période 12]])</f>
        <v>0</v>
      </c>
      <c r="S111" s="36" t="str">
        <f>+AVERAGE(Décaissements63[[#This Row],[Période 1]:[Période 12]])</f>
        <v>0</v>
      </c>
    </row>
    <row r="112" spans="1:1024" customHeight="1" ht="17.25">
      <c r="B112" s="78" t="s">
        <v>143</v>
      </c>
      <c r="C112" s="107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9"/>
      <c r="R112" s="110" t="str">
        <f>SUM(Décaissements63[[#This Row],[Période 0]:[Période 12]])</f>
        <v>0</v>
      </c>
      <c r="S112" s="36" t="str">
        <f>+AVERAGE(Décaissements63[[#This Row],[Période 1]:[Période 12]])</f>
        <v>0</v>
      </c>
    </row>
    <row r="113" spans="1:1024" customHeight="1" ht="17.25">
      <c r="B113" s="63" t="s">
        <v>144</v>
      </c>
      <c r="C113" s="90"/>
      <c r="D113" s="88"/>
      <c r="E113" s="64" t="str">
        <f>22063.16+23052.68</f>
        <v>0</v>
      </c>
      <c r="F113" s="64" t="str">
        <f>33205.11+20983.13</f>
        <v>0</v>
      </c>
      <c r="G113" s="64" t="str">
        <f>25544.49+35016.95</f>
        <v>0</v>
      </c>
      <c r="H113" s="64">
        <v>59723.68</v>
      </c>
      <c r="I113" s="88"/>
      <c r="J113" s="88" t="str">
        <f>4101.12+3513.12+25534.74+26635.04</f>
        <v>0</v>
      </c>
      <c r="K113" s="92"/>
      <c r="L113" s="92"/>
      <c r="M113" s="88"/>
      <c r="N113" s="92"/>
      <c r="O113" s="92"/>
      <c r="P113" s="92"/>
      <c r="Q113" s="93"/>
      <c r="R113" s="62" t="str">
        <f>SUM(Décaissements63[[#This Row],[Période 0]:[Période 12]])</f>
        <v>0</v>
      </c>
      <c r="S113" s="36" t="str">
        <f>+AVERAGE(Décaissements63[[#This Row],[Période 1]:[Période 12]])</f>
        <v>0</v>
      </c>
    </row>
    <row r="114" spans="1:1024" customHeight="1" ht="17.25">
      <c r="B114" s="78" t="s">
        <v>145</v>
      </c>
      <c r="C114" s="107"/>
      <c r="D114" s="108"/>
      <c r="E114" s="108"/>
      <c r="F114" s="108"/>
      <c r="G114" s="108"/>
      <c r="H114" s="108"/>
      <c r="I114" s="108"/>
      <c r="J114" s="115"/>
      <c r="K114" s="108"/>
      <c r="L114" s="108"/>
      <c r="M114" s="108"/>
      <c r="N114" s="108"/>
      <c r="O114" s="108"/>
      <c r="P114" s="108"/>
      <c r="Q114" s="109"/>
      <c r="R114" s="110"/>
      <c r="S114" s="36" t="str">
        <f>+AVERAGE(Décaissements63[[#This Row],[Période 1]:[Période 12]])</f>
        <v>0</v>
      </c>
    </row>
    <row r="115" spans="1:1024" customHeight="1" ht="17.25">
      <c r="B115" s="89" t="s">
        <v>146</v>
      </c>
      <c r="C115" s="90"/>
      <c r="D115" s="88"/>
      <c r="E115" s="64" t="str">
        <f>5805.04+5503.5</f>
        <v>0</v>
      </c>
      <c r="F115" s="64">
        <v>7717.52</v>
      </c>
      <c r="G115" s="64"/>
      <c r="H115" s="91"/>
      <c r="I115" s="92"/>
      <c r="J115" s="92"/>
      <c r="K115" s="92"/>
      <c r="L115" s="92"/>
      <c r="M115" s="92"/>
      <c r="N115" s="92"/>
      <c r="O115" s="92"/>
      <c r="P115" s="92"/>
      <c r="Q115" s="93"/>
      <c r="R115" s="62" t="str">
        <f>SUM(Décaissements63[[#This Row],[Période 0]:[Période 12]])</f>
        <v>0</v>
      </c>
      <c r="S115" s="36" t="str">
        <f>+AVERAGE(Décaissements63[[#This Row],[Période 1]:[Période 12]])</f>
        <v>0</v>
      </c>
    </row>
    <row r="116" spans="1:1024" customHeight="1" ht="17.25">
      <c r="B116" s="89" t="s">
        <v>147</v>
      </c>
      <c r="C116" s="90"/>
      <c r="D116" s="88"/>
      <c r="E116" s="64" t="str">
        <f>6727.71+6594.44+6639.05</f>
        <v>0</v>
      </c>
      <c r="F116" s="64"/>
      <c r="G116" s="64">
        <v>23728.57</v>
      </c>
      <c r="H116" s="91"/>
      <c r="I116" s="92">
        <v>7215.6</v>
      </c>
      <c r="J116" s="92"/>
      <c r="K116" s="92"/>
      <c r="L116" s="92"/>
      <c r="M116" s="92"/>
      <c r="N116" s="92"/>
      <c r="O116" s="92"/>
      <c r="P116" s="92"/>
      <c r="Q116" s="93"/>
      <c r="R116" s="62" t="str">
        <f>SUM(Décaissements63[[#This Row],[Période 0]:[Période 12]])</f>
        <v>0</v>
      </c>
      <c r="S116" s="94" t="str">
        <f>+AVERAGE(Décaissements63[[#This Row],[Période 1]:[Période 12]])</f>
        <v>0</v>
      </c>
    </row>
    <row r="117" spans="1:1024" customHeight="1" ht="17.25">
      <c r="B117" s="116" t="s">
        <v>148</v>
      </c>
      <c r="C117" s="90"/>
      <c r="D117" s="88"/>
      <c r="E117" s="64"/>
      <c r="F117" s="64"/>
      <c r="G117" s="64">
        <v>321.25</v>
      </c>
      <c r="H117" s="91"/>
      <c r="I117" s="92">
        <v>3527.01</v>
      </c>
      <c r="J117" s="92">
        <v>1500</v>
      </c>
      <c r="K117" s="92"/>
      <c r="L117" s="92"/>
      <c r="M117" s="88"/>
      <c r="N117" s="92"/>
      <c r="O117" s="92"/>
      <c r="P117" s="92"/>
      <c r="Q117" s="93"/>
      <c r="R117" s="62" t="str">
        <f>SUM(Décaissements63[[#This Row],[Période 0]:[Période 12]])</f>
        <v>0</v>
      </c>
      <c r="S117" s="36" t="str">
        <f>+AVERAGE(Décaissements63[[#This Row],[Période 1]:[Période 12]])</f>
        <v>0</v>
      </c>
    </row>
    <row r="118" spans="1:1024" customHeight="1" ht="17.25">
      <c r="B118" s="116" t="s">
        <v>149</v>
      </c>
      <c r="C118" s="90"/>
      <c r="D118" s="88"/>
      <c r="E118" s="64"/>
      <c r="F118" s="64">
        <v>42284.94</v>
      </c>
      <c r="G118" s="64" t="str">
        <f>28711.63+18140.15+46530.36</f>
        <v>0</v>
      </c>
      <c r="H118" s="64"/>
      <c r="I118" s="92" t="str">
        <f>13761.95</f>
        <v>0</v>
      </c>
      <c r="J118" s="88">
        <v>34735.76</v>
      </c>
      <c r="K118" s="88"/>
      <c r="L118" s="88"/>
      <c r="M118" s="88"/>
      <c r="N118" s="92"/>
      <c r="O118" s="92"/>
      <c r="P118" s="92"/>
      <c r="Q118" s="93"/>
      <c r="R118" s="62" t="str">
        <f>SUM(Décaissements63[[#This Row],[Période 0]:[Période 12]])</f>
        <v>0</v>
      </c>
      <c r="S118" s="36" t="str">
        <f>+AVERAGE(Décaissements63[[#This Row],[Période 1]:[Période 12]])</f>
        <v>0</v>
      </c>
    </row>
    <row r="119" spans="1:1024" customHeight="1" ht="17.25">
      <c r="B119" s="116" t="s">
        <v>150</v>
      </c>
      <c r="C119" s="90"/>
      <c r="D119" s="88"/>
      <c r="E119" s="64">
        <v>2599.13</v>
      </c>
      <c r="F119" s="64">
        <v>1299.56</v>
      </c>
      <c r="G119" s="64"/>
      <c r="H119" s="91"/>
      <c r="I119" s="92"/>
      <c r="J119" s="92"/>
      <c r="K119" s="92"/>
      <c r="L119" s="92"/>
      <c r="M119" s="88"/>
      <c r="N119" s="92"/>
      <c r="O119" s="92"/>
      <c r="P119" s="92"/>
      <c r="Q119" s="93"/>
      <c r="R119" s="62" t="str">
        <f>SUM(Décaissements63[[#This Row],[Période 0]:[Période 12]])</f>
        <v>0</v>
      </c>
      <c r="S119" s="36" t="str">
        <f>+AVERAGE(Décaissements63[[#This Row],[Période 1]:[Période 12]])</f>
        <v>0</v>
      </c>
    </row>
    <row r="120" spans="1:1024" customHeight="1" ht="17.25">
      <c r="B120" s="116" t="s">
        <v>151</v>
      </c>
      <c r="C120" s="90"/>
      <c r="D120" s="88"/>
      <c r="E120" s="64"/>
      <c r="F120" s="64"/>
      <c r="G120" s="64"/>
      <c r="H120" s="64"/>
      <c r="I120" s="88"/>
      <c r="J120" s="88"/>
      <c r="K120" s="92"/>
      <c r="L120" s="92"/>
      <c r="M120" s="92"/>
      <c r="N120" s="92"/>
      <c r="O120" s="92"/>
      <c r="P120" s="92"/>
      <c r="Q120" s="93"/>
      <c r="R120" s="62" t="str">
        <f>SUM(Décaissements63[[#This Row],[Période 0]:[Période 12]])</f>
        <v>0</v>
      </c>
      <c r="S120" s="36" t="str">
        <f>+AVERAGE(Décaissements63[[#This Row],[Période 1]:[Période 12]])</f>
        <v>0</v>
      </c>
    </row>
    <row r="121" spans="1:1024" customHeight="1" ht="17.25">
      <c r="B121" s="116" t="s">
        <v>152</v>
      </c>
      <c r="C121" s="90"/>
      <c r="D121" s="88"/>
      <c r="E121" s="88"/>
      <c r="F121" s="64"/>
      <c r="G121" s="64"/>
      <c r="H121" s="64"/>
      <c r="I121" s="64"/>
      <c r="J121" s="88">
        <v>1082.16</v>
      </c>
      <c r="K121" s="92"/>
      <c r="L121" s="88"/>
      <c r="M121" s="92"/>
      <c r="N121" s="92"/>
      <c r="O121" s="92"/>
      <c r="P121" s="92"/>
      <c r="Q121" s="93"/>
      <c r="R121" s="62" t="str">
        <f>SUM(Décaissements63[[#This Row],[Période 0]:[Période 12]])</f>
        <v>0</v>
      </c>
      <c r="S121" s="36" t="str">
        <f>+AVERAGE(Décaissements63[[#This Row],[Période 1]:[Période 12]])</f>
        <v>0</v>
      </c>
    </row>
    <row r="122" spans="1:1024" customHeight="1" ht="17.25">
      <c r="B122" s="116" t="s">
        <v>153</v>
      </c>
      <c r="C122" s="90"/>
      <c r="D122" s="88"/>
      <c r="E122" s="64" t="str">
        <f>579.72+3173.34+3456.06+4814.58+22364.4</f>
        <v>0</v>
      </c>
      <c r="F122" s="64" t="str">
        <f>3667.2+3732.36</f>
        <v>0</v>
      </c>
      <c r="G122" s="64" t="str">
        <f>4928.88+40573.92+1014.6+2588.04+2690.4+3655.92+4572.24+9397.2+23709.96</f>
        <v>0</v>
      </c>
      <c r="H122" s="64"/>
      <c r="I122" s="92" t="str">
        <f>806.64+818.88+906.6+1408.56+1706.52+2734.8+4089.96+7864.68+27751.68+579.73+768.36+906.6+2524.92+14185.92</f>
        <v>0</v>
      </c>
      <c r="J122" s="88" t="str">
        <f>1316.88+1437.36+2299.32+4394.4+6544.32+7242.84</f>
        <v>0</v>
      </c>
      <c r="K122" s="92"/>
      <c r="L122" s="88"/>
      <c r="M122" s="92"/>
      <c r="N122" s="92"/>
      <c r="O122" s="92"/>
      <c r="P122" s="92"/>
      <c r="Q122" s="90"/>
      <c r="R122" s="62"/>
      <c r="S122" s="36" t="str">
        <f>+AVERAGE(Décaissements63[[#This Row],[Période 1]:[Période 12]])</f>
        <v>0</v>
      </c>
    </row>
    <row r="123" spans="1:1024" customHeight="1" ht="17.25">
      <c r="B123" s="116" t="s">
        <v>154</v>
      </c>
      <c r="C123" s="90"/>
      <c r="D123" s="88"/>
      <c r="E123" s="64"/>
      <c r="F123" s="64"/>
      <c r="G123" s="64"/>
      <c r="H123" s="91"/>
      <c r="I123" s="64"/>
      <c r="J123" s="88"/>
      <c r="K123" s="88"/>
      <c r="L123" s="88"/>
      <c r="M123" s="92"/>
      <c r="N123" s="92"/>
      <c r="O123" s="92"/>
      <c r="P123" s="92"/>
      <c r="Q123" s="93"/>
      <c r="R123" s="62" t="str">
        <f>SUM(Décaissements63[[#This Row],[Période 0]:[Période 12]])</f>
        <v>0</v>
      </c>
      <c r="S123" s="36" t="str">
        <f>+AVERAGE(Décaissements63[[#This Row],[Période 1]:[Période 12]])</f>
        <v>0</v>
      </c>
    </row>
    <row r="124" spans="1:1024" customHeight="1" ht="17.25">
      <c r="B124" s="116" t="s">
        <v>155</v>
      </c>
      <c r="C124" s="90"/>
      <c r="D124" s="88"/>
      <c r="E124" s="64"/>
      <c r="F124" s="64">
        <v>381.78</v>
      </c>
      <c r="G124" s="64">
        <v>886</v>
      </c>
      <c r="H124" s="91">
        <v>1202.5</v>
      </c>
      <c r="I124" s="64"/>
      <c r="J124" s="88" t="str">
        <f>1739.99+1739.99</f>
        <v>0</v>
      </c>
      <c r="K124" s="88"/>
      <c r="L124" s="88"/>
      <c r="M124" s="92"/>
      <c r="N124" s="92"/>
      <c r="O124" s="92"/>
      <c r="P124" s="92"/>
      <c r="Q124" s="93"/>
      <c r="R124" s="62" t="str">
        <f>SUM(Décaissements63[[#This Row],[Période 0]:[Période 12]])</f>
        <v>0</v>
      </c>
      <c r="S124" s="36" t="str">
        <f>+AVERAGE(Décaissements63[[#This Row],[Période 1]:[Période 12]])</f>
        <v>0</v>
      </c>
    </row>
    <row r="125" spans="1:1024" customHeight="1" ht="17.25">
      <c r="B125" s="116" t="s">
        <v>156</v>
      </c>
      <c r="C125" s="90"/>
      <c r="D125" s="88"/>
      <c r="E125" s="64"/>
      <c r="F125" s="64"/>
      <c r="G125" s="64"/>
      <c r="H125" s="64"/>
      <c r="I125" s="64"/>
      <c r="J125" s="88" t="str">
        <f>121.82+178.33+121.82</f>
        <v>0</v>
      </c>
      <c r="K125" s="88"/>
      <c r="L125" s="88"/>
      <c r="M125" s="92"/>
      <c r="N125" s="92"/>
      <c r="O125" s="92"/>
      <c r="P125" s="92"/>
      <c r="Q125" s="93"/>
      <c r="R125" s="62" t="str">
        <f>SUM(Décaissements63[[#This Row],[Période 0]:[Période 12]])</f>
        <v>0</v>
      </c>
      <c r="S125" s="36" t="str">
        <f>+AVERAGE(Décaissements63[[#This Row],[Période 1]:[Période 12]])</f>
        <v>0</v>
      </c>
    </row>
    <row r="126" spans="1:1024" customHeight="1" ht="17.25">
      <c r="B126" s="116" t="s">
        <v>157</v>
      </c>
      <c r="C126" s="90"/>
      <c r="D126" s="88"/>
      <c r="E126" s="64"/>
      <c r="F126" s="64"/>
      <c r="G126" s="64">
        <v>200.88</v>
      </c>
      <c r="H126" s="91"/>
      <c r="I126" s="64"/>
      <c r="J126" s="88">
        <v>587.4</v>
      </c>
      <c r="K126" s="88"/>
      <c r="L126" s="88"/>
      <c r="M126" s="92"/>
      <c r="N126" s="92"/>
      <c r="O126" s="92"/>
      <c r="P126" s="92"/>
      <c r="Q126" s="93"/>
      <c r="R126" s="62" t="str">
        <f>SUM(Décaissements63[[#This Row],[Période 0]:[Période 12]])</f>
        <v>0</v>
      </c>
      <c r="S126" s="36" t="str">
        <f>+AVERAGE(Décaissements63[[#This Row],[Période 1]:[Période 12]])</f>
        <v>0</v>
      </c>
    </row>
    <row r="127" spans="1:1024" customHeight="1" ht="17.25">
      <c r="B127" s="116" t="s">
        <v>158</v>
      </c>
      <c r="C127" s="90"/>
      <c r="D127" s="88"/>
      <c r="E127" s="64">
        <v>11346.32</v>
      </c>
      <c r="F127" s="64"/>
      <c r="G127" s="64" t="str">
        <f>2332.25+689.4+29558.22+1980.92+330.25+510.52+16391.28</f>
        <v>0</v>
      </c>
      <c r="H127" s="64"/>
      <c r="I127" s="64" t="str">
        <f>18196.19+13719.44</f>
        <v>0</v>
      </c>
      <c r="J127" s="88">
        <v>14286.57</v>
      </c>
      <c r="K127" s="88"/>
      <c r="L127" s="88"/>
      <c r="M127" s="92"/>
      <c r="N127" s="92"/>
      <c r="O127" s="92"/>
      <c r="P127" s="92"/>
      <c r="Q127" s="90"/>
      <c r="R127" s="62"/>
      <c r="S127" s="36" t="str">
        <f>+AVERAGE(Décaissements63[[#This Row],[Période 1]:[Période 12]])</f>
        <v>0</v>
      </c>
    </row>
    <row r="128" spans="1:1024" customHeight="1" ht="17.25">
      <c r="B128" s="116" t="s">
        <v>159</v>
      </c>
      <c r="C128" s="90"/>
      <c r="D128" s="88"/>
      <c r="E128" s="64" t="str">
        <f>3071.65+1017.62+75+55.21+56.17+132.69+172.08+81.49</f>
        <v>0</v>
      </c>
      <c r="F128" s="64" t="str">
        <f>5829.29+457.84+99.28+28.71+711.5+1658.73+1492.81</f>
        <v>0</v>
      </c>
      <c r="G128" s="64" t="str">
        <f>26.17+937.71+304.87+109.42+109.63+56.71+68.37+278.71+154.81+5829.28+2926.72</f>
        <v>0</v>
      </c>
      <c r="H128" s="64"/>
      <c r="I128" s="64" t="str">
        <f>27.02+1462.29+563.88+201.19+339.45+86+520.38+742.43+1532.78+2359.56</f>
        <v>0</v>
      </c>
      <c r="J128" s="88" t="str">
        <f>1250.2+160.17+237.18+569.72+276.74</f>
        <v>0</v>
      </c>
      <c r="K128" s="88"/>
      <c r="L128" s="88"/>
      <c r="M128" s="92"/>
      <c r="N128" s="92"/>
      <c r="O128" s="92"/>
      <c r="P128" s="92"/>
      <c r="Q128" s="90"/>
      <c r="R128" s="62"/>
      <c r="S128" s="36" t="str">
        <f>+AVERAGE(Décaissements63[[#This Row],[Période 1]:[Période 12]])</f>
        <v>0</v>
      </c>
    </row>
    <row r="129" spans="1:1024" customHeight="1" ht="17.25">
      <c r="B129" s="116" t="s">
        <v>160</v>
      </c>
      <c r="C129" s="90"/>
      <c r="D129" s="88"/>
      <c r="E129" s="64">
        <v>134.11</v>
      </c>
      <c r="F129" s="64">
        <v>126.19</v>
      </c>
      <c r="G129" s="64"/>
      <c r="H129" s="64"/>
      <c r="I129" s="64">
        <v>426.48</v>
      </c>
      <c r="J129" s="88"/>
      <c r="K129" s="88"/>
      <c r="L129" s="88"/>
      <c r="M129" s="92"/>
      <c r="N129" s="92"/>
      <c r="O129" s="92"/>
      <c r="P129" s="92"/>
      <c r="Q129" s="93"/>
      <c r="R129" s="62" t="str">
        <f>SUM(Décaissements63[[#This Row],[Période 0]:[Période 12]])</f>
        <v>0</v>
      </c>
      <c r="S129" s="36" t="str">
        <f>+AVERAGE(Décaissements63[[#This Row],[Période 1]:[Période 12]])</f>
        <v>0</v>
      </c>
    </row>
    <row r="130" spans="1:1024" customHeight="1" ht="17.25">
      <c r="B130" s="116" t="s">
        <v>161</v>
      </c>
      <c r="C130" s="90"/>
      <c r="D130" s="88"/>
      <c r="E130" s="64">
        <v>12007.62</v>
      </c>
      <c r="F130" s="64">
        <v>5068.74</v>
      </c>
      <c r="G130" s="64"/>
      <c r="H130" s="64"/>
      <c r="I130" s="64" t="str">
        <f>9639.44+8611.7</f>
        <v>0</v>
      </c>
      <c r="J130" s="88">
        <v>10711.84</v>
      </c>
      <c r="K130" s="88"/>
      <c r="L130" s="88"/>
      <c r="M130" s="92"/>
      <c r="N130" s="92"/>
      <c r="O130" s="92"/>
      <c r="P130" s="92"/>
      <c r="Q130" s="93"/>
      <c r="R130" s="62" t="str">
        <f>SUM(Décaissements63[[#This Row],[Période 0]:[Période 12]])</f>
        <v>0</v>
      </c>
      <c r="S130" s="36" t="str">
        <f>+AVERAGE(Décaissements63[[#This Row],[Période 1]:[Période 12]])</f>
        <v>0</v>
      </c>
    </row>
    <row r="131" spans="1:1024" customHeight="1" ht="17.25">
      <c r="B131" s="116" t="s">
        <v>162</v>
      </c>
      <c r="C131" s="90"/>
      <c r="D131" s="88"/>
      <c r="E131" s="64"/>
      <c r="F131" s="64"/>
      <c r="G131" s="64"/>
      <c r="H131" s="64"/>
      <c r="I131" s="64"/>
      <c r="J131" s="88"/>
      <c r="K131" s="88"/>
      <c r="L131" s="88"/>
      <c r="M131" s="92"/>
      <c r="N131" s="92"/>
      <c r="O131" s="92"/>
      <c r="P131" s="92"/>
      <c r="Q131" s="93"/>
      <c r="R131" s="62" t="str">
        <f>SUM(Décaissements63[[#This Row],[Période 0]:[Période 12]])</f>
        <v>0</v>
      </c>
      <c r="S131" s="36" t="str">
        <f>+AVERAGE(Décaissements63[[#This Row],[Période 1]:[Période 12]])</f>
        <v>0</v>
      </c>
    </row>
    <row r="132" spans="1:1024" customHeight="1" ht="17.25">
      <c r="B132" s="116" t="s">
        <v>163</v>
      </c>
      <c r="C132" s="90"/>
      <c r="D132" s="88"/>
      <c r="E132" s="88">
        <v>14750.59</v>
      </c>
      <c r="F132" s="88" t="str">
        <f>768.39</f>
        <v>0</v>
      </c>
      <c r="G132" s="64">
        <v>6016.03</v>
      </c>
      <c r="H132" s="88"/>
      <c r="I132" s="64">
        <v>6278.22</v>
      </c>
      <c r="J132" s="88"/>
      <c r="K132" s="88"/>
      <c r="L132" s="88"/>
      <c r="M132" s="92"/>
      <c r="N132" s="92"/>
      <c r="O132" s="92"/>
      <c r="P132" s="92"/>
      <c r="Q132" s="93"/>
      <c r="R132" s="62" t="str">
        <f>SUM(Décaissements63[[#This Row],[Période 0]:[Période 12]])</f>
        <v>0</v>
      </c>
      <c r="S132" s="36" t="str">
        <f>+AVERAGE(Décaissements63[[#This Row],[Période 1]:[Période 12]])</f>
        <v>0</v>
      </c>
    </row>
    <row r="133" spans="1:1024" customHeight="1" ht="17.25">
      <c r="B133" s="116" t="s">
        <v>164</v>
      </c>
      <c r="C133" s="90"/>
      <c r="D133" s="88"/>
      <c r="E133" s="88"/>
      <c r="F133" s="88"/>
      <c r="G133" s="64"/>
      <c r="H133" s="64"/>
      <c r="I133" s="64">
        <v>451.3</v>
      </c>
      <c r="J133" s="88"/>
      <c r="K133" s="88"/>
      <c r="L133" s="88"/>
      <c r="M133" s="92"/>
      <c r="N133" s="92"/>
      <c r="O133" s="92"/>
      <c r="P133" s="92"/>
      <c r="Q133" s="93"/>
      <c r="R133" s="62" t="str">
        <f>SUM(Décaissements63[[#This Row],[Période 0]:[Période 12]])</f>
        <v>0</v>
      </c>
      <c r="S133" s="36" t="str">
        <f>+AVERAGE(Décaissements63[[#This Row],[Période 1]:[Période 12]])</f>
        <v>0</v>
      </c>
    </row>
    <row r="134" spans="1:1024" customHeight="1" ht="17.25">
      <c r="B134" s="116" t="s">
        <v>165</v>
      </c>
      <c r="C134" s="90"/>
      <c r="D134" s="88"/>
      <c r="E134" s="88"/>
      <c r="F134" s="88"/>
      <c r="G134" s="64"/>
      <c r="H134" s="88"/>
      <c r="I134" s="64"/>
      <c r="J134" s="88"/>
      <c r="K134" s="88"/>
      <c r="L134" s="88"/>
      <c r="M134" s="92"/>
      <c r="N134" s="92"/>
      <c r="O134" s="92"/>
      <c r="P134" s="92"/>
      <c r="Q134" s="93"/>
      <c r="R134" s="62" t="str">
        <f>SUM(Décaissements63[[#This Row],[Période 0]:[Période 12]])</f>
        <v>0</v>
      </c>
      <c r="S134" s="36" t="str">
        <f>+AVERAGE(Décaissements63[[#This Row],[Période 1]:[Période 12]])</f>
        <v>0</v>
      </c>
    </row>
    <row r="135" spans="1:1024" customHeight="1" ht="17.25">
      <c r="B135" s="116" t="s">
        <v>166</v>
      </c>
      <c r="C135" s="90"/>
      <c r="D135" s="88"/>
      <c r="E135" s="64">
        <v>182.37</v>
      </c>
      <c r="F135" s="64"/>
      <c r="G135" s="64">
        <v>4663.56</v>
      </c>
      <c r="H135" s="91"/>
      <c r="I135" s="64" t="str">
        <f>1008.54-69+1286</f>
        <v>0</v>
      </c>
      <c r="J135" s="64" t="str">
        <f>4589.64+813.23</f>
        <v>0</v>
      </c>
      <c r="K135" s="88"/>
      <c r="L135" s="88"/>
      <c r="M135" s="92"/>
      <c r="N135" s="92"/>
      <c r="O135" s="92"/>
      <c r="P135" s="92"/>
      <c r="Q135" s="93"/>
      <c r="R135" s="62" t="str">
        <f>SUM(Décaissements63[[#This Row],[Période 0]:[Période 12]])</f>
        <v>0</v>
      </c>
      <c r="S135" s="36" t="str">
        <f>+AVERAGE(Décaissements63[[#This Row],[Période 1]:[Période 12]])</f>
        <v>0</v>
      </c>
    </row>
    <row r="136" spans="1:1024" customHeight="1" ht="17.25">
      <c r="B136" s="116" t="s">
        <v>167</v>
      </c>
      <c r="C136" s="90"/>
      <c r="D136" s="88"/>
      <c r="E136" s="64">
        <v>1906</v>
      </c>
      <c r="F136" s="64">
        <v>4552.77</v>
      </c>
      <c r="G136" s="64" t="str">
        <f>6187.88+10623.14</f>
        <v>0</v>
      </c>
      <c r="H136" s="91"/>
      <c r="I136" s="92"/>
      <c r="J136" s="92"/>
      <c r="K136" s="92"/>
      <c r="L136" s="88"/>
      <c r="M136" s="92"/>
      <c r="N136" s="92"/>
      <c r="O136" s="92"/>
      <c r="P136" s="92"/>
      <c r="Q136" s="93"/>
      <c r="R136" s="62" t="str">
        <f>SUM(Décaissements63[[#This Row],[Période 0]:[Période 12]])</f>
        <v>0</v>
      </c>
      <c r="S136" s="36" t="str">
        <f>+AVERAGE(Décaissements63[[#This Row],[Période 1]:[Période 12]])</f>
        <v>0</v>
      </c>
    </row>
    <row r="137" spans="1:1024" customHeight="1" ht="17.25">
      <c r="B137" s="116" t="s">
        <v>168</v>
      </c>
      <c r="C137" s="90"/>
      <c r="D137" s="88"/>
      <c r="E137" s="64">
        <v>903.18</v>
      </c>
      <c r="F137" s="64"/>
      <c r="G137" s="64"/>
      <c r="H137" s="88">
        <v>499</v>
      </c>
      <c r="I137" s="64"/>
      <c r="J137" s="64"/>
      <c r="K137" s="88"/>
      <c r="L137" s="88"/>
      <c r="M137" s="92"/>
      <c r="N137" s="92"/>
      <c r="O137" s="92"/>
      <c r="P137" s="92"/>
      <c r="Q137" s="93"/>
      <c r="R137" s="62" t="str">
        <f>SUM(Décaissements63[[#This Row],[Période 0]:[Période 12]])</f>
        <v>0</v>
      </c>
      <c r="S137" s="36" t="str">
        <f>+AVERAGE(Décaissements63[[#This Row],[Période 1]:[Période 12]])</f>
        <v>0</v>
      </c>
    </row>
    <row r="138" spans="1:1024" customHeight="1" ht="17.25">
      <c r="B138" s="116" t="s">
        <v>169</v>
      </c>
      <c r="C138" s="90"/>
      <c r="D138" s="88"/>
      <c r="E138" s="88"/>
      <c r="F138" s="88"/>
      <c r="G138" s="64"/>
      <c r="H138" s="64"/>
      <c r="I138" s="92"/>
      <c r="J138" s="64"/>
      <c r="K138" s="88"/>
      <c r="L138" s="88"/>
      <c r="M138" s="92"/>
      <c r="N138" s="92"/>
      <c r="O138" s="92"/>
      <c r="P138" s="92"/>
      <c r="Q138" s="93"/>
      <c r="R138" s="62" t="str">
        <f>SUM(Décaissements63[[#This Row],[Période 0]:[Période 12]])</f>
        <v>0</v>
      </c>
      <c r="S138" s="36" t="str">
        <f>+AVERAGE(Décaissements63[[#This Row],[Période 1]:[Période 12]])</f>
        <v>0</v>
      </c>
    </row>
    <row r="139" spans="1:1024" customHeight="1" ht="17.25">
      <c r="B139" s="116" t="s">
        <v>170</v>
      </c>
      <c r="C139" s="90"/>
      <c r="D139" s="88"/>
      <c r="E139" s="88" t="str">
        <f>1396.15+1132.2+682.9+847.6</f>
        <v>0</v>
      </c>
      <c r="F139" s="88"/>
      <c r="G139" s="64">
        <v>10333.17</v>
      </c>
      <c r="H139" s="64"/>
      <c r="I139" s="64" t="str">
        <f>8638.36+163.72</f>
        <v>0</v>
      </c>
      <c r="J139" s="64" t="str">
        <f>8802.08+8805.08</f>
        <v>0</v>
      </c>
      <c r="K139" s="64"/>
      <c r="L139" s="88"/>
      <c r="M139" s="92"/>
      <c r="N139" s="92"/>
      <c r="O139" s="92"/>
      <c r="P139" s="92"/>
      <c r="Q139" s="93"/>
      <c r="R139" s="62" t="str">
        <f>SUM(Décaissements63[[#This Row],[Période 0]:[Période 12]])</f>
        <v>0</v>
      </c>
      <c r="S139" s="36" t="str">
        <f>+AVERAGE(Décaissements63[[#This Row],[Période 1]:[Période 12]])</f>
        <v>0</v>
      </c>
    </row>
    <row r="140" spans="1:1024" customHeight="1" ht="17.25">
      <c r="B140" s="116" t="s">
        <v>171</v>
      </c>
      <c r="C140" s="90"/>
      <c r="D140" s="88"/>
      <c r="E140" s="88">
        <v>500.98</v>
      </c>
      <c r="F140" s="88"/>
      <c r="G140" s="88"/>
      <c r="H140" s="64"/>
      <c r="I140" s="64"/>
      <c r="J140" s="64"/>
      <c r="K140" s="92"/>
      <c r="L140" s="88"/>
      <c r="M140" s="92"/>
      <c r="N140" s="92"/>
      <c r="O140" s="92"/>
      <c r="P140" s="92"/>
      <c r="Q140" s="93"/>
      <c r="R140" s="62" t="str">
        <f>SUM(Décaissements63[[#This Row],[Période 0]:[Période 12]])</f>
        <v>0</v>
      </c>
      <c r="S140" s="36" t="str">
        <f>+AVERAGE(Décaissements63[[#This Row],[Période 1]:[Période 12]])</f>
        <v>0</v>
      </c>
    </row>
    <row r="141" spans="1:1024" customHeight="1" ht="17.25">
      <c r="B141" s="89" t="s">
        <v>172</v>
      </c>
      <c r="C141" s="90"/>
      <c r="D141" s="88"/>
      <c r="E141" s="64">
        <v>78.71</v>
      </c>
      <c r="F141" s="64"/>
      <c r="G141" s="64" t="str">
        <f>70.92+72</f>
        <v>0</v>
      </c>
      <c r="H141" s="91"/>
      <c r="I141" s="92"/>
      <c r="J141" s="92">
        <v>106.44</v>
      </c>
      <c r="K141" s="92"/>
      <c r="L141" s="92"/>
      <c r="M141" s="64"/>
      <c r="N141" s="92"/>
      <c r="O141" s="92"/>
      <c r="P141" s="92"/>
      <c r="Q141" s="93"/>
      <c r="R141" s="62" t="str">
        <f>SUM(Décaissements63[[#This Row],[Période 0]:[Période 12]])</f>
        <v>0</v>
      </c>
      <c r="S141" s="36" t="str">
        <f>+AVERAGE(Décaissements63[[#This Row],[Période 1]:[Période 12]])</f>
        <v>0</v>
      </c>
    </row>
    <row r="142" spans="1:1024" customHeight="1" ht="17.25">
      <c r="B142" s="116" t="s">
        <v>173</v>
      </c>
      <c r="C142" s="90"/>
      <c r="D142" s="88"/>
      <c r="E142" s="64"/>
      <c r="F142" s="64" t="str">
        <f>13.55+44.9+44.92</f>
        <v>0</v>
      </c>
      <c r="G142" s="64"/>
      <c r="H142" s="64" t="str">
        <f>32.8+137.5</f>
        <v>0</v>
      </c>
      <c r="I142" s="64"/>
      <c r="J142" s="64"/>
      <c r="K142" s="88"/>
      <c r="L142" s="88"/>
      <c r="M142" s="92"/>
      <c r="N142" s="92"/>
      <c r="O142" s="92"/>
      <c r="P142" s="92"/>
      <c r="Q142" s="93"/>
      <c r="R142" s="62" t="str">
        <f>SUM(Décaissements63[[#This Row],[Période 0]:[Période 12]])</f>
        <v>0</v>
      </c>
      <c r="S142" s="36" t="str">
        <f>+AVERAGE(Décaissements63[[#This Row],[Période 1]:[Période 12]])</f>
        <v>0</v>
      </c>
    </row>
    <row r="143" spans="1:1024" customHeight="1" ht="17.25">
      <c r="B143" s="116" t="s">
        <v>174</v>
      </c>
      <c r="C143" s="90"/>
      <c r="D143" s="88"/>
      <c r="E143" s="64" t="str">
        <f>30.38+30.88+20.88</f>
        <v>0</v>
      </c>
      <c r="F143" s="64"/>
      <c r="G143" s="64">
        <v>12.31</v>
      </c>
      <c r="H143" s="91"/>
      <c r="I143" s="64"/>
      <c r="J143" s="64"/>
      <c r="K143" s="88"/>
      <c r="L143" s="88"/>
      <c r="M143" s="88"/>
      <c r="N143" s="92"/>
      <c r="O143" s="92"/>
      <c r="P143" s="92"/>
      <c r="Q143" s="93"/>
      <c r="R143" s="62" t="str">
        <f>SUM(Décaissements63[[#This Row],[Période 0]:[Période 12]])</f>
        <v>0</v>
      </c>
      <c r="S143" s="36" t="str">
        <f>+AVERAGE(Décaissements63[[#This Row],[Période 1]:[Période 12]])</f>
        <v>0</v>
      </c>
    </row>
    <row r="144" spans="1:1024" customHeight="1" ht="17.25">
      <c r="B144" s="116" t="s">
        <v>175</v>
      </c>
      <c r="C144" s="90"/>
      <c r="D144" s="88"/>
      <c r="E144" s="64"/>
      <c r="F144" s="64"/>
      <c r="G144" s="64"/>
      <c r="H144" s="91"/>
      <c r="I144" s="64"/>
      <c r="J144" s="64"/>
      <c r="K144" s="88"/>
      <c r="L144" s="88"/>
      <c r="M144" s="92"/>
      <c r="N144" s="92"/>
      <c r="O144" s="92"/>
      <c r="P144" s="92"/>
      <c r="Q144" s="93"/>
      <c r="R144" s="62" t="str">
        <f>SUM(Décaissements63[[#This Row],[Période 0]:[Période 12]])</f>
        <v>0</v>
      </c>
      <c r="S144" s="36" t="str">
        <f>+AVERAGE(Décaissements63[[#This Row],[Période 1]:[Période 12]])</f>
        <v>0</v>
      </c>
    </row>
    <row r="145" spans="1:1024" customHeight="1" ht="17.25">
      <c r="B145" s="116" t="s">
        <v>176</v>
      </c>
      <c r="C145" s="90"/>
      <c r="D145" s="88"/>
      <c r="E145" s="64"/>
      <c r="F145" s="64">
        <v>4.41</v>
      </c>
      <c r="G145" s="64"/>
      <c r="H145" s="91"/>
      <c r="I145" s="64"/>
      <c r="J145" s="64"/>
      <c r="K145" s="88"/>
      <c r="L145" s="88"/>
      <c r="M145" s="92"/>
      <c r="N145" s="92"/>
      <c r="O145" s="92"/>
      <c r="P145" s="92"/>
      <c r="Q145" s="93"/>
      <c r="R145" s="62" t="str">
        <f>SUM(Décaissements63[[#This Row],[Période 0]:[Période 12]])</f>
        <v>0</v>
      </c>
      <c r="S145" s="36" t="str">
        <f>+AVERAGE(Décaissements63[[#This Row],[Période 1]:[Période 12]])</f>
        <v>0</v>
      </c>
    </row>
    <row r="146" spans="1:1024" customHeight="1" ht="17.25">
      <c r="B146" s="116" t="s">
        <v>177</v>
      </c>
      <c r="C146" s="90"/>
      <c r="D146" s="88"/>
      <c r="E146" s="88"/>
      <c r="F146" s="88" t="str">
        <f>25.8+131.8+54.99</f>
        <v>0</v>
      </c>
      <c r="G146" s="64"/>
      <c r="H146" s="88"/>
      <c r="I146" s="64"/>
      <c r="J146" s="64"/>
      <c r="K146" s="88"/>
      <c r="L146" s="88"/>
      <c r="M146" s="92"/>
      <c r="N146" s="92"/>
      <c r="O146" s="92"/>
      <c r="P146" s="92"/>
      <c r="Q146" s="93"/>
      <c r="R146" s="62" t="str">
        <f>SUM(Décaissements63[[#This Row],[Période 0]:[Période 12]])</f>
        <v>0</v>
      </c>
      <c r="S146" s="36" t="str">
        <f>+AVERAGE(Décaissements63[[#This Row],[Période 1]:[Période 12]])</f>
        <v>0</v>
      </c>
    </row>
    <row r="147" spans="1:1024" customHeight="1" ht="17.25">
      <c r="B147" s="116" t="s">
        <v>178</v>
      </c>
      <c r="C147" s="90"/>
      <c r="D147" s="88"/>
      <c r="E147" s="64"/>
      <c r="F147" s="64"/>
      <c r="G147" s="64"/>
      <c r="H147" s="91"/>
      <c r="I147" s="92"/>
      <c r="J147" s="92"/>
      <c r="K147" s="92"/>
      <c r="L147" s="88"/>
      <c r="M147" s="92"/>
      <c r="N147" s="92"/>
      <c r="O147" s="92"/>
      <c r="P147" s="92"/>
      <c r="Q147" s="93"/>
      <c r="R147" s="62" t="str">
        <f>SUM(Décaissements63[[#This Row],[Période 0]:[Période 12]])</f>
        <v>0</v>
      </c>
      <c r="S147" s="36" t="str">
        <f>+AVERAGE(Décaissements63[[#This Row],[Période 1]:[Période 12]])</f>
        <v>0</v>
      </c>
    </row>
    <row r="148" spans="1:1024" customHeight="1" ht="17.25">
      <c r="B148" s="116" t="s">
        <v>179</v>
      </c>
      <c r="C148" s="90"/>
      <c r="D148" s="88"/>
      <c r="E148" s="64"/>
      <c r="F148" s="64"/>
      <c r="G148" s="64"/>
      <c r="H148" s="91"/>
      <c r="I148" s="92"/>
      <c r="J148" s="92" t="str">
        <f>5450+459.52</f>
        <v>0</v>
      </c>
      <c r="K148" s="92"/>
      <c r="L148" s="92"/>
      <c r="M148" s="92"/>
      <c r="N148" s="92"/>
      <c r="O148" s="92"/>
      <c r="P148" s="92"/>
      <c r="Q148" s="93"/>
      <c r="R148" s="62" t="str">
        <f>SUM(Décaissements63[[#This Row],[Période 0]:[Période 12]])</f>
        <v>0</v>
      </c>
      <c r="S148" s="94" t="str">
        <f>+AVERAGE(Décaissements63[[#This Row],[Période 1]:[Période 12]])</f>
        <v>0</v>
      </c>
    </row>
    <row r="149" spans="1:1024" customHeight="1" ht="17.25">
      <c r="B149" s="116" t="s">
        <v>180</v>
      </c>
      <c r="C149" s="90"/>
      <c r="D149" s="88"/>
      <c r="E149" s="64"/>
      <c r="F149" s="64"/>
      <c r="G149" s="64"/>
      <c r="H149" s="92"/>
      <c r="I149" s="64"/>
      <c r="J149" s="64"/>
      <c r="K149" s="88"/>
      <c r="L149" s="92"/>
      <c r="M149" s="92"/>
      <c r="N149" s="92"/>
      <c r="O149" s="92"/>
      <c r="P149" s="92"/>
      <c r="Q149" s="93"/>
      <c r="R149" s="62" t="str">
        <f>SUM(Décaissements63[[#This Row],[Période 0]:[Période 12]])</f>
        <v>0</v>
      </c>
      <c r="S149" s="36" t="str">
        <f>+AVERAGE(Décaissements63[[#This Row],[Période 1]:[Période 12]])</f>
        <v>0</v>
      </c>
    </row>
    <row r="150" spans="1:1024" customHeight="1" ht="17.25">
      <c r="B150" s="116" t="s">
        <v>181</v>
      </c>
      <c r="C150" s="90"/>
      <c r="D150" s="88"/>
      <c r="E150" s="64">
        <v>300</v>
      </c>
      <c r="F150" s="64"/>
      <c r="G150" s="64">
        <v>364.8</v>
      </c>
      <c r="H150" s="91"/>
      <c r="I150" s="92">
        <v>729.6</v>
      </c>
      <c r="J150" s="92"/>
      <c r="K150" s="92"/>
      <c r="L150" s="92"/>
      <c r="M150" s="92"/>
      <c r="N150" s="92"/>
      <c r="O150" s="92"/>
      <c r="P150" s="92"/>
      <c r="Q150" s="93"/>
      <c r="R150" s="62" t="str">
        <f>SUM(Décaissements63[[#This Row],[Période 0]:[Période 12]])</f>
        <v>0</v>
      </c>
      <c r="S150" s="94" t="str">
        <f>+AVERAGE(Décaissements63[[#This Row],[Période 1]:[Période 12]])</f>
        <v>0</v>
      </c>
    </row>
    <row r="151" spans="1:1024" customHeight="1" ht="17.25">
      <c r="B151" s="116" t="s">
        <v>182</v>
      </c>
      <c r="C151" s="90"/>
      <c r="D151" s="88"/>
      <c r="E151" s="64"/>
      <c r="F151" s="64"/>
      <c r="G151" s="64"/>
      <c r="H151" s="91"/>
      <c r="I151" s="64"/>
      <c r="J151" s="64"/>
      <c r="K151" s="88"/>
      <c r="L151" s="92"/>
      <c r="M151" s="92"/>
      <c r="N151" s="92"/>
      <c r="O151" s="92"/>
      <c r="P151" s="92"/>
      <c r="Q151" s="93"/>
      <c r="R151" s="62" t="str">
        <f>SUM(Décaissements63[[#This Row],[Période 0]:[Période 12]])</f>
        <v>0</v>
      </c>
      <c r="S151" s="36" t="str">
        <f>+AVERAGE(Décaissements63[[#This Row],[Période 1]:[Période 12]])</f>
        <v>0</v>
      </c>
    </row>
    <row r="152" spans="1:1024" customHeight="1" ht="17.25">
      <c r="B152" s="116" t="s">
        <v>183</v>
      </c>
      <c r="C152" s="90"/>
      <c r="D152" s="88"/>
      <c r="E152" s="64"/>
      <c r="F152" s="64"/>
      <c r="G152" s="64"/>
      <c r="H152" s="91"/>
      <c r="I152" s="64"/>
      <c r="J152" s="64"/>
      <c r="K152" s="88"/>
      <c r="L152" s="92"/>
      <c r="M152" s="92"/>
      <c r="N152" s="92"/>
      <c r="O152" s="92"/>
      <c r="P152" s="92"/>
      <c r="Q152" s="93"/>
      <c r="R152" s="62" t="str">
        <f>SUM(Décaissements63[[#This Row],[Période 0]:[Période 12]])</f>
        <v>0</v>
      </c>
      <c r="S152" s="36" t="str">
        <f>+AVERAGE(Décaissements63[[#This Row],[Période 1]:[Période 12]])</f>
        <v>0</v>
      </c>
    </row>
    <row r="153" spans="1:1024" customHeight="1" ht="17.25">
      <c r="B153" s="78" t="s">
        <v>184</v>
      </c>
      <c r="C153" s="107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9"/>
      <c r="R153" s="110" t="str">
        <f>SUM(Décaissements63[[#This Row],[Période 0]:[Période 12]])</f>
        <v>0</v>
      </c>
      <c r="S153" s="36" t="str">
        <f>+AVERAGE(Décaissements63[[#This Row],[Période 1]:[Période 12]])</f>
        <v>0</v>
      </c>
    </row>
    <row r="154" spans="1:1024" customHeight="1" ht="17.25">
      <c r="B154" s="89" t="s">
        <v>185</v>
      </c>
      <c r="C154" s="90"/>
      <c r="D154" s="88"/>
      <c r="E154" s="64">
        <v>51.84</v>
      </c>
      <c r="F154" s="64"/>
      <c r="G154" s="64"/>
      <c r="H154" s="92"/>
      <c r="I154" s="64"/>
      <c r="J154" s="64"/>
      <c r="K154" s="88"/>
      <c r="L154" s="92"/>
      <c r="M154" s="92"/>
      <c r="N154" s="92"/>
      <c r="O154" s="92"/>
      <c r="P154" s="92"/>
      <c r="Q154" s="93"/>
      <c r="R154" s="62" t="str">
        <f>SUM(Décaissements63[[#This Row],[Période 0]:[Période 12]])</f>
        <v>0</v>
      </c>
      <c r="S154" s="36" t="str">
        <f>+AVERAGE(Décaissements63[[#This Row],[Période 1]:[Période 12]])</f>
        <v>0</v>
      </c>
    </row>
    <row r="155" spans="1:1024" customHeight="1" ht="17.25">
      <c r="B155" s="89" t="s">
        <v>186</v>
      </c>
      <c r="C155" s="90"/>
      <c r="D155" s="88"/>
      <c r="E155" s="64"/>
      <c r="F155" s="64">
        <v>1524.08</v>
      </c>
      <c r="G155" s="64" t="str">
        <f>4380.4</f>
        <v>0</v>
      </c>
      <c r="H155" s="91"/>
      <c r="I155" s="92"/>
      <c r="J155" s="92"/>
      <c r="K155" s="92"/>
      <c r="L155" s="92"/>
      <c r="M155" s="92"/>
      <c r="N155" s="92"/>
      <c r="O155" s="92"/>
      <c r="P155" s="92"/>
      <c r="Q155" s="93"/>
      <c r="R155" s="62" t="str">
        <f>SUM(Décaissements63[[#This Row],[Période 0]:[Période 12]])</f>
        <v>0</v>
      </c>
      <c r="S155" s="94" t="str">
        <f>+AVERAGE(Décaissements63[[#This Row],[Période 1]:[Période 12]])</f>
        <v>0</v>
      </c>
    </row>
    <row r="156" spans="1:1024" customHeight="1" ht="17.25">
      <c r="B156" s="89" t="s">
        <v>187</v>
      </c>
      <c r="C156" s="90"/>
      <c r="D156" s="88"/>
      <c r="E156" s="64"/>
      <c r="F156" s="64">
        <v>3000</v>
      </c>
      <c r="G156" s="64" t="str">
        <f>1500+3000</f>
        <v>0</v>
      </c>
      <c r="H156" s="91">
        <v>3000</v>
      </c>
      <c r="I156" s="92"/>
      <c r="J156" s="92" t="str">
        <f>3000+3000+3000</f>
        <v>0</v>
      </c>
      <c r="K156" s="92"/>
      <c r="L156" s="92"/>
      <c r="M156" s="92"/>
      <c r="N156" s="92"/>
      <c r="O156" s="92"/>
      <c r="P156" s="92"/>
      <c r="Q156" s="93"/>
      <c r="R156" s="62" t="str">
        <f>SUM(Décaissements63[[#This Row],[Période 0]:[Période 12]])</f>
        <v>0</v>
      </c>
      <c r="S156" s="36" t="str">
        <f>+AVERAGE(Décaissements63[[#This Row],[Période 1]:[Période 12]])</f>
        <v>0</v>
      </c>
    </row>
    <row r="157" spans="1:1024" customHeight="1" ht="17.25">
      <c r="B157" s="89" t="s">
        <v>188</v>
      </c>
      <c r="C157" s="90"/>
      <c r="D157" s="88"/>
      <c r="E157" s="64"/>
      <c r="F157" s="64">
        <v>2400</v>
      </c>
      <c r="G157" s="64">
        <v>2400</v>
      </c>
      <c r="H157" s="91">
        <v>2400</v>
      </c>
      <c r="I157" s="92"/>
      <c r="J157" s="92">
        <v>2400</v>
      </c>
      <c r="K157" s="92"/>
      <c r="L157" s="92"/>
      <c r="M157" s="92"/>
      <c r="N157" s="92"/>
      <c r="O157" s="92"/>
      <c r="P157" s="92"/>
      <c r="Q157" s="93"/>
      <c r="R157" s="62" t="str">
        <f>SUM(Décaissements63[[#This Row],[Période 0]:[Période 12]])</f>
        <v>0</v>
      </c>
      <c r="S157" s="94" t="str">
        <f>+AVERAGE(Décaissements63[[#This Row],[Période 1]:[Période 12]])</f>
        <v>0</v>
      </c>
    </row>
    <row r="158" spans="1:1024" customHeight="1" ht="17.25">
      <c r="B158" s="89" t="s">
        <v>189</v>
      </c>
      <c r="C158" s="90"/>
      <c r="D158" s="88"/>
      <c r="E158" s="64">
        <v>1077.5</v>
      </c>
      <c r="F158" s="64" t="str">
        <f>324.46+325.94</f>
        <v>0</v>
      </c>
      <c r="G158" s="64" t="str">
        <f>841.86+292.7+90+973.25</f>
        <v>0</v>
      </c>
      <c r="H158" s="64" t="str">
        <f>688.21+2856.37</f>
        <v>0</v>
      </c>
      <c r="I158" s="64"/>
      <c r="J158" s="64"/>
      <c r="K158" s="88"/>
      <c r="L158" s="92"/>
      <c r="M158" s="92"/>
      <c r="N158" s="92"/>
      <c r="O158" s="92"/>
      <c r="P158" s="92"/>
      <c r="Q158" s="90"/>
      <c r="R158" s="62"/>
      <c r="S158" s="36" t="str">
        <f>+AVERAGE(Décaissements63[[#This Row],[Période 1]:[Période 12]])</f>
        <v>0</v>
      </c>
    </row>
    <row r="159" spans="1:1024" customHeight="1" ht="17.25">
      <c r="B159" s="89" t="s">
        <v>190</v>
      </c>
      <c r="C159" s="90"/>
      <c r="D159" s="88"/>
      <c r="E159" s="64"/>
      <c r="F159" s="64"/>
      <c r="G159" s="64"/>
      <c r="H159" s="64"/>
      <c r="I159" s="64"/>
      <c r="J159" s="64"/>
      <c r="K159" s="88"/>
      <c r="L159" s="88"/>
      <c r="M159" s="88"/>
      <c r="N159" s="92"/>
      <c r="O159" s="92"/>
      <c r="P159" s="92"/>
      <c r="Q159" s="93"/>
      <c r="R159" s="62" t="str">
        <f>SUM(Décaissements63[[#This Row],[Période 0]:[Période 12]])</f>
        <v>0</v>
      </c>
      <c r="S159" s="36" t="str">
        <f>+AVERAGE(Décaissements63[[#This Row],[Période 1]:[Période 12]])</f>
        <v>0</v>
      </c>
    </row>
    <row r="160" spans="1:1024" customHeight="1" ht="17.25">
      <c r="B160" s="89" t="s">
        <v>191</v>
      </c>
      <c r="C160" s="90"/>
      <c r="D160" s="88"/>
      <c r="E160" s="64">
        <v>2034.65</v>
      </c>
      <c r="F160" s="64" t="str">
        <f>4617.86</f>
        <v>0</v>
      </c>
      <c r="G160" s="64" t="str">
        <f>2034.65+968.62</f>
        <v>0</v>
      </c>
      <c r="H160" s="91">
        <v>3308.61</v>
      </c>
      <c r="I160" s="92" t="str">
        <f>2034.65+466.25</f>
        <v>0</v>
      </c>
      <c r="J160" s="92">
        <v>860.57</v>
      </c>
      <c r="K160" s="92"/>
      <c r="L160" s="92"/>
      <c r="M160" s="92"/>
      <c r="N160" s="92"/>
      <c r="O160" s="92"/>
      <c r="P160" s="92"/>
      <c r="Q160" s="93"/>
      <c r="R160" s="62" t="str">
        <f>SUM(Décaissements63[[#This Row],[Période 0]:[Période 12]])</f>
        <v>0</v>
      </c>
      <c r="S160" s="36" t="str">
        <f>+AVERAGE(Décaissements63[[#This Row],[Période 1]:[Période 12]])</f>
        <v>0</v>
      </c>
    </row>
    <row r="161" spans="1:1024" customHeight="1" ht="17.25">
      <c r="B161" s="89" t="s">
        <v>192</v>
      </c>
      <c r="C161" s="90"/>
      <c r="D161" s="88"/>
      <c r="E161" s="64"/>
      <c r="F161" s="64"/>
      <c r="G161" s="64"/>
      <c r="H161" s="91"/>
      <c r="I161" s="92"/>
      <c r="J161" s="92"/>
      <c r="K161" s="92"/>
      <c r="L161" s="92"/>
      <c r="M161" s="92"/>
      <c r="N161" s="92"/>
      <c r="O161" s="92"/>
      <c r="P161" s="92"/>
      <c r="Q161" s="93"/>
      <c r="R161" s="62" t="str">
        <f>SUM(Décaissements63[[#This Row],[Période 0]:[Période 12]])</f>
        <v>0</v>
      </c>
      <c r="S161" s="36" t="str">
        <f>+AVERAGE(Décaissements63[[#This Row],[Période 1]:[Période 12]])</f>
        <v>0</v>
      </c>
    </row>
    <row r="162" spans="1:1024" customHeight="1" ht="17.25">
      <c r="B162" s="89" t="s">
        <v>193</v>
      </c>
      <c r="C162" s="90"/>
      <c r="D162" s="88"/>
      <c r="E162" s="64">
        <v>796.49</v>
      </c>
      <c r="F162" s="64"/>
      <c r="G162" s="64" t="str">
        <f>796.49+796.49</f>
        <v>0</v>
      </c>
      <c r="H162" s="88"/>
      <c r="I162" s="64" t="str">
        <f>1293.37+186.77+186.77+68.76</f>
        <v>0</v>
      </c>
      <c r="J162" s="64">
        <v>255.53</v>
      </c>
      <c r="K162" s="92"/>
      <c r="L162" s="92"/>
      <c r="M162" s="92"/>
      <c r="N162" s="92"/>
      <c r="O162" s="92"/>
      <c r="P162" s="92"/>
      <c r="Q162" s="93"/>
      <c r="R162" s="62" t="str">
        <f>SUM(Décaissements63[[#This Row],[Période 0]:[Période 12]])</f>
        <v>0</v>
      </c>
      <c r="S162" s="36" t="str">
        <f>+AVERAGE(Décaissements63[[#This Row],[Période 1]:[Période 12]])</f>
        <v>0</v>
      </c>
    </row>
    <row r="163" spans="1:1024" customHeight="1" ht="17.25">
      <c r="B163" s="89" t="s">
        <v>194</v>
      </c>
      <c r="C163" s="90"/>
      <c r="D163" s="88"/>
      <c r="E163" s="88"/>
      <c r="F163" s="92"/>
      <c r="G163" s="64">
        <v>586.43</v>
      </c>
      <c r="H163" s="92">
        <v>284.59</v>
      </c>
      <c r="I163" s="64">
        <v>315.08</v>
      </c>
      <c r="J163" s="92" t="str">
        <f>454.31+304.92</f>
        <v>0</v>
      </c>
      <c r="K163" s="64"/>
      <c r="L163" s="92"/>
      <c r="M163" s="92"/>
      <c r="N163" s="92"/>
      <c r="O163" s="92"/>
      <c r="P163" s="92"/>
      <c r="Q163" s="93"/>
      <c r="R163" s="62" t="str">
        <f>SUM(Décaissements63[[#This Row],[Période 0]:[Période 12]])</f>
        <v>0</v>
      </c>
      <c r="S163" s="36" t="str">
        <f>+AVERAGE(Décaissements63[[#This Row],[Période 1]:[Période 12]])</f>
        <v>0</v>
      </c>
    </row>
    <row r="164" spans="1:1024" customHeight="1" ht="17.25">
      <c r="B164" s="89" t="s">
        <v>195</v>
      </c>
      <c r="C164" s="90"/>
      <c r="D164" s="88"/>
      <c r="E164" s="64"/>
      <c r="F164" s="64"/>
      <c r="G164" s="64"/>
      <c r="H164" s="91"/>
      <c r="I164" s="64"/>
      <c r="J164" s="64"/>
      <c r="K164" s="64"/>
      <c r="L164" s="92"/>
      <c r="M164" s="92"/>
      <c r="N164" s="92"/>
      <c r="O164" s="92"/>
      <c r="P164" s="92"/>
      <c r="Q164" s="93"/>
      <c r="R164" s="62" t="str">
        <f>SUM(Décaissements63[[#This Row],[Période 0]:[Période 12]])</f>
        <v>0</v>
      </c>
      <c r="S164" s="36" t="str">
        <f>+AVERAGE(Décaissements63[[#This Row],[Période 1]:[Période 12]])</f>
        <v>0</v>
      </c>
    </row>
    <row r="165" spans="1:1024" customHeight="1" ht="17.25">
      <c r="B165" s="89" t="s">
        <v>196</v>
      </c>
      <c r="C165" s="90"/>
      <c r="D165" s="88"/>
      <c r="E165" s="64"/>
      <c r="F165" s="64"/>
      <c r="G165" s="64"/>
      <c r="H165" s="64">
        <v>1393.52</v>
      </c>
      <c r="I165" s="64">
        <v>1393.52</v>
      </c>
      <c r="J165" s="64">
        <v>1329.57</v>
      </c>
      <c r="K165" s="64"/>
      <c r="L165" s="88"/>
      <c r="M165" s="92"/>
      <c r="N165" s="92"/>
      <c r="O165" s="92"/>
      <c r="P165" s="92"/>
      <c r="Q165" s="93"/>
      <c r="R165" s="62" t="str">
        <f>SUM(Décaissements63[[#This Row],[Période 0]:[Période 12]])</f>
        <v>0</v>
      </c>
      <c r="S165" s="36" t="str">
        <f>+AVERAGE(Décaissements63[[#This Row],[Période 1]:[Période 12]])</f>
        <v>0</v>
      </c>
    </row>
    <row r="166" spans="1:1024" customHeight="1" ht="17.25">
      <c r="B166" s="89" t="s">
        <v>197</v>
      </c>
      <c r="C166" s="90"/>
      <c r="D166" s="88"/>
      <c r="E166" s="64"/>
      <c r="F166" s="64">
        <v>19755.24</v>
      </c>
      <c r="G166" s="64"/>
      <c r="H166" s="91">
        <v>12728.55</v>
      </c>
      <c r="I166" s="92"/>
      <c r="J166" s="92"/>
      <c r="K166" s="92"/>
      <c r="L166" s="92"/>
      <c r="M166" s="92"/>
      <c r="N166" s="92"/>
      <c r="O166" s="92"/>
      <c r="P166" s="92"/>
      <c r="Q166" s="93"/>
      <c r="R166" s="62" t="str">
        <f>SUM(Décaissements63[[#This Row],[Période 0]:[Période 12]])</f>
        <v>0</v>
      </c>
      <c r="S166" s="94" t="str">
        <f>+AVERAGE(Décaissements63[[#This Row],[Période 1]:[Période 12]])</f>
        <v>0</v>
      </c>
    </row>
    <row r="167" spans="1:1024" customHeight="1" ht="17.25">
      <c r="B167" s="89" t="s">
        <v>198</v>
      </c>
      <c r="C167" s="90"/>
      <c r="D167" s="88"/>
      <c r="E167" s="64"/>
      <c r="F167" s="64">
        <v>3398.11</v>
      </c>
      <c r="G167" s="64" t="str">
        <f>2937.12</f>
        <v>0</v>
      </c>
      <c r="H167" s="91"/>
      <c r="I167" s="92"/>
      <c r="J167" s="92"/>
      <c r="K167" s="92"/>
      <c r="L167" s="88"/>
      <c r="M167" s="92"/>
      <c r="N167" s="92"/>
      <c r="O167" s="92"/>
      <c r="P167" s="92"/>
      <c r="Q167" s="93"/>
      <c r="R167" s="62" t="str">
        <f>SUM(Décaissements63[[#This Row],[Période 0]:[Période 12]])</f>
        <v>0</v>
      </c>
      <c r="S167" s="36" t="str">
        <f>+AVERAGE(Décaissements63[[#This Row],[Période 1]:[Période 12]])</f>
        <v>0</v>
      </c>
    </row>
    <row r="168" spans="1:1024" customHeight="1" ht="17.25">
      <c r="B168" s="89" t="s">
        <v>199</v>
      </c>
      <c r="C168" s="90"/>
      <c r="D168" s="88"/>
      <c r="E168" s="88" t="str">
        <f>2000+600+410.54</f>
        <v>0</v>
      </c>
      <c r="F168" s="64" t="str">
        <f>40.66+1393.52+457.05+1380+240</f>
        <v>0</v>
      </c>
      <c r="G168" s="57">
        <v>213.61</v>
      </c>
      <c r="H168" s="88"/>
      <c r="I168" s="88"/>
      <c r="J168" s="64">
        <v>1957.22</v>
      </c>
      <c r="K168" s="64"/>
      <c r="L168" s="88"/>
      <c r="M168" s="92"/>
      <c r="N168" s="92"/>
      <c r="O168" s="92"/>
      <c r="P168" s="92"/>
      <c r="Q168" s="93"/>
      <c r="R168" s="62" t="str">
        <f>SUM(Décaissements63[[#This Row],[Période 0]:[Période 12]])</f>
        <v>0</v>
      </c>
      <c r="S168" s="36" t="str">
        <f>+AVERAGE(Décaissements63[[#This Row],[Période 1]:[Période 12]])</f>
        <v>0</v>
      </c>
    </row>
    <row r="169" spans="1:1024" customHeight="1" ht="17.25">
      <c r="B169" s="78" t="s">
        <v>200</v>
      </c>
      <c r="C169" s="107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9"/>
      <c r="R169" s="110" t="str">
        <f>SUM(Décaissements63[[#This Row],[Période 0]:[Période 12]])</f>
        <v>0</v>
      </c>
      <c r="S169" s="36" t="str">
        <f>+AVERAGE(Décaissements63[[#This Row],[Période 1]:[Période 12]])</f>
        <v>0</v>
      </c>
    </row>
    <row r="170" spans="1:1024" customHeight="1" ht="17.25">
      <c r="B170" s="89" t="s">
        <v>201</v>
      </c>
      <c r="C170" s="90"/>
      <c r="D170" s="88"/>
      <c r="E170" s="64"/>
      <c r="F170" s="64"/>
      <c r="G170" s="64"/>
      <c r="H170" s="91"/>
      <c r="I170" s="88"/>
      <c r="J170" s="113"/>
      <c r="K170" s="92"/>
      <c r="L170" s="92"/>
      <c r="M170" s="92"/>
      <c r="N170" s="92"/>
      <c r="O170" s="92"/>
      <c r="P170" s="92"/>
      <c r="Q170" s="93"/>
      <c r="R170" s="62" t="str">
        <f>SUM(Décaissements63[[#This Row],[Période 0]:[Période 12]])</f>
        <v>0</v>
      </c>
      <c r="S170" s="36" t="str">
        <f>+AVERAGE(Décaissements63[[#This Row],[Période 1]:[Période 12]])</f>
        <v>0</v>
      </c>
    </row>
    <row r="171" spans="1:1024" customHeight="1" ht="17.25">
      <c r="B171" s="89" t="s">
        <v>202</v>
      </c>
      <c r="C171" s="90"/>
      <c r="D171" s="88"/>
      <c r="E171" s="64"/>
      <c r="F171" s="64"/>
      <c r="G171" s="64"/>
      <c r="H171" s="91"/>
      <c r="I171" s="88"/>
      <c r="J171" s="64"/>
      <c r="K171" s="92"/>
      <c r="L171" s="92"/>
      <c r="M171" s="92"/>
      <c r="N171" s="92"/>
      <c r="O171" s="92"/>
      <c r="P171" s="92"/>
      <c r="Q171" s="93"/>
      <c r="R171" s="62" t="str">
        <f>SUM(Décaissements63[[#This Row],[Période 0]:[Période 12]])</f>
        <v>0</v>
      </c>
      <c r="S171" s="36" t="str">
        <f>+AVERAGE(Décaissements63[[#This Row],[Période 1]:[Période 12]])</f>
        <v>0</v>
      </c>
    </row>
    <row r="172" spans="1:1024" customHeight="1" ht="17.25">
      <c r="B172" s="89" t="s">
        <v>203</v>
      </c>
      <c r="C172" s="90"/>
      <c r="D172" s="88"/>
      <c r="E172" s="64"/>
      <c r="F172" s="64"/>
      <c r="G172" s="64">
        <v>586.38</v>
      </c>
      <c r="H172" s="91"/>
      <c r="I172" s="88"/>
      <c r="J172" s="64"/>
      <c r="K172" s="92"/>
      <c r="L172" s="92"/>
      <c r="M172" s="92"/>
      <c r="N172" s="92"/>
      <c r="O172" s="92"/>
      <c r="P172" s="92"/>
      <c r="Q172" s="93"/>
      <c r="R172" s="62" t="str">
        <f>SUM(Décaissements63[[#This Row],[Période 0]:[Période 12]])</f>
        <v>0</v>
      </c>
      <c r="S172" s="36" t="str">
        <f>+AVERAGE(Décaissements63[[#This Row],[Période 1]:[Période 12]])</f>
        <v>0</v>
      </c>
    </row>
    <row r="173" spans="1:1024" customHeight="1" ht="17.25">
      <c r="B173" s="89" t="s">
        <v>204</v>
      </c>
      <c r="C173" s="90"/>
      <c r="D173" s="88"/>
      <c r="E173" s="117"/>
      <c r="F173" s="117"/>
      <c r="G173" s="117"/>
      <c r="H173" s="117"/>
      <c r="I173" s="88"/>
      <c r="J173" s="64"/>
      <c r="K173" s="92"/>
      <c r="L173" s="92"/>
      <c r="M173" s="92"/>
      <c r="N173" s="92"/>
      <c r="O173" s="92"/>
      <c r="P173" s="92"/>
      <c r="Q173" s="93"/>
      <c r="R173" s="62" t="str">
        <f>SUM(Décaissements63[[#This Row],[Période 0]:[Période 12]])</f>
        <v>0</v>
      </c>
      <c r="S173" s="36" t="str">
        <f>+AVERAGE(Décaissements63[[#This Row],[Période 1]:[Période 12]])</f>
        <v>0</v>
      </c>
    </row>
    <row r="174" spans="1:1024" customHeight="1" ht="17.25">
      <c r="B174" s="89" t="s">
        <v>205</v>
      </c>
      <c r="C174" s="90"/>
      <c r="D174" s="88"/>
      <c r="E174" s="64"/>
      <c r="F174" s="64"/>
      <c r="G174" s="64"/>
      <c r="H174" s="91"/>
      <c r="I174" s="88"/>
      <c r="J174" s="64"/>
      <c r="K174" s="92"/>
      <c r="L174" s="92"/>
      <c r="M174" s="92"/>
      <c r="N174" s="92"/>
      <c r="O174" s="92"/>
      <c r="P174" s="92"/>
      <c r="Q174" s="93"/>
      <c r="R174" s="62" t="str">
        <f>SUM(Décaissements63[[#This Row],[Période 0]:[Période 12]])</f>
        <v>0</v>
      </c>
      <c r="S174" s="36" t="str">
        <f>+AVERAGE(Décaissements63[[#This Row],[Période 1]:[Période 12]])</f>
        <v>0</v>
      </c>
    </row>
    <row r="175" spans="1:1024" customHeight="1" ht="17.25">
      <c r="B175" s="89" t="s">
        <v>206</v>
      </c>
      <c r="C175" s="90"/>
      <c r="D175" s="88"/>
      <c r="E175" s="64"/>
      <c r="F175" s="64">
        <v>720</v>
      </c>
      <c r="G175" s="64">
        <v>480</v>
      </c>
      <c r="H175" s="91"/>
      <c r="I175" s="88"/>
      <c r="J175" s="64"/>
      <c r="K175" s="64"/>
      <c r="L175" s="92"/>
      <c r="M175" s="92"/>
      <c r="N175" s="92"/>
      <c r="O175" s="92"/>
      <c r="P175" s="92"/>
      <c r="Q175" s="93"/>
      <c r="R175" s="62" t="str">
        <f>SUM(Décaissements63[[#This Row],[Période 0]:[Période 12]])</f>
        <v>0</v>
      </c>
      <c r="S175" s="36" t="str">
        <f>+AVERAGE(Décaissements63[[#This Row],[Période 1]:[Période 12]])</f>
        <v>0</v>
      </c>
    </row>
    <row r="176" spans="1:1024" customHeight="1" ht="17.25">
      <c r="B176" s="89" t="s">
        <v>207</v>
      </c>
      <c r="C176" s="90"/>
      <c r="D176" s="88"/>
      <c r="E176" s="64"/>
      <c r="F176" s="64"/>
      <c r="G176" s="64"/>
      <c r="H176" s="91"/>
      <c r="I176" s="92"/>
      <c r="J176" s="92"/>
      <c r="K176" s="64"/>
      <c r="L176" s="92"/>
      <c r="M176" s="92"/>
      <c r="N176" s="92"/>
      <c r="O176" s="92"/>
      <c r="P176" s="92"/>
      <c r="Q176" s="93"/>
      <c r="R176" s="62" t="str">
        <f>SUM(Décaissements63[[#This Row],[Période 0]:[Période 12]])</f>
        <v>0</v>
      </c>
      <c r="S176" s="36" t="str">
        <f>+AVERAGE(Décaissements63[[#This Row],[Période 1]:[Période 12]])</f>
        <v>0</v>
      </c>
    </row>
    <row r="177" spans="1:1024" customHeight="1" ht="17.25">
      <c r="B177" s="89" t="s">
        <v>208</v>
      </c>
      <c r="C177" s="90"/>
      <c r="D177" s="88"/>
      <c r="E177" s="64"/>
      <c r="F177" s="64" t="str">
        <f>120+3460.07</f>
        <v>0</v>
      </c>
      <c r="G177" s="64"/>
      <c r="H177" s="91"/>
      <c r="I177" s="88"/>
      <c r="J177" s="64">
        <v>1170</v>
      </c>
      <c r="K177" s="64"/>
      <c r="L177" s="92"/>
      <c r="M177" s="92"/>
      <c r="N177" s="92"/>
      <c r="O177" s="92"/>
      <c r="P177" s="92"/>
      <c r="Q177" s="93"/>
      <c r="R177" s="62" t="str">
        <f>SUM(Décaissements63[[#This Row],[Période 0]:[Période 12]])</f>
        <v>0</v>
      </c>
      <c r="S177" s="36" t="str">
        <f>+AVERAGE(Décaissements63[[#This Row],[Période 1]:[Période 12]])</f>
        <v>0</v>
      </c>
    </row>
    <row r="178" spans="1:1024" customHeight="1" ht="17.25">
      <c r="B178" s="89" t="s">
        <v>209</v>
      </c>
      <c r="C178" s="90"/>
      <c r="D178" s="88"/>
      <c r="E178" s="64"/>
      <c r="F178" s="64"/>
      <c r="G178" s="64"/>
      <c r="H178" s="91"/>
      <c r="I178" s="88"/>
      <c r="J178" s="113"/>
      <c r="K178" s="64"/>
      <c r="L178" s="92"/>
      <c r="M178" s="92"/>
      <c r="N178" s="92"/>
      <c r="O178" s="92"/>
      <c r="P178" s="92"/>
      <c r="Q178" s="93"/>
      <c r="R178" s="62" t="str">
        <f>SUM(Décaissements63[[#This Row],[Période 0]:[Période 12]])</f>
        <v>0</v>
      </c>
      <c r="S178" s="36" t="str">
        <f>+AVERAGE(Décaissements63[[#This Row],[Période 1]:[Période 12]])</f>
        <v>0</v>
      </c>
    </row>
    <row r="179" spans="1:1024" customHeight="1" ht="17.25">
      <c r="B179" s="89" t="s">
        <v>210</v>
      </c>
      <c r="C179" s="90"/>
      <c r="D179" s="88"/>
      <c r="E179" s="64"/>
      <c r="F179" s="64"/>
      <c r="G179" s="64"/>
      <c r="H179" s="92"/>
      <c r="I179" s="88"/>
      <c r="J179" s="113"/>
      <c r="K179" s="92"/>
      <c r="L179" s="92"/>
      <c r="M179" s="92"/>
      <c r="N179" s="92"/>
      <c r="O179" s="92"/>
      <c r="P179" s="92"/>
      <c r="Q179" s="93"/>
      <c r="R179" s="62" t="str">
        <f>SUM(Décaissements63[[#This Row],[Période 0]:[Période 12]])</f>
        <v>0</v>
      </c>
      <c r="S179" s="36" t="str">
        <f>+AVERAGE(Décaissements63[[#This Row],[Période 1]:[Période 12]])</f>
        <v>0</v>
      </c>
    </row>
    <row r="180" spans="1:1024" customHeight="1" ht="17.25">
      <c r="B180" s="89" t="s">
        <v>211</v>
      </c>
      <c r="C180" s="90"/>
      <c r="D180" s="88"/>
      <c r="E180" s="64" t="str">
        <f>650+650</f>
        <v>0</v>
      </c>
      <c r="F180" s="64">
        <v>144.96</v>
      </c>
      <c r="G180" s="64">
        <v>650</v>
      </c>
      <c r="H180" s="91">
        <v>650</v>
      </c>
      <c r="I180" s="92"/>
      <c r="J180" s="92" t="str">
        <f>650+675</f>
        <v>0</v>
      </c>
      <c r="K180" s="92"/>
      <c r="L180" s="92"/>
      <c r="M180" s="92"/>
      <c r="N180" s="92"/>
      <c r="O180" s="92"/>
      <c r="P180" s="92"/>
      <c r="Q180" s="93"/>
      <c r="R180" s="62" t="str">
        <f>SUM(Décaissements63[[#This Row],[Période 0]:[Période 12]])</f>
        <v>0</v>
      </c>
      <c r="S180" s="36" t="str">
        <f>+AVERAGE(Décaissements63[[#This Row],[Période 1]:[Période 12]])</f>
        <v>0</v>
      </c>
    </row>
    <row r="181" spans="1:1024" customHeight="1" ht="17.25">
      <c r="B181" s="89" t="s">
        <v>212</v>
      </c>
      <c r="C181" s="90"/>
      <c r="D181" s="88"/>
      <c r="E181" s="64"/>
      <c r="F181" s="64"/>
      <c r="G181" s="57"/>
      <c r="H181" s="92"/>
      <c r="I181" s="88"/>
      <c r="J181" s="113"/>
      <c r="K181" s="92"/>
      <c r="L181" s="92"/>
      <c r="M181" s="92"/>
      <c r="N181" s="92"/>
      <c r="O181" s="92"/>
      <c r="P181" s="92"/>
      <c r="Q181" s="104"/>
      <c r="R181" s="62" t="str">
        <f>SUM(Décaissements63[[#This Row],[Période 0]:[Période 12]])</f>
        <v>0</v>
      </c>
      <c r="S181" s="36" t="str">
        <f>+AVERAGE(Décaissements63[[#This Row],[Période 1]:[Période 12]])</f>
        <v>0</v>
      </c>
    </row>
    <row r="182" spans="1:1024" customHeight="1" ht="17.25">
      <c r="B182" s="89" t="s">
        <v>213</v>
      </c>
      <c r="C182" s="90"/>
      <c r="D182" s="88"/>
      <c r="E182" s="64"/>
      <c r="F182" s="64"/>
      <c r="G182" s="64" t="str">
        <f>31.2+48</f>
        <v>0</v>
      </c>
      <c r="H182" s="88"/>
      <c r="I182" s="64"/>
      <c r="J182" s="64"/>
      <c r="K182" s="88"/>
      <c r="L182" s="92"/>
      <c r="M182" s="92"/>
      <c r="N182" s="92"/>
      <c r="O182" s="92"/>
      <c r="P182" s="92"/>
      <c r="Q182" s="93"/>
      <c r="R182" s="62" t="str">
        <f>SUM(Décaissements63[[#This Row],[Période 0]:[Période 12]])</f>
        <v>0</v>
      </c>
      <c r="S182" s="36" t="str">
        <f>+AVERAGE(Décaissements63[[#This Row],[Période 1]:[Période 12]])</f>
        <v>0</v>
      </c>
    </row>
    <row r="183" spans="1:1024" customHeight="1" ht="17.25">
      <c r="B183" s="89" t="s">
        <v>214</v>
      </c>
      <c r="C183" s="90"/>
      <c r="D183" s="88"/>
      <c r="E183" s="64"/>
      <c r="F183" s="64"/>
      <c r="G183" s="57"/>
      <c r="H183" s="92"/>
      <c r="I183" s="88"/>
      <c r="J183" s="113"/>
      <c r="K183" s="92"/>
      <c r="L183" s="92"/>
      <c r="M183" s="92"/>
      <c r="N183" s="92"/>
      <c r="O183" s="92"/>
      <c r="P183" s="92"/>
      <c r="Q183" s="104"/>
      <c r="R183" s="62" t="str">
        <f>SUM(Décaissements63[[#This Row],[Période 0]:[Période 12]])</f>
        <v>0</v>
      </c>
      <c r="S183" s="36" t="str">
        <f>+AVERAGE(Décaissements63[[#This Row],[Période 1]:[Période 12]])</f>
        <v>0</v>
      </c>
    </row>
    <row r="184" spans="1:1024" customHeight="1" ht="17.25">
      <c r="B184" s="89" t="s">
        <v>215</v>
      </c>
      <c r="C184" s="90"/>
      <c r="D184" s="88"/>
      <c r="E184" s="64"/>
      <c r="F184" s="64"/>
      <c r="G184" s="64"/>
      <c r="H184" s="64"/>
      <c r="I184" s="88"/>
      <c r="J184" s="88"/>
      <c r="K184" s="64"/>
      <c r="L184" s="92"/>
      <c r="M184" s="92"/>
      <c r="N184" s="92"/>
      <c r="O184" s="92"/>
      <c r="P184" s="92"/>
      <c r="Q184" s="93"/>
      <c r="R184" s="62" t="str">
        <f>SUM(Décaissements63[[#This Row],[Période 0]:[Période 12]])</f>
        <v>0</v>
      </c>
      <c r="S184" s="36" t="str">
        <f>+AVERAGE(Décaissements63[[#This Row],[Période 1]:[Période 12]])</f>
        <v>0</v>
      </c>
    </row>
    <row r="185" spans="1:1024" customHeight="1" ht="17.25">
      <c r="B185" s="89" t="s">
        <v>216</v>
      </c>
      <c r="C185" s="90"/>
      <c r="D185" s="88"/>
      <c r="E185" s="64"/>
      <c r="F185" s="64"/>
      <c r="G185" s="57"/>
      <c r="H185" s="64">
        <v>220.8</v>
      </c>
      <c r="I185" s="88"/>
      <c r="J185" s="88">
        <v>220.8</v>
      </c>
      <c r="K185" s="64"/>
      <c r="L185" s="64"/>
      <c r="M185" s="64"/>
      <c r="N185" s="92"/>
      <c r="O185" s="92"/>
      <c r="P185" s="92"/>
      <c r="Q185" s="104"/>
      <c r="R185" s="62" t="str">
        <f>SUM(Décaissements63[[#This Row],[Période 0]:[Période 12]])</f>
        <v>0</v>
      </c>
      <c r="S185" s="36" t="str">
        <f>+AVERAGE(Décaissements63[[#This Row],[Période 1]:[Période 12]])</f>
        <v>0</v>
      </c>
    </row>
    <row r="186" spans="1:1024" customHeight="1" ht="17.25">
      <c r="B186" s="89" t="s">
        <v>217</v>
      </c>
      <c r="C186" s="90"/>
      <c r="D186" s="88"/>
      <c r="E186" s="64">
        <v>650</v>
      </c>
      <c r="F186" s="64"/>
      <c r="G186" s="88"/>
      <c r="H186" s="92"/>
      <c r="I186" s="88"/>
      <c r="J186" s="88"/>
      <c r="K186" s="92"/>
      <c r="L186" s="92"/>
      <c r="M186" s="92"/>
      <c r="N186" s="92"/>
      <c r="O186" s="92"/>
      <c r="P186" s="92"/>
      <c r="Q186" s="104"/>
      <c r="R186" s="62" t="str">
        <f>SUM(Décaissements63[[#This Row],[Période 0]:[Période 12]])</f>
        <v>0</v>
      </c>
      <c r="S186" s="36" t="str">
        <f>+AVERAGE(Décaissements63[[#This Row],[Période 1]:[Période 12]])</f>
        <v>0</v>
      </c>
    </row>
    <row r="187" spans="1:1024" customHeight="1" ht="17.25">
      <c r="B187" s="89" t="s">
        <v>218</v>
      </c>
      <c r="C187" s="90"/>
      <c r="D187" s="88"/>
      <c r="E187" s="64" t="str">
        <f>31.15+280.01+2200+86.4+1560</f>
        <v>0</v>
      </c>
      <c r="F187" s="64" t="str">
        <f>280.01+1596</f>
        <v>0</v>
      </c>
      <c r="G187" s="64" t="str">
        <f>3960</f>
        <v>0</v>
      </c>
      <c r="H187" s="64">
        <v>61.08</v>
      </c>
      <c r="I187" s="88">
        <v>360</v>
      </c>
      <c r="J187" s="88" t="str">
        <f>2000+577.8+3000+3250</f>
        <v>0</v>
      </c>
      <c r="K187" s="88"/>
      <c r="L187" s="92"/>
      <c r="M187" s="92"/>
      <c r="N187" s="92"/>
      <c r="O187" s="92"/>
      <c r="P187" s="92"/>
      <c r="Q187" s="93"/>
      <c r="R187" s="62" t="str">
        <f>SUM(Décaissements63[[#This Row],[Période 0]:[Période 12]])</f>
        <v>0</v>
      </c>
      <c r="S187" s="36" t="str">
        <f>+AVERAGE(Décaissements63[[#This Row],[Période 1]:[Période 12]])</f>
        <v>0</v>
      </c>
    </row>
    <row r="188" spans="1:1024" customHeight="1" ht="17.25">
      <c r="B188" s="89" t="s">
        <v>219</v>
      </c>
      <c r="C188" s="90"/>
      <c r="D188" s="88"/>
      <c r="E188" s="64"/>
      <c r="F188" s="95"/>
      <c r="G188" s="64"/>
      <c r="H188" s="91"/>
      <c r="I188" s="88"/>
      <c r="J188" s="88"/>
      <c r="K188" s="88"/>
      <c r="L188" s="92"/>
      <c r="M188" s="92"/>
      <c r="N188" s="92"/>
      <c r="O188" s="92"/>
      <c r="P188" s="92"/>
      <c r="Q188" s="93"/>
      <c r="R188" s="62" t="str">
        <f>SUM(Décaissements63[[#This Row],[Période 0]:[Période 12]])</f>
        <v>0</v>
      </c>
      <c r="S188" s="36" t="str">
        <f>+AVERAGE(Décaissements63[[#This Row],[Période 1]:[Période 12]])</f>
        <v>0</v>
      </c>
    </row>
    <row r="189" spans="1:1024" customHeight="1" ht="17.25">
      <c r="B189" s="89" t="s">
        <v>220</v>
      </c>
      <c r="C189" s="90"/>
      <c r="D189" s="88"/>
      <c r="E189" s="64"/>
      <c r="F189" s="64"/>
      <c r="G189" s="64">
        <v>720</v>
      </c>
      <c r="H189" s="64"/>
      <c r="I189" s="88"/>
      <c r="J189" s="88"/>
      <c r="K189" s="92"/>
      <c r="L189" s="92"/>
      <c r="M189" s="92"/>
      <c r="N189" s="92"/>
      <c r="O189" s="92"/>
      <c r="P189" s="92"/>
      <c r="Q189" s="93"/>
      <c r="R189" s="62" t="str">
        <f>SUM(Décaissements63[[#This Row],[Période 0]:[Période 12]])</f>
        <v>0</v>
      </c>
      <c r="S189" s="36" t="str">
        <f>+AVERAGE(Décaissements63[[#This Row],[Période 1]:[Période 12]])</f>
        <v>0</v>
      </c>
    </row>
    <row r="190" spans="1:1024" customHeight="1" ht="17.25">
      <c r="B190" s="89" t="s">
        <v>221</v>
      </c>
      <c r="C190" s="90"/>
      <c r="D190" s="88"/>
      <c r="E190" s="64"/>
      <c r="F190" s="64">
        <v>53.88</v>
      </c>
      <c r="G190" s="64">
        <v>53.88</v>
      </c>
      <c r="H190" s="91">
        <v>53.88</v>
      </c>
      <c r="I190" s="88">
        <v>53.88</v>
      </c>
      <c r="J190" s="88">
        <v>53.88</v>
      </c>
      <c r="K190" s="88"/>
      <c r="L190" s="64"/>
      <c r="M190" s="64"/>
      <c r="N190" s="88"/>
      <c r="O190" s="92"/>
      <c r="P190" s="92"/>
      <c r="Q190" s="93"/>
      <c r="R190" s="62" t="str">
        <f>SUM(Décaissements63[[#This Row],[Période 0]:[Période 12]])</f>
        <v>0</v>
      </c>
      <c r="S190" s="36" t="str">
        <f>+AVERAGE(Décaissements63[[#This Row],[Période 1]:[Période 12]])</f>
        <v>0</v>
      </c>
    </row>
    <row r="191" spans="1:1024" customHeight="1" ht="17.25">
      <c r="B191" s="89" t="s">
        <v>222</v>
      </c>
      <c r="C191" s="90"/>
      <c r="D191" s="88"/>
      <c r="E191" s="64"/>
      <c r="F191" s="64"/>
      <c r="G191" s="88"/>
      <c r="H191" s="64">
        <v>90</v>
      </c>
      <c r="I191" s="92"/>
      <c r="J191" s="88" t="str">
        <f>135+35+207.11+35</f>
        <v>0</v>
      </c>
      <c r="K191" s="92"/>
      <c r="L191" s="92"/>
      <c r="M191" s="92"/>
      <c r="N191" s="92"/>
      <c r="O191" s="92"/>
      <c r="P191" s="92"/>
      <c r="Q191" s="104"/>
      <c r="R191" s="62" t="str">
        <f>SUM(Décaissements63[[#This Row],[Période 0]:[Période 12]])</f>
        <v>0</v>
      </c>
      <c r="S191" s="36" t="str">
        <f>+AVERAGE(Décaissements63[[#This Row],[Période 1]:[Période 12]])</f>
        <v>0</v>
      </c>
    </row>
    <row r="192" spans="1:1024" customHeight="1" ht="17.25">
      <c r="B192" s="78" t="s">
        <v>223</v>
      </c>
      <c r="C192" s="107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9"/>
      <c r="R192" s="110" t="str">
        <f>SUM(Décaissements63[[#This Row],[Période 0]:[Période 12]])</f>
        <v>0</v>
      </c>
      <c r="S192" s="36" t="str">
        <f>+AVERAGE(Décaissements63[[#This Row],[Période 1]:[Période 12]])</f>
        <v>0</v>
      </c>
    </row>
    <row r="193" spans="1:1024" customHeight="1" ht="17.25">
      <c r="B193" s="89" t="s">
        <v>224</v>
      </c>
      <c r="C193" s="90"/>
      <c r="D193" s="88"/>
      <c r="E193" s="64">
        <v>49.99</v>
      </c>
      <c r="F193" s="64">
        <v>80.87</v>
      </c>
      <c r="G193" s="64">
        <v>14.5</v>
      </c>
      <c r="H193" s="88">
        <v>15.8</v>
      </c>
      <c r="I193" s="88">
        <v>126.87</v>
      </c>
      <c r="J193" s="88"/>
      <c r="K193" s="88"/>
      <c r="L193" s="64"/>
      <c r="M193" s="92"/>
      <c r="N193" s="92"/>
      <c r="O193" s="92"/>
      <c r="P193" s="92"/>
      <c r="Q193" s="90"/>
      <c r="R193" s="62"/>
      <c r="S193" s="36" t="str">
        <f>+AVERAGE(Décaissements63[[#This Row],[Période 1]:[Période 12]])</f>
        <v>0</v>
      </c>
    </row>
    <row r="194" spans="1:1024" customHeight="1" ht="17.25">
      <c r="B194" s="89" t="s">
        <v>225</v>
      </c>
      <c r="C194" s="90"/>
      <c r="D194" s="88"/>
      <c r="E194" s="64"/>
      <c r="F194" s="64">
        <v>38.8</v>
      </c>
      <c r="G194" s="64">
        <v>76.89</v>
      </c>
      <c r="H194" s="88"/>
      <c r="I194" s="92">
        <v>24.03</v>
      </c>
      <c r="J194" s="88"/>
      <c r="K194" s="92"/>
      <c r="L194" s="92"/>
      <c r="M194" s="92"/>
      <c r="N194" s="92"/>
      <c r="O194" s="92"/>
      <c r="P194" s="92"/>
      <c r="Q194" s="93"/>
      <c r="R194" s="62" t="str">
        <f>SUM(Décaissements63[[#This Row],[Période 0]:[Période 12]])</f>
        <v>0</v>
      </c>
      <c r="S194" s="36" t="str">
        <f>+AVERAGE(Décaissements63[[#This Row],[Période 1]:[Période 12]])</f>
        <v>0</v>
      </c>
    </row>
    <row r="195" spans="1:1024" customHeight="1" ht="17.25">
      <c r="B195" s="89" t="s">
        <v>226</v>
      </c>
      <c r="C195" s="90"/>
      <c r="D195" s="88"/>
      <c r="E195" s="64"/>
      <c r="F195" s="64"/>
      <c r="G195" s="64">
        <v>159.85</v>
      </c>
      <c r="H195" s="88"/>
      <c r="I195" s="88">
        <v>238.4</v>
      </c>
      <c r="J195" s="88"/>
      <c r="K195" s="92"/>
      <c r="L195" s="92"/>
      <c r="M195" s="92"/>
      <c r="N195" s="92"/>
      <c r="O195" s="92"/>
      <c r="P195" s="92"/>
      <c r="Q195" s="90"/>
      <c r="R195" s="62"/>
      <c r="S195" s="36" t="str">
        <f>+AVERAGE(Décaissements63[[#This Row],[Période 1]:[Période 12]])</f>
        <v>0</v>
      </c>
    </row>
    <row r="196" spans="1:1024" customHeight="1" ht="17.25">
      <c r="B196" s="89" t="s">
        <v>227</v>
      </c>
      <c r="C196" s="90"/>
      <c r="D196" s="88"/>
      <c r="E196" s="64"/>
      <c r="F196" s="64"/>
      <c r="G196" s="64"/>
      <c r="H196" s="88"/>
      <c r="I196" s="88"/>
      <c r="J196" s="88"/>
      <c r="K196" s="92"/>
      <c r="L196" s="92"/>
      <c r="M196" s="92"/>
      <c r="N196" s="92"/>
      <c r="O196" s="92"/>
      <c r="P196" s="92"/>
      <c r="Q196" s="90"/>
      <c r="R196" s="62"/>
      <c r="S196" s="36" t="str">
        <f>+AVERAGE(Décaissements63[[#This Row],[Période 1]:[Période 12]])</f>
        <v>0</v>
      </c>
    </row>
    <row r="197" spans="1:1024" customHeight="1" ht="17.25">
      <c r="B197" s="89" t="s">
        <v>228</v>
      </c>
      <c r="C197" s="90"/>
      <c r="D197" s="88"/>
      <c r="E197" s="64" t="str">
        <f>42+35+118+31.9+50</f>
        <v>0</v>
      </c>
      <c r="F197" s="64" t="str">
        <f>120+48.5+172.8+50+50+21.7+300</f>
        <v>0</v>
      </c>
      <c r="G197" s="64" t="str">
        <f>158.2+122+149.7+120+122.2</f>
        <v>0</v>
      </c>
      <c r="H197" s="88" t="str">
        <f>105.8+70+50+119.9+68.5+85.4+94.5</f>
        <v>0</v>
      </c>
      <c r="I197" s="88" t="str">
        <f>100+115.1+40+38+57.6+152.3+130+88.3+8.9+40+50+300</f>
        <v>0</v>
      </c>
      <c r="J197" s="88" t="str">
        <f>76.9+1050+111.2+319.5+64+88+50+316+350+200+50+85+81</f>
        <v>0</v>
      </c>
      <c r="K197" s="88"/>
      <c r="L197" s="88"/>
      <c r="M197" s="92"/>
      <c r="N197" s="92"/>
      <c r="O197" s="92"/>
      <c r="P197" s="92"/>
      <c r="Q197" s="93"/>
      <c r="R197" s="62" t="str">
        <f>SUM(Décaissements63[[#This Row],[Période 0]:[Période 12]])</f>
        <v>0</v>
      </c>
      <c r="S197" s="36" t="str">
        <f>+AVERAGE(Décaissements63[[#This Row],[Période 1]:[Période 12]])</f>
        <v>0</v>
      </c>
    </row>
    <row r="198" spans="1:1024" customHeight="1" ht="17.25">
      <c r="B198" s="89" t="s">
        <v>229</v>
      </c>
      <c r="C198" s="90"/>
      <c r="D198" s="88"/>
      <c r="E198" s="64"/>
      <c r="F198" s="64"/>
      <c r="G198" s="64"/>
      <c r="H198" s="88"/>
      <c r="I198" s="88"/>
      <c r="J198" s="88"/>
      <c r="K198" s="92"/>
      <c r="L198" s="92"/>
      <c r="M198" s="92"/>
      <c r="N198" s="92"/>
      <c r="O198" s="92"/>
      <c r="P198" s="92"/>
      <c r="Q198" s="93"/>
      <c r="R198" s="62" t="str">
        <f>SUM(Décaissements63[[#This Row],[Période 0]:[Période 12]])</f>
        <v>0</v>
      </c>
      <c r="S198" s="36" t="str">
        <f>+AVERAGE(Décaissements63[[#This Row],[Période 1]:[Période 12]])</f>
        <v>0</v>
      </c>
    </row>
    <row r="199" spans="1:1024" customHeight="1" ht="17.25">
      <c r="B199" s="89" t="s">
        <v>230</v>
      </c>
      <c r="C199" s="90"/>
      <c r="D199" s="88"/>
      <c r="E199" s="64"/>
      <c r="F199" s="64"/>
      <c r="G199" s="64"/>
      <c r="H199" s="88"/>
      <c r="I199" s="88"/>
      <c r="J199" s="88"/>
      <c r="K199" s="92"/>
      <c r="L199" s="92"/>
      <c r="M199" s="92"/>
      <c r="N199" s="92"/>
      <c r="O199" s="92"/>
      <c r="P199" s="92"/>
      <c r="Q199" s="93"/>
      <c r="R199" s="62" t="str">
        <f>SUM(Décaissements63[[#This Row],[Période 0]:[Période 12]])</f>
        <v>0</v>
      </c>
      <c r="S199" s="36" t="str">
        <f>+AVERAGE(Décaissements63[[#This Row],[Période 1]:[Période 12]])</f>
        <v>0</v>
      </c>
    </row>
    <row r="200" spans="1:1024" customHeight="1" ht="17.25">
      <c r="B200" s="89" t="s">
        <v>231</v>
      </c>
      <c r="C200" s="90"/>
      <c r="D200" s="88"/>
      <c r="E200" s="64"/>
      <c r="F200" s="64">
        <v>92</v>
      </c>
      <c r="G200" s="64"/>
      <c r="H200" s="88"/>
      <c r="I200" s="88"/>
      <c r="J200" s="88"/>
      <c r="K200" s="92"/>
      <c r="L200" s="92"/>
      <c r="M200" s="92"/>
      <c r="N200" s="92"/>
      <c r="O200" s="92"/>
      <c r="P200" s="92"/>
      <c r="Q200" s="105"/>
      <c r="R200" s="62"/>
      <c r="S200" s="36" t="str">
        <f>+AVERAGE(Décaissements63[[#This Row],[Période 1]:[Période 12]])</f>
        <v>0</v>
      </c>
    </row>
    <row r="201" spans="1:1024" customHeight="1" ht="17.25">
      <c r="B201" s="89" t="s">
        <v>232</v>
      </c>
      <c r="C201" s="90"/>
      <c r="D201" s="88"/>
      <c r="E201" s="64"/>
      <c r="F201" s="64">
        <v>8.6</v>
      </c>
      <c r="G201" s="64">
        <v>12</v>
      </c>
      <c r="H201" s="88"/>
      <c r="I201" s="88">
        <v>15</v>
      </c>
      <c r="J201" s="88"/>
      <c r="K201" s="88"/>
      <c r="L201" s="88"/>
      <c r="M201" s="92"/>
      <c r="N201" s="92"/>
      <c r="O201" s="92"/>
      <c r="P201" s="92"/>
      <c r="Q201" s="93"/>
      <c r="R201" s="62" t="str">
        <f>SUM(Décaissements63[[#This Row],[Période 0]:[Période 12]])</f>
        <v>0</v>
      </c>
      <c r="S201" s="36" t="str">
        <f>+AVERAGE(Décaissements63[[#This Row],[Période 1]:[Période 12]])</f>
        <v>0</v>
      </c>
    </row>
    <row r="202" spans="1:1024" customHeight="1" ht="17.25">
      <c r="B202" s="89" t="s">
        <v>233</v>
      </c>
      <c r="C202" s="90"/>
      <c r="D202" s="88"/>
      <c r="E202" s="64"/>
      <c r="F202" s="64"/>
      <c r="G202" s="64">
        <v>649</v>
      </c>
      <c r="H202" s="91"/>
      <c r="I202" s="91"/>
      <c r="J202" s="92"/>
      <c r="K202" s="92"/>
      <c r="L202" s="92"/>
      <c r="M202" s="92"/>
      <c r="N202" s="92"/>
      <c r="O202" s="92"/>
      <c r="P202" s="92"/>
      <c r="Q202" s="93"/>
      <c r="R202" s="62" t="str">
        <f>SUM(Décaissements63[[#This Row],[Période 0]:[Période 12]])</f>
        <v>0</v>
      </c>
      <c r="S202" s="36" t="str">
        <f>+AVERAGE(Décaissements63[[#This Row],[Période 1]:[Période 12]])</f>
        <v>0</v>
      </c>
    </row>
    <row r="203" spans="1:1024" customHeight="1" ht="17.25">
      <c r="B203" s="89" t="s">
        <v>234</v>
      </c>
      <c r="C203" s="61"/>
      <c r="D203" s="57"/>
      <c r="E203" s="64"/>
      <c r="F203" s="64"/>
      <c r="G203" s="64"/>
      <c r="H203" s="57"/>
      <c r="I203" s="92"/>
      <c r="J203" s="92"/>
      <c r="K203" s="92"/>
      <c r="L203" s="92"/>
      <c r="M203" s="92"/>
      <c r="N203" s="92"/>
      <c r="O203" s="92"/>
      <c r="P203" s="92"/>
      <c r="Q203" s="80"/>
      <c r="S203" s="36" t="str">
        <f>+AVERAGE(Décaissements63[[#This Row],[Période 1]:[Période 12]])</f>
        <v>0</v>
      </c>
    </row>
    <row r="204" spans="1:1024" customHeight="1" ht="17.25">
      <c r="B204" s="78" t="s">
        <v>235</v>
      </c>
      <c r="C204" s="107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9"/>
      <c r="R204" s="110" t="str">
        <f>SUM(Décaissements63[[#This Row],[Période 0]:[Période 12]])</f>
        <v>0</v>
      </c>
      <c r="S204" s="36" t="str">
        <f>+AVERAGE(Décaissements63[[#This Row],[Période 1]:[Période 12]])</f>
        <v>0</v>
      </c>
    </row>
    <row r="205" spans="1:1024" customHeight="1" ht="17.25">
      <c r="B205" s="118" t="s">
        <v>236</v>
      </c>
      <c r="C205" s="90"/>
      <c r="D205" s="88"/>
      <c r="E205" s="88"/>
      <c r="F205" s="88"/>
      <c r="G205" s="64"/>
      <c r="H205" s="88"/>
      <c r="I205" s="92"/>
      <c r="J205" s="88"/>
      <c r="K205" s="88"/>
      <c r="L205" s="88"/>
      <c r="M205" s="88"/>
      <c r="N205" s="88"/>
      <c r="O205" s="88"/>
      <c r="P205" s="88"/>
      <c r="Q205" s="93"/>
      <c r="R205" s="62" t="str">
        <f>SUM(Décaissements63[[#This Row],[Période 0]:[Période 12]])</f>
        <v>0</v>
      </c>
      <c r="S205" s="36" t="str">
        <f>+AVERAGE(Décaissements63[[#This Row],[Période 1]:[Période 12]])</f>
        <v>0</v>
      </c>
    </row>
    <row r="206" spans="1:1024" customHeight="1" ht="17.25">
      <c r="B206" s="119" t="s">
        <v>38</v>
      </c>
      <c r="C206" s="69"/>
      <c r="D206" s="68" t="str">
        <f>SUBTOTAL(109,Décaissements63[Période 0])</f>
        <v>0</v>
      </c>
      <c r="E206" s="68" t="str">
        <f>SUBTOTAL(109,Décaissements63[Période 1])</f>
        <v>0</v>
      </c>
      <c r="F206" s="68" t="str">
        <f>SUBTOTAL(109,Décaissements63[Période 2])</f>
        <v>0</v>
      </c>
      <c r="G206" s="68" t="str">
        <f>SUBTOTAL(109,Décaissements63[Période 3])</f>
        <v>0</v>
      </c>
      <c r="H206" s="68" t="str">
        <f>SUBTOTAL(109,Décaissements63[Période 4])</f>
        <v>0</v>
      </c>
      <c r="I206" s="120" t="str">
        <f>SUBTOTAL(109,Décaissements63[Période 5])</f>
        <v>0</v>
      </c>
      <c r="J206" s="68" t="str">
        <f>SUBTOTAL(109,Décaissements63[Période 6])</f>
        <v>0</v>
      </c>
      <c r="K206" s="68" t="str">
        <f>SUBTOTAL(109,Décaissements63[Période 7])</f>
        <v>0</v>
      </c>
      <c r="L206" s="68" t="str">
        <f>SUBTOTAL(109,Décaissements63[Période 8])</f>
        <v>0</v>
      </c>
      <c r="M206" s="68" t="str">
        <f>SUBTOTAL(109,Décaissements63[Période 9])</f>
        <v>0</v>
      </c>
      <c r="N206" s="68" t="str">
        <f>SUBTOTAL(109,Décaissements63[Période 10])</f>
        <v>0</v>
      </c>
      <c r="O206" s="68" t="str">
        <f>SUBTOTAL(109,Décaissements63[Période 11])</f>
        <v>0</v>
      </c>
      <c r="P206" s="68" t="str">
        <f>SUBTOTAL(109,Décaissements63[Période 12])</f>
        <v>0</v>
      </c>
      <c r="Q206" s="69"/>
      <c r="R206" s="68" t="str">
        <f>SUBTOTAL(109,Décaissements63[Total])</f>
        <v>0</v>
      </c>
      <c r="S206" s="68"/>
      <c r="T206" s="68"/>
    </row>
    <row r="207" spans="1:1024" customHeight="1" ht="17.25"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</row>
    <row r="208" spans="1:1024" customHeight="1" ht="17.25">
      <c r="B208" s="122" t="s">
        <v>237</v>
      </c>
      <c r="C208" s="71"/>
      <c r="Q208" s="61"/>
    </row>
    <row r="210" spans="1:1024" customHeight="1" ht="17.25">
      <c r="B210" s="63"/>
      <c r="C210" s="61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61"/>
    </row>
    <row r="211" spans="1:1024" customHeight="1" ht="17.25">
      <c r="B211" s="44" t="s">
        <v>38</v>
      </c>
      <c r="C211" s="61"/>
      <c r="D211" s="36" t="str">
        <f>SUBTOTAL(109,Décaissements274[Période 0])</f>
        <v>0</v>
      </c>
      <c r="E211" s="36" t="str">
        <f>SUBTOTAL(109,Décaissements274[Période 1])</f>
        <v>0</v>
      </c>
      <c r="F211" s="36" t="str">
        <f>SUBTOTAL(109,Décaissements274[Période 2])</f>
        <v>0</v>
      </c>
      <c r="G211" s="36" t="str">
        <f>SUBTOTAL(109,Décaissements274[Période 3])</f>
        <v>0</v>
      </c>
      <c r="H211" s="36" t="str">
        <f>SUBTOTAL(109,Décaissements274[Période 4])</f>
        <v>0</v>
      </c>
      <c r="I211" s="36" t="str">
        <f>SUBTOTAL(109,Décaissements274[Période 5])</f>
        <v>0</v>
      </c>
      <c r="J211" s="36" t="str">
        <f>SUBTOTAL(109,Décaissements274[Période 6])</f>
        <v>0</v>
      </c>
      <c r="K211" s="36" t="str">
        <f>SUBTOTAL(109,Décaissements274[Période 7])</f>
        <v>0</v>
      </c>
      <c r="L211" s="36" t="str">
        <f>SUBTOTAL(109,Décaissements274[Période 8])</f>
        <v>0</v>
      </c>
      <c r="M211" s="36" t="str">
        <f>SUBTOTAL(109,Décaissements274[Période 9])</f>
        <v>0</v>
      </c>
      <c r="N211" s="36" t="str">
        <f>SUBTOTAL(109,Décaissements274[Période 10])</f>
        <v>0</v>
      </c>
      <c r="O211" s="36" t="str">
        <f>SUBTOTAL(109,Décaissements274[Période 11])</f>
        <v>0</v>
      </c>
      <c r="P211" s="36" t="str">
        <f>SUBTOTAL(109,Décaissements274[Période 12])</f>
        <v>0</v>
      </c>
      <c r="Q211" s="61"/>
      <c r="R211" s="36" t="str">
        <f>SUBTOTAL(109,Décaissements274[Total])</f>
        <v>0</v>
      </c>
      <c r="S211" s="106"/>
    </row>
    <row r="212" spans="1:1024" customHeight="1" ht="17.25">
      <c r="B212" s="70" t="s">
        <v>238</v>
      </c>
      <c r="C212" s="71"/>
      <c r="D212" s="74" t="str">
        <f>SUM(Décaissements63[Période 0],Décaissements274[Période 0])</f>
        <v>0</v>
      </c>
      <c r="E212" s="74" t="str">
        <f>SUM(Décaissements63[Période 1],Décaissements274[Période 1])</f>
        <v>0</v>
      </c>
      <c r="F212" s="74" t="str">
        <f>SUM(Décaissements63[Période 2],Décaissements274[Période 2])</f>
        <v>0</v>
      </c>
      <c r="G212" s="74" t="str">
        <f>SUM(Décaissements63[Période 3],Décaissements274[Période 3])</f>
        <v>0</v>
      </c>
      <c r="H212" s="74" t="str">
        <f>SUM(Décaissements63[Période 4],Décaissements274[Période 4])</f>
        <v>0</v>
      </c>
      <c r="I212" s="74" t="str">
        <f>SUM(Décaissements63[Période 5],Décaissements274[Période 5])</f>
        <v>0</v>
      </c>
      <c r="J212" s="74" t="str">
        <f>SUM(Décaissements63[Période 6],Décaissements274[Période 6])</f>
        <v>0</v>
      </c>
      <c r="K212" s="74" t="str">
        <f>SUM(Décaissements63[Période 7],Décaissements274[Période 7])</f>
        <v>0</v>
      </c>
      <c r="L212" s="74" t="str">
        <f>SUM(Décaissements63[Période 8],Décaissements274[Période 8])</f>
        <v>0</v>
      </c>
      <c r="M212" s="74" t="str">
        <f>SUM(Décaissements63[Période 9],Décaissements274[Période 9])</f>
        <v>0</v>
      </c>
      <c r="N212" s="74" t="str">
        <f>SUM(Décaissements63[Période 10],Décaissements274[Période 10])</f>
        <v>0</v>
      </c>
      <c r="O212" s="74" t="str">
        <f>SUM(Décaissements63[Période 11],Décaissements274[Période 11])</f>
        <v>0</v>
      </c>
      <c r="P212" s="74" t="str">
        <f>SUM(Décaissements63[Période 12],Décaissements274[Période 12])</f>
        <v>0</v>
      </c>
      <c r="Q212" s="71"/>
      <c r="R212" s="74" t="str">
        <f>SUM(Décaissements63[Total],Décaissements274[Total])</f>
        <v>0</v>
      </c>
      <c r="S212" s="123"/>
    </row>
    <row r="213" spans="1:1024" customHeight="1" ht="17.25"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</row>
    <row r="214" spans="1:1024" customHeight="1" ht="17.25">
      <c r="B214" s="70" t="s">
        <v>239</v>
      </c>
      <c r="C214" s="71"/>
      <c r="D214" s="74" t="str">
        <f>D13-D212</f>
        <v>0</v>
      </c>
      <c r="E214" s="74" t="str">
        <f>E13-E212</f>
        <v>0</v>
      </c>
      <c r="F214" s="74" t="str">
        <f>F13-F212</f>
        <v>0</v>
      </c>
      <c r="G214" s="74" t="str">
        <f>G13-G212</f>
        <v>0</v>
      </c>
      <c r="H214" s="74" t="str">
        <f>H13-H212</f>
        <v>0</v>
      </c>
      <c r="I214" s="74" t="str">
        <f>I13-I212</f>
        <v>0</v>
      </c>
      <c r="J214" s="74" t="str">
        <f>J13-J212</f>
        <v>0</v>
      </c>
      <c r="K214" s="74" t="str">
        <f>K13-K212</f>
        <v>0</v>
      </c>
      <c r="L214" s="74" t="str">
        <f>L13-L212</f>
        <v>0</v>
      </c>
      <c r="M214" s="74" t="str">
        <f>M13-M212</f>
        <v>0</v>
      </c>
      <c r="N214" s="74" t="str">
        <f>N13-N212</f>
        <v>0</v>
      </c>
      <c r="O214" s="74" t="str">
        <f>O13-O212</f>
        <v>0</v>
      </c>
      <c r="P214" s="74" t="str">
        <f>P13-P212</f>
        <v>0</v>
      </c>
      <c r="Q214" s="71"/>
      <c r="R214" s="74" t="str">
        <f>R13-R212</f>
        <v>0</v>
      </c>
      <c r="S214" s="123"/>
    </row>
    <row r="218" spans="1:1024" customHeight="1" ht="17.25">
      <c r="J218" s="1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S14"/>
    <mergeCell ref="B207:S207"/>
    <mergeCell ref="B213:S213"/>
  </mergeCells>
  <conditionalFormatting sqref="E4:P4">
    <cfRule type="expression" dxfId="4" priority="1">
      <formula>E4&lt;0</formula>
    </cfRule>
  </conditionalFormatting>
  <conditionalFormatting sqref="E214:P214">
    <cfRule type="expression" dxfId="5" priority="2">
      <formula>E214&lt;0</formula>
    </cfRule>
  </conditionalFormatting>
  <conditionalFormatting sqref="E13:P13">
    <cfRule type="expression" dxfId="6" priority="3">
      <formula>E13&lt;0</formula>
    </cfRule>
  </conditionalFormatting>
  <conditionalFormatting sqref="E6:P6">
    <cfRule type="expression" dxfId="7" priority="4">
      <formula>E6&lt;0</formula>
    </cfRule>
  </conditionalFormatting>
  <conditionalFormatting sqref="E5:P5">
    <cfRule type="expression" dxfId="8" priority="5">
      <formula>E5&lt;0</formula>
    </cfRule>
  </conditionalFormatting>
  <printOptions gridLines="false" gridLinesSet="true" horizontalCentered="true" verticalCentered="true"/>
  <pageMargins left="0.5" right="0.5" top="0.5" bottom="0.5" header="0.3" footer="0.51180555555555"/>
  <pageSetup paperSize="1" orientation="landscape" scale="100" fitToHeight="0" fitToWidth="1" pageOrder="downThenOver"/>
  <headerFooter differentOddEven="false" differentFirst="false" scaleWithDoc="true" alignWithMargins="true">
    <oddHeader>&amp;CMGC PRESTIGE </oddHeader>
    <oddFooter/>
    <evenHeader/>
    <evenFooter/>
    <firstHeader/>
    <firstFooter/>
  </headerFooter>
  <legacyDrawing r:id="rId_comments_vml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MJ91"/>
  <sheetViews>
    <sheetView tabSelected="0" workbookViewId="0" showGridLines="true" showRowColHeaders="1">
      <pane ySplit="1" topLeftCell="A17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17.86" customWidth="true" style="125"/>
    <col min="2" max="2" width="32.85" customWidth="true" style="126"/>
    <col min="3" max="3" width="29.99" customWidth="true" style="127"/>
    <col min="4" max="4" width="29.99" customWidth="true" style="6"/>
    <col min="5" max="5" width="47" customWidth="true" style="127"/>
    <col min="6" max="6" width="22.14" customWidth="true" style="128"/>
    <col min="7" max="7" width="22.14" customWidth="true" style="128"/>
    <col min="8" max="8" width="11.85" customWidth="true" style="6"/>
    <col min="9" max="9" width="9.13" customWidth="true" style="6"/>
    <col min="10" max="10" width="13.14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129" t="s">
        <v>240</v>
      </c>
      <c r="B1" s="129" t="s">
        <v>241</v>
      </c>
      <c r="C1" s="129" t="s">
        <v>242</v>
      </c>
      <c r="D1" s="129" t="s">
        <v>243</v>
      </c>
      <c r="E1" s="129" t="s">
        <v>244</v>
      </c>
      <c r="F1" s="130" t="s">
        <v>245</v>
      </c>
      <c r="G1" s="130" t="s">
        <v>246</v>
      </c>
      <c r="H1" s="131" t="s">
        <v>247</v>
      </c>
    </row>
    <row r="2" spans="1:1024" customHeight="1" ht="18.6">
      <c r="A2" s="132" t="s">
        <v>248</v>
      </c>
      <c r="B2" s="133" t="s">
        <v>249</v>
      </c>
      <c r="C2" s="134" t="s">
        <v>250</v>
      </c>
      <c r="D2" s="135">
        <v>20.88</v>
      </c>
      <c r="E2" s="136"/>
      <c r="F2" s="137">
        <v>44570</v>
      </c>
      <c r="G2" s="137"/>
      <c r="H2" s="138"/>
    </row>
    <row r="3" spans="1:1024" customHeight="1" ht="18.6">
      <c r="A3" s="132"/>
      <c r="B3" s="139" t="s">
        <v>251</v>
      </c>
      <c r="C3" s="140" t="s">
        <v>252</v>
      </c>
      <c r="D3" s="141">
        <v>2034.65</v>
      </c>
      <c r="E3" s="142" t="s">
        <v>253</v>
      </c>
      <c r="F3" s="143">
        <v>44571</v>
      </c>
      <c r="G3" s="143">
        <v>44576</v>
      </c>
      <c r="H3" s="144" t="s">
        <v>254</v>
      </c>
    </row>
    <row r="4" spans="1:1024" customHeight="1" ht="18.6">
      <c r="A4" s="132"/>
      <c r="B4" s="139" t="s">
        <v>255</v>
      </c>
      <c r="C4" s="140" t="s">
        <v>256</v>
      </c>
      <c r="D4" s="141">
        <v>180.56</v>
      </c>
      <c r="E4" s="142"/>
      <c r="F4" s="143">
        <v>44574</v>
      </c>
      <c r="G4" s="143"/>
      <c r="H4" s="144"/>
    </row>
    <row r="5" spans="1:1024" customHeight="1" ht="18.6">
      <c r="A5" s="132"/>
      <c r="B5" s="139" t="s">
        <v>147</v>
      </c>
      <c r="C5" s="140" t="s">
        <v>257</v>
      </c>
      <c r="D5" s="141">
        <v>6639.05</v>
      </c>
      <c r="E5" s="142" t="s">
        <v>258</v>
      </c>
      <c r="F5" s="143">
        <v>44576</v>
      </c>
      <c r="G5" s="143">
        <v>44575</v>
      </c>
      <c r="H5" s="144" t="s">
        <v>254</v>
      </c>
    </row>
    <row r="6" spans="1:1024" customHeight="1" ht="18.6">
      <c r="A6" s="132"/>
      <c r="B6" s="139" t="s">
        <v>147</v>
      </c>
      <c r="C6" s="140" t="s">
        <v>259</v>
      </c>
      <c r="D6" s="141">
        <v>6594.44</v>
      </c>
      <c r="E6" s="142" t="s">
        <v>253</v>
      </c>
      <c r="F6" s="143">
        <v>44576</v>
      </c>
      <c r="G6" s="143">
        <v>44575</v>
      </c>
      <c r="H6" s="144" t="s">
        <v>254</v>
      </c>
    </row>
    <row r="7" spans="1:1024" customHeight="1" ht="18.6">
      <c r="A7" s="132"/>
      <c r="B7" s="139" t="s">
        <v>147</v>
      </c>
      <c r="C7" s="140" t="s">
        <v>260</v>
      </c>
      <c r="D7" s="141">
        <v>6727.71</v>
      </c>
      <c r="E7" s="142" t="s">
        <v>258</v>
      </c>
      <c r="F7" s="143">
        <v>44576</v>
      </c>
      <c r="G7" s="143">
        <v>44575</v>
      </c>
      <c r="H7" s="144" t="s">
        <v>254</v>
      </c>
    </row>
    <row r="8" spans="1:1024" customHeight="1" ht="18.6">
      <c r="A8" s="132"/>
      <c r="B8" s="139" t="s">
        <v>261</v>
      </c>
      <c r="C8" s="140" t="s">
        <v>262</v>
      </c>
      <c r="D8" s="145">
        <v>300</v>
      </c>
      <c r="E8" s="146" t="s">
        <v>263</v>
      </c>
      <c r="F8" s="147">
        <v>44592</v>
      </c>
      <c r="G8" s="143">
        <v>44592</v>
      </c>
      <c r="H8" s="144" t="s">
        <v>254</v>
      </c>
    </row>
    <row r="9" spans="1:1024" customHeight="1" ht="18.6">
      <c r="A9" s="132"/>
      <c r="B9" s="139" t="s">
        <v>264</v>
      </c>
      <c r="C9" s="140" t="s">
        <v>265</v>
      </c>
      <c r="D9" s="141">
        <v>438.37</v>
      </c>
      <c r="E9" s="142" t="s">
        <v>266</v>
      </c>
      <c r="F9" s="143">
        <v>44592</v>
      </c>
      <c r="G9" s="143"/>
      <c r="H9" s="144"/>
    </row>
    <row r="10" spans="1:1024" customHeight="1" ht="18.6">
      <c r="A10" s="132"/>
      <c r="B10" s="139" t="s">
        <v>264</v>
      </c>
      <c r="C10" s="140" t="s">
        <v>267</v>
      </c>
      <c r="D10" s="141">
        <v>122.11</v>
      </c>
      <c r="E10" s="142" t="s">
        <v>268</v>
      </c>
      <c r="F10" s="143">
        <v>44592</v>
      </c>
      <c r="G10" s="143"/>
      <c r="H10" s="144"/>
    </row>
    <row r="11" spans="1:1024" customHeight="1" ht="18.6">
      <c r="A11" s="132"/>
      <c r="B11" s="139" t="s">
        <v>264</v>
      </c>
      <c r="C11" s="140" t="s">
        <v>269</v>
      </c>
      <c r="D11" s="141">
        <v>14190.11</v>
      </c>
      <c r="E11" s="142" t="s">
        <v>270</v>
      </c>
      <c r="F11" s="143">
        <v>44592</v>
      </c>
      <c r="G11" s="143"/>
      <c r="H11" s="144"/>
    </row>
    <row r="12" spans="1:1024" customHeight="1" ht="18.6">
      <c r="A12" s="132"/>
      <c r="B12" s="139" t="s">
        <v>271</v>
      </c>
      <c r="C12" s="140" t="s">
        <v>272</v>
      </c>
      <c r="D12" s="141">
        <v>134.11</v>
      </c>
      <c r="E12" s="142" t="s">
        <v>253</v>
      </c>
      <c r="F12" s="143">
        <v>44592</v>
      </c>
      <c r="G12" s="143"/>
      <c r="H12" s="144"/>
    </row>
    <row r="13" spans="1:1024" customHeight="1" ht="18.6">
      <c r="A13" s="132"/>
      <c r="B13" s="139" t="s">
        <v>273</v>
      </c>
      <c r="C13" s="140" t="s">
        <v>274</v>
      </c>
      <c r="D13" s="141">
        <v>1665.67</v>
      </c>
      <c r="E13" s="142"/>
      <c r="F13" s="143">
        <v>44592</v>
      </c>
      <c r="G13" s="143">
        <v>44592</v>
      </c>
      <c r="H13" s="144" t="s">
        <v>254</v>
      </c>
    </row>
    <row r="14" spans="1:1024" customHeight="1" ht="18.6">
      <c r="A14" s="132"/>
      <c r="B14" s="139" t="s">
        <v>275</v>
      </c>
      <c r="C14" s="140" t="s">
        <v>276</v>
      </c>
      <c r="D14" s="141">
        <v>22364.4</v>
      </c>
      <c r="E14" s="142" t="s">
        <v>253</v>
      </c>
      <c r="F14" s="143">
        <v>44592</v>
      </c>
      <c r="G14" s="143">
        <v>44592</v>
      </c>
      <c r="H14" s="144" t="s">
        <v>254</v>
      </c>
    </row>
    <row r="15" spans="1:1024" customHeight="1" ht="18.6">
      <c r="A15" s="132"/>
      <c r="B15" s="139" t="s">
        <v>275</v>
      </c>
      <c r="C15" s="140" t="s">
        <v>277</v>
      </c>
      <c r="D15" s="141">
        <v>4814.58</v>
      </c>
      <c r="E15" s="142" t="s">
        <v>278</v>
      </c>
      <c r="F15" s="143">
        <v>44592</v>
      </c>
      <c r="G15" s="143">
        <v>44592</v>
      </c>
      <c r="H15" s="144"/>
    </row>
    <row r="16" spans="1:1024" customHeight="1" ht="18.6">
      <c r="A16" s="132"/>
      <c r="B16" s="139" t="s">
        <v>275</v>
      </c>
      <c r="C16" s="140" t="s">
        <v>279</v>
      </c>
      <c r="D16" s="141">
        <v>3173.34</v>
      </c>
      <c r="E16" s="142" t="s">
        <v>280</v>
      </c>
      <c r="F16" s="143">
        <v>44592</v>
      </c>
      <c r="G16" s="143">
        <v>44592</v>
      </c>
      <c r="H16" s="144" t="s">
        <v>254</v>
      </c>
    </row>
    <row r="17" spans="1:1024" customHeight="1" ht="18.6">
      <c r="A17" s="132"/>
      <c r="B17" s="139" t="s">
        <v>275</v>
      </c>
      <c r="C17" s="140" t="s">
        <v>281</v>
      </c>
      <c r="D17" s="141">
        <v>579.72</v>
      </c>
      <c r="E17" s="142" t="s">
        <v>280</v>
      </c>
      <c r="F17" s="143">
        <v>44592</v>
      </c>
      <c r="G17" s="143">
        <v>44592</v>
      </c>
      <c r="H17" s="144" t="s">
        <v>254</v>
      </c>
    </row>
    <row r="18" spans="1:1024" customHeight="1" ht="18.6">
      <c r="A18" s="132"/>
      <c r="B18" s="139" t="s">
        <v>275</v>
      </c>
      <c r="C18" s="140" t="s">
        <v>282</v>
      </c>
      <c r="D18" s="141">
        <v>3456.06</v>
      </c>
      <c r="E18" s="142" t="s">
        <v>283</v>
      </c>
      <c r="F18" s="143">
        <v>44592</v>
      </c>
      <c r="G18" s="143">
        <v>44592</v>
      </c>
      <c r="H18" s="144" t="s">
        <v>254</v>
      </c>
    </row>
    <row r="19" spans="1:1024" customHeight="1" ht="18.6">
      <c r="A19" s="132"/>
      <c r="B19" s="139" t="s">
        <v>284</v>
      </c>
      <c r="C19" s="140" t="s">
        <v>285</v>
      </c>
      <c r="D19" s="141">
        <v>12007.62</v>
      </c>
      <c r="E19" s="142" t="s">
        <v>286</v>
      </c>
      <c r="F19" s="143">
        <v>44592</v>
      </c>
      <c r="G19" s="143">
        <v>44592</v>
      </c>
      <c r="H19" s="144" t="s">
        <v>254</v>
      </c>
    </row>
    <row r="20" spans="1:1024" customHeight="1" ht="18.6">
      <c r="A20" s="132"/>
      <c r="B20" s="139" t="s">
        <v>287</v>
      </c>
      <c r="C20" s="140" t="s">
        <v>288</v>
      </c>
      <c r="D20" s="141">
        <v>1017.62</v>
      </c>
      <c r="E20" s="142"/>
      <c r="F20" s="143">
        <v>44592</v>
      </c>
      <c r="G20" s="143">
        <v>44592</v>
      </c>
      <c r="H20" s="144" t="s">
        <v>254</v>
      </c>
    </row>
    <row r="21" spans="1:1024" customHeight="1" ht="18.6">
      <c r="A21" s="132"/>
      <c r="B21" s="139" t="s">
        <v>289</v>
      </c>
      <c r="C21" s="140" t="s">
        <v>290</v>
      </c>
      <c r="D21" s="141">
        <v>3071.65</v>
      </c>
      <c r="E21" s="142"/>
      <c r="F21" s="143">
        <v>44592</v>
      </c>
      <c r="G21" s="143">
        <v>44592</v>
      </c>
      <c r="H21" s="144" t="s">
        <v>254</v>
      </c>
    </row>
    <row r="22" spans="1:1024" customHeight="1" ht="18.6">
      <c r="A22" s="132"/>
      <c r="B22" s="139" t="s">
        <v>291</v>
      </c>
      <c r="C22" s="140" t="s">
        <v>292</v>
      </c>
      <c r="D22" s="141">
        <v>367.4</v>
      </c>
      <c r="E22" s="142"/>
      <c r="F22" s="143">
        <v>44592</v>
      </c>
      <c r="G22" s="143">
        <v>44592</v>
      </c>
      <c r="H22" s="144" t="s">
        <v>254</v>
      </c>
    </row>
    <row r="23" spans="1:1024" customHeight="1" ht="19.5">
      <c r="A23" s="132"/>
      <c r="B23" s="139" t="s">
        <v>291</v>
      </c>
      <c r="C23" s="140" t="s">
        <v>293</v>
      </c>
      <c r="D23" s="141">
        <v>515.42</v>
      </c>
      <c r="E23" s="142" t="s">
        <v>294</v>
      </c>
      <c r="F23" s="143">
        <v>44592</v>
      </c>
      <c r="G23" s="143">
        <v>44592</v>
      </c>
      <c r="H23" s="144" t="s">
        <v>254</v>
      </c>
    </row>
    <row r="24" spans="1:1024" customHeight="1" ht="18.6">
      <c r="A24" s="132"/>
      <c r="B24" s="139" t="s">
        <v>291</v>
      </c>
      <c r="C24" s="140" t="s">
        <v>295</v>
      </c>
      <c r="D24" s="141">
        <v>10009.7</v>
      </c>
      <c r="E24" s="142" t="s">
        <v>253</v>
      </c>
      <c r="F24" s="143">
        <v>44592</v>
      </c>
      <c r="G24" s="143">
        <v>44592</v>
      </c>
      <c r="H24" s="144" t="s">
        <v>254</v>
      </c>
    </row>
    <row r="25" spans="1:1024" customHeight="1" ht="18.6">
      <c r="A25" s="132"/>
      <c r="B25" s="139" t="s">
        <v>291</v>
      </c>
      <c r="C25" s="140" t="s">
        <v>296</v>
      </c>
      <c r="D25" s="141">
        <v>453.8</v>
      </c>
      <c r="E25" s="142"/>
      <c r="F25" s="143">
        <v>44592</v>
      </c>
      <c r="G25" s="143">
        <v>44592</v>
      </c>
      <c r="H25" s="144" t="s">
        <v>254</v>
      </c>
    </row>
    <row r="26" spans="1:1024" customHeight="1" ht="18.6">
      <c r="A26" s="132"/>
      <c r="B26" s="139" t="s">
        <v>297</v>
      </c>
      <c r="C26" s="140" t="s">
        <v>298</v>
      </c>
      <c r="D26" s="141">
        <v>796.49</v>
      </c>
      <c r="E26" s="142" t="s">
        <v>258</v>
      </c>
      <c r="F26" s="143">
        <v>44592</v>
      </c>
      <c r="G26" s="143">
        <v>44592</v>
      </c>
      <c r="H26" s="144" t="s">
        <v>254</v>
      </c>
    </row>
    <row r="27" spans="1:1024" customHeight="1" ht="18.6">
      <c r="A27" s="132"/>
      <c r="B27" s="139"/>
      <c r="C27" s="140"/>
      <c r="D27" s="141"/>
      <c r="E27" s="142"/>
      <c r="F27" s="143"/>
      <c r="G27" s="143"/>
      <c r="H27" s="144"/>
    </row>
    <row r="28" spans="1:1024" customHeight="1" ht="18.6">
      <c r="A28" s="132"/>
      <c r="B28" s="139"/>
      <c r="C28" s="140"/>
      <c r="D28" s="141"/>
      <c r="E28" s="142"/>
      <c r="F28" s="143"/>
      <c r="G28" s="143"/>
      <c r="H28" s="144"/>
    </row>
    <row r="29" spans="1:1024" customHeight="1" ht="18.6">
      <c r="A29" s="132"/>
      <c r="B29" s="139"/>
      <c r="C29" s="140"/>
      <c r="D29" s="141"/>
      <c r="E29" s="142"/>
      <c r="F29" s="143"/>
      <c r="G29" s="143"/>
      <c r="H29" s="144"/>
    </row>
    <row r="30" spans="1:1024" customHeight="1" ht="18.6">
      <c r="A30" s="132"/>
      <c r="B30" s="148" t="s">
        <v>35</v>
      </c>
      <c r="C30" s="149"/>
      <c r="D30" s="150" t="str">
        <f>SUM(D2:D29)</f>
        <v>0</v>
      </c>
      <c r="E30" s="151"/>
      <c r="F30" s="152"/>
      <c r="G30" s="152"/>
      <c r="H30" s="153"/>
    </row>
    <row r="31" spans="1:1024" customHeight="1" ht="18.6">
      <c r="A31" s="154" t="s">
        <v>299</v>
      </c>
      <c r="B31" s="139" t="s">
        <v>300</v>
      </c>
      <c r="C31" s="140" t="s">
        <v>301</v>
      </c>
      <c r="D31" s="141">
        <v>99.97</v>
      </c>
      <c r="E31" s="142" t="s">
        <v>302</v>
      </c>
      <c r="F31" s="143">
        <v>44566</v>
      </c>
      <c r="G31" s="143">
        <v>44566</v>
      </c>
      <c r="H31" s="139" t="s">
        <v>254</v>
      </c>
    </row>
    <row r="32" spans="1:1024" customHeight="1" ht="18.6">
      <c r="A32" s="154"/>
      <c r="B32" s="139" t="s">
        <v>300</v>
      </c>
      <c r="C32" s="140" t="s">
        <v>303</v>
      </c>
      <c r="D32" s="141">
        <v>127.11</v>
      </c>
      <c r="E32" s="142" t="s">
        <v>302</v>
      </c>
      <c r="F32" s="143">
        <v>44566</v>
      </c>
      <c r="G32" s="143">
        <v>44566</v>
      </c>
      <c r="H32" s="139" t="s">
        <v>254</v>
      </c>
    </row>
    <row r="33" spans="1:1024" customHeight="1" ht="18.6">
      <c r="A33" s="154"/>
      <c r="B33" s="139" t="s">
        <v>300</v>
      </c>
      <c r="C33" s="140" t="s">
        <v>304</v>
      </c>
      <c r="D33" s="141">
        <v>100.82</v>
      </c>
      <c r="E33" s="142"/>
      <c r="F33" s="143">
        <v>44566</v>
      </c>
      <c r="G33" s="143">
        <v>44566</v>
      </c>
      <c r="H33" s="139" t="s">
        <v>254</v>
      </c>
    </row>
    <row r="34" spans="1:1024" customHeight="1" ht="18.6">
      <c r="A34" s="154"/>
      <c r="B34" s="139" t="s">
        <v>300</v>
      </c>
      <c r="C34" s="140" t="s">
        <v>305</v>
      </c>
      <c r="D34" s="141">
        <v>104.12</v>
      </c>
      <c r="E34" s="142"/>
      <c r="F34" s="143">
        <v>44566</v>
      </c>
      <c r="G34" s="143">
        <v>44566</v>
      </c>
      <c r="H34" s="139" t="s">
        <v>254</v>
      </c>
    </row>
    <row r="35" spans="1:1024" customHeight="1" ht="18.6">
      <c r="A35" s="154"/>
      <c r="B35" s="139" t="s">
        <v>300</v>
      </c>
      <c r="C35" s="140" t="s">
        <v>306</v>
      </c>
      <c r="D35" s="141">
        <v>71.32</v>
      </c>
      <c r="E35" s="142"/>
      <c r="F35" s="143">
        <v>44566</v>
      </c>
      <c r="G35" s="143">
        <v>44566</v>
      </c>
      <c r="H35" s="139" t="s">
        <v>254</v>
      </c>
    </row>
    <row r="36" spans="1:1024" customHeight="1" ht="18.6">
      <c r="A36" s="154"/>
      <c r="B36" s="139" t="s">
        <v>300</v>
      </c>
      <c r="C36" s="140" t="s">
        <v>307</v>
      </c>
      <c r="D36" s="141">
        <v>89.4</v>
      </c>
      <c r="E36" s="142"/>
      <c r="F36" s="143">
        <v>44566</v>
      </c>
      <c r="G36" s="143">
        <v>44566</v>
      </c>
      <c r="H36" s="139" t="s">
        <v>254</v>
      </c>
    </row>
    <row r="37" spans="1:1024" customHeight="1" ht="18.6">
      <c r="A37" s="154"/>
      <c r="B37" s="139" t="s">
        <v>308</v>
      </c>
      <c r="C37" s="140" t="s">
        <v>309</v>
      </c>
      <c r="D37" s="141">
        <v>3203.09</v>
      </c>
      <c r="E37" s="142" t="s">
        <v>310</v>
      </c>
      <c r="F37" s="143">
        <v>44566</v>
      </c>
      <c r="G37" s="143">
        <v>44566</v>
      </c>
      <c r="H37" s="139" t="s">
        <v>254</v>
      </c>
    </row>
    <row r="38" spans="1:1024" customHeight="1" ht="18.6">
      <c r="A38" s="154"/>
      <c r="B38" s="139" t="s">
        <v>311</v>
      </c>
      <c r="C38" s="140" t="s">
        <v>312</v>
      </c>
      <c r="D38" s="141">
        <v>268.67</v>
      </c>
      <c r="E38" s="142" t="s">
        <v>313</v>
      </c>
      <c r="F38" s="143">
        <v>44566</v>
      </c>
      <c r="G38" s="143">
        <v>44571</v>
      </c>
      <c r="H38" s="139" t="s">
        <v>254</v>
      </c>
    </row>
    <row r="39" spans="1:1024" customHeight="1" ht="18.6">
      <c r="A39" s="154"/>
      <c r="B39" s="139" t="s">
        <v>314</v>
      </c>
      <c r="C39" s="140"/>
      <c r="D39" s="141">
        <v>50</v>
      </c>
      <c r="E39" s="142" t="s">
        <v>315</v>
      </c>
      <c r="F39" s="143">
        <v>44567</v>
      </c>
      <c r="G39" s="143">
        <v>44567</v>
      </c>
      <c r="H39" s="139" t="s">
        <v>254</v>
      </c>
    </row>
    <row r="40" spans="1:1024" customHeight="1" ht="18.6">
      <c r="A40" s="154"/>
      <c r="B40" s="139" t="s">
        <v>316</v>
      </c>
      <c r="C40" s="140" t="s">
        <v>317</v>
      </c>
      <c r="D40" s="141" t="str">
        <f>15.95*2</f>
        <v>0</v>
      </c>
      <c r="E40" s="142" t="s">
        <v>318</v>
      </c>
      <c r="F40" s="143">
        <v>44568</v>
      </c>
      <c r="G40" s="143">
        <v>44568</v>
      </c>
      <c r="H40" s="139" t="s">
        <v>254</v>
      </c>
    </row>
    <row r="41" spans="1:1024" customHeight="1" ht="18.6">
      <c r="A41" s="154"/>
      <c r="B41" s="139" t="s">
        <v>35</v>
      </c>
      <c r="C41" s="140" t="s">
        <v>319</v>
      </c>
      <c r="D41" s="141">
        <v>2014.85</v>
      </c>
      <c r="E41" s="142"/>
      <c r="F41" s="143">
        <v>44571</v>
      </c>
      <c r="G41" s="143">
        <v>44206</v>
      </c>
      <c r="H41" s="139" t="s">
        <v>254</v>
      </c>
    </row>
    <row r="42" spans="1:1024" customHeight="1" ht="18.6">
      <c r="A42" s="154"/>
      <c r="B42" s="139" t="s">
        <v>300</v>
      </c>
      <c r="C42" s="140" t="s">
        <v>320</v>
      </c>
      <c r="D42" s="141">
        <v>15.24</v>
      </c>
      <c r="E42" s="142" t="s">
        <v>321</v>
      </c>
      <c r="F42" s="143">
        <v>44576</v>
      </c>
      <c r="G42" s="143">
        <v>44578</v>
      </c>
      <c r="H42" s="139" t="s">
        <v>254</v>
      </c>
      <c r="J42" s="155"/>
    </row>
    <row r="43" spans="1:1024" customHeight="1" ht="18.6">
      <c r="A43" s="154"/>
      <c r="B43" s="156" t="s">
        <v>322</v>
      </c>
      <c r="C43" s="157"/>
      <c r="D43" s="158">
        <v>7851</v>
      </c>
      <c r="E43" s="159" t="s">
        <v>323</v>
      </c>
      <c r="F43" s="160">
        <v>44576</v>
      </c>
      <c r="G43" s="143">
        <v>44579</v>
      </c>
      <c r="H43" s="139" t="s">
        <v>254</v>
      </c>
      <c r="J43" s="161"/>
    </row>
    <row r="44" spans="1:1024" customHeight="1" ht="18.6">
      <c r="A44" s="154"/>
      <c r="B44" s="139" t="s">
        <v>300</v>
      </c>
      <c r="C44" s="140" t="s">
        <v>324</v>
      </c>
      <c r="D44" s="162">
        <v>50.31</v>
      </c>
      <c r="E44" s="142"/>
      <c r="F44" s="143">
        <v>44578</v>
      </c>
      <c r="G44" s="143">
        <v>44578</v>
      </c>
      <c r="H44" s="139" t="s">
        <v>254</v>
      </c>
    </row>
    <row r="45" spans="1:1024" customHeight="1" ht="18.6">
      <c r="A45" s="154"/>
      <c r="B45" s="139" t="s">
        <v>314</v>
      </c>
      <c r="C45" s="140"/>
      <c r="D45" s="141">
        <v>43</v>
      </c>
      <c r="E45" s="142"/>
      <c r="F45" s="143">
        <v>44581</v>
      </c>
      <c r="G45" s="143">
        <v>44578</v>
      </c>
      <c r="H45" s="139" t="s">
        <v>254</v>
      </c>
    </row>
    <row r="46" spans="1:1024" customHeight="1" ht="18.6">
      <c r="A46" s="154"/>
      <c r="B46" s="139" t="s">
        <v>314</v>
      </c>
      <c r="C46" s="140"/>
      <c r="D46" s="141">
        <v>31</v>
      </c>
      <c r="E46" s="142"/>
      <c r="F46" s="143">
        <v>44581</v>
      </c>
      <c r="G46" s="143">
        <v>44578</v>
      </c>
      <c r="H46" s="139" t="s">
        <v>254</v>
      </c>
    </row>
    <row r="47" spans="1:1024" customHeight="1" ht="18.6">
      <c r="A47" s="154"/>
      <c r="B47" s="139" t="s">
        <v>314</v>
      </c>
      <c r="C47" s="140"/>
      <c r="D47" s="141">
        <v>31</v>
      </c>
      <c r="E47" s="142"/>
      <c r="F47" s="143">
        <v>44581</v>
      </c>
      <c r="G47" s="143">
        <v>44578</v>
      </c>
      <c r="H47" s="139" t="s">
        <v>254</v>
      </c>
    </row>
    <row r="48" spans="1:1024" customHeight="1" ht="18.6">
      <c r="A48" s="154"/>
      <c r="B48" s="139" t="s">
        <v>314</v>
      </c>
      <c r="C48" s="140" t="s">
        <v>325</v>
      </c>
      <c r="D48" s="141">
        <v>32</v>
      </c>
      <c r="E48" s="142" t="s">
        <v>326</v>
      </c>
      <c r="F48" s="143">
        <v>44586</v>
      </c>
      <c r="G48" s="143">
        <v>44586</v>
      </c>
      <c r="H48" s="139" t="s">
        <v>254</v>
      </c>
    </row>
    <row r="49" spans="1:1024" customHeight="1" ht="18.6">
      <c r="A49" s="154"/>
      <c r="B49" s="156" t="s">
        <v>327</v>
      </c>
      <c r="C49" s="157" t="s">
        <v>328</v>
      </c>
      <c r="D49" s="158">
        <v>5199</v>
      </c>
      <c r="E49" s="159"/>
      <c r="F49" s="160">
        <v>44581</v>
      </c>
      <c r="G49" s="143">
        <v>44580</v>
      </c>
      <c r="H49" s="139" t="s">
        <v>254</v>
      </c>
    </row>
    <row r="50" spans="1:1024" customHeight="1" ht="18.6">
      <c r="A50" s="154"/>
      <c r="B50" s="156" t="s">
        <v>329</v>
      </c>
      <c r="C50" s="157"/>
      <c r="D50" s="158">
        <v>1907.49</v>
      </c>
      <c r="E50" s="159"/>
      <c r="F50" s="160">
        <v>44581</v>
      </c>
      <c r="G50" s="143">
        <v>44586</v>
      </c>
      <c r="H50" s="139" t="s">
        <v>254</v>
      </c>
    </row>
    <row r="51" spans="1:1024" customHeight="1" ht="18.6">
      <c r="A51" s="154"/>
      <c r="B51" s="139" t="s">
        <v>330</v>
      </c>
      <c r="C51" s="140" t="s">
        <v>331</v>
      </c>
      <c r="D51" s="141">
        <v>29.45</v>
      </c>
      <c r="E51" s="142" t="s">
        <v>332</v>
      </c>
      <c r="F51" s="143">
        <v>44581</v>
      </c>
      <c r="G51" s="143">
        <v>44581</v>
      </c>
      <c r="H51" s="139" t="s">
        <v>254</v>
      </c>
    </row>
    <row r="52" spans="1:1024" customHeight="1" ht="18.6">
      <c r="A52" s="154"/>
      <c r="B52" s="139" t="s">
        <v>311</v>
      </c>
      <c r="C52" s="140" t="s">
        <v>333</v>
      </c>
      <c r="D52" s="141">
        <v>96.8</v>
      </c>
      <c r="E52" s="142" t="s">
        <v>334</v>
      </c>
      <c r="F52" s="143">
        <v>44586</v>
      </c>
      <c r="G52" s="143">
        <v>44221</v>
      </c>
      <c r="H52" s="139" t="s">
        <v>254</v>
      </c>
    </row>
    <row r="53" spans="1:1024" customHeight="1" ht="18.6">
      <c r="A53" s="154"/>
      <c r="B53" s="139" t="s">
        <v>335</v>
      </c>
      <c r="C53" s="140" t="s">
        <v>336</v>
      </c>
      <c r="D53" s="141">
        <v>1128</v>
      </c>
      <c r="E53" s="142"/>
      <c r="F53" s="143">
        <v>44586</v>
      </c>
      <c r="G53" s="143">
        <v>44586</v>
      </c>
      <c r="H53" s="139" t="s">
        <v>254</v>
      </c>
    </row>
    <row r="54" spans="1:1024" customHeight="1" ht="18.6">
      <c r="A54" s="154"/>
      <c r="B54" s="156" t="s">
        <v>337</v>
      </c>
      <c r="C54" s="157"/>
      <c r="D54" s="158">
        <v>1903.67</v>
      </c>
      <c r="E54" s="159"/>
      <c r="F54" s="160">
        <v>44586</v>
      </c>
      <c r="G54" s="143">
        <v>44586</v>
      </c>
      <c r="H54" s="139" t="s">
        <v>254</v>
      </c>
    </row>
    <row r="55" spans="1:1024" customHeight="1" ht="18.6">
      <c r="A55" s="154"/>
      <c r="B55" s="139" t="s">
        <v>338</v>
      </c>
      <c r="C55" s="140" t="s">
        <v>339</v>
      </c>
      <c r="D55" s="141">
        <v>5283.09</v>
      </c>
      <c r="E55" s="142"/>
      <c r="F55" s="143">
        <v>44222</v>
      </c>
      <c r="G55" s="143">
        <v>44587</v>
      </c>
      <c r="H55" s="139" t="s">
        <v>254</v>
      </c>
    </row>
    <row r="56" spans="1:1024" customHeight="1" ht="18.6">
      <c r="A56" s="154"/>
      <c r="B56" s="139" t="s">
        <v>35</v>
      </c>
      <c r="C56" s="140" t="s">
        <v>340</v>
      </c>
      <c r="D56" s="141">
        <v>1720.53</v>
      </c>
      <c r="E56" s="142"/>
      <c r="F56" s="143">
        <v>44586</v>
      </c>
      <c r="G56" s="143">
        <v>44586</v>
      </c>
      <c r="H56" s="139" t="s">
        <v>254</v>
      </c>
    </row>
    <row r="57" spans="1:1024" customHeight="1" ht="18.6">
      <c r="A57" s="154"/>
      <c r="B57" s="139"/>
      <c r="C57" s="140"/>
      <c r="D57" s="141"/>
      <c r="E57" s="142"/>
      <c r="F57" s="143"/>
      <c r="G57" s="143"/>
      <c r="H57" s="139"/>
    </row>
    <row r="58" spans="1:1024" customHeight="1" ht="18.6">
      <c r="A58" s="154"/>
      <c r="B58" s="163" t="s">
        <v>35</v>
      </c>
      <c r="C58" s="164"/>
      <c r="D58" s="165" t="str">
        <f>SUM(D31:D57)</f>
        <v>0</v>
      </c>
      <c r="E58" s="166"/>
      <c r="F58" s="167"/>
      <c r="G58" s="167"/>
      <c r="H58" s="168"/>
    </row>
    <row r="59" spans="1:1024" customHeight="1" ht="18.6">
      <c r="A59" s="169" t="s">
        <v>341</v>
      </c>
      <c r="B59" s="133" t="s">
        <v>342</v>
      </c>
      <c r="C59" s="134" t="s">
        <v>343</v>
      </c>
      <c r="D59" s="135">
        <v>1596</v>
      </c>
      <c r="E59" s="136" t="s">
        <v>258</v>
      </c>
      <c r="F59" s="137">
        <v>44211</v>
      </c>
      <c r="G59" s="143">
        <v>44596</v>
      </c>
      <c r="H59" s="144" t="s">
        <v>254</v>
      </c>
    </row>
    <row r="60" spans="1:1024" customHeight="1" ht="18.6">
      <c r="A60" s="169"/>
      <c r="B60" s="139" t="s">
        <v>186</v>
      </c>
      <c r="C60" s="140" t="s">
        <v>344</v>
      </c>
      <c r="D60" s="141">
        <v>1524.08</v>
      </c>
      <c r="E60" s="142" t="s">
        <v>253</v>
      </c>
      <c r="F60" s="147">
        <v>44227</v>
      </c>
      <c r="G60" s="143">
        <v>44596</v>
      </c>
      <c r="H60" s="144" t="s">
        <v>254</v>
      </c>
    </row>
    <row r="61" spans="1:1024" customHeight="1" ht="18.6">
      <c r="A61" s="169"/>
      <c r="B61" s="139" t="s">
        <v>188</v>
      </c>
      <c r="C61" s="140" t="s">
        <v>345</v>
      </c>
      <c r="D61" s="141">
        <v>2400</v>
      </c>
      <c r="E61" s="142" t="s">
        <v>280</v>
      </c>
      <c r="F61" s="143">
        <v>44571</v>
      </c>
      <c r="G61" s="143">
        <v>44596</v>
      </c>
      <c r="H61" s="144" t="s">
        <v>254</v>
      </c>
    </row>
    <row r="62" spans="1:1024" customHeight="1" ht="18.6">
      <c r="A62" s="169"/>
      <c r="B62" s="139" t="s">
        <v>346</v>
      </c>
      <c r="C62" s="140"/>
      <c r="D62" s="141">
        <v>5803.5</v>
      </c>
      <c r="E62" s="142" t="s">
        <v>253</v>
      </c>
      <c r="F62" s="143">
        <v>44575</v>
      </c>
      <c r="G62" s="143"/>
      <c r="H62" s="144"/>
    </row>
    <row r="63" spans="1:1024" customHeight="1" ht="18.6">
      <c r="A63" s="169"/>
      <c r="B63" s="139" t="s">
        <v>346</v>
      </c>
      <c r="C63" s="140" t="s">
        <v>347</v>
      </c>
      <c r="D63" s="141">
        <v>5503.5</v>
      </c>
      <c r="E63" s="142" t="s">
        <v>253</v>
      </c>
      <c r="F63" s="147">
        <v>44575</v>
      </c>
      <c r="G63" s="143">
        <v>44586</v>
      </c>
      <c r="H63" s="144" t="s">
        <v>254</v>
      </c>
    </row>
    <row r="64" spans="1:1024" customHeight="1" ht="18.6">
      <c r="A64" s="169"/>
      <c r="B64" s="139" t="s">
        <v>346</v>
      </c>
      <c r="C64" s="140" t="s">
        <v>348</v>
      </c>
      <c r="D64" s="141">
        <v>5805.04</v>
      </c>
      <c r="E64" s="142" t="s">
        <v>258</v>
      </c>
      <c r="F64" s="147">
        <v>44575</v>
      </c>
      <c r="G64" s="143">
        <v>44586</v>
      </c>
      <c r="H64" s="144" t="s">
        <v>254</v>
      </c>
    </row>
    <row r="65" spans="1:1024" customHeight="1" ht="18.6">
      <c r="A65" s="169"/>
      <c r="B65" s="170" t="s">
        <v>349</v>
      </c>
      <c r="C65" s="171" t="s">
        <v>350</v>
      </c>
      <c r="D65" s="141">
        <v>870.92</v>
      </c>
      <c r="E65" s="172" t="s">
        <v>253</v>
      </c>
      <c r="F65" s="143">
        <v>44576</v>
      </c>
      <c r="G65" s="143">
        <v>44553</v>
      </c>
      <c r="H65" s="144" t="s">
        <v>254</v>
      </c>
    </row>
    <row r="66" spans="1:1024" customHeight="1" ht="18.6">
      <c r="A66" s="169"/>
      <c r="B66" s="139" t="s">
        <v>349</v>
      </c>
      <c r="C66" s="140" t="s">
        <v>351</v>
      </c>
      <c r="D66" s="141">
        <v>847.6</v>
      </c>
      <c r="E66" s="146" t="s">
        <v>352</v>
      </c>
      <c r="F66" s="143">
        <v>44576</v>
      </c>
      <c r="G66" s="143">
        <v>44586</v>
      </c>
      <c r="H66" s="144" t="s">
        <v>254</v>
      </c>
    </row>
    <row r="67" spans="1:1024" customHeight="1" ht="18.6">
      <c r="A67" s="169"/>
      <c r="B67" s="139" t="s">
        <v>349</v>
      </c>
      <c r="C67" s="140" t="s">
        <v>353</v>
      </c>
      <c r="D67" s="141">
        <v>1396.15</v>
      </c>
      <c r="E67" s="146" t="s">
        <v>354</v>
      </c>
      <c r="F67" s="143">
        <v>44576</v>
      </c>
      <c r="G67" s="143">
        <v>44586</v>
      </c>
      <c r="H67" s="144" t="s">
        <v>254</v>
      </c>
    </row>
    <row r="68" spans="1:1024" customHeight="1" ht="18.6">
      <c r="A68" s="169"/>
      <c r="B68" s="139" t="s">
        <v>349</v>
      </c>
      <c r="C68" s="140" t="s">
        <v>355</v>
      </c>
      <c r="D68" s="141">
        <v>1132.2</v>
      </c>
      <c r="E68" s="146" t="s">
        <v>258</v>
      </c>
      <c r="F68" s="143">
        <v>44576</v>
      </c>
      <c r="G68" s="143">
        <v>44586</v>
      </c>
      <c r="H68" s="144" t="s">
        <v>254</v>
      </c>
    </row>
    <row r="69" spans="1:1024" customHeight="1" ht="18.6">
      <c r="A69" s="169"/>
      <c r="B69" s="139" t="s">
        <v>349</v>
      </c>
      <c r="C69" s="140" t="s">
        <v>356</v>
      </c>
      <c r="D69" s="141">
        <v>682.9</v>
      </c>
      <c r="E69" s="146" t="s">
        <v>258</v>
      </c>
      <c r="F69" s="143">
        <v>44576</v>
      </c>
      <c r="G69" s="143">
        <v>44586</v>
      </c>
      <c r="H69" s="144" t="s">
        <v>254</v>
      </c>
    </row>
    <row r="70" spans="1:1024" customHeight="1" ht="18.6">
      <c r="A70" s="169"/>
      <c r="B70" s="139" t="s">
        <v>128</v>
      </c>
      <c r="C70" s="140" t="s">
        <v>357</v>
      </c>
      <c r="D70" s="141">
        <v>2000</v>
      </c>
      <c r="E70" s="142" t="s">
        <v>266</v>
      </c>
      <c r="F70" s="143">
        <v>44576</v>
      </c>
      <c r="G70" s="143" t="s">
        <v>358</v>
      </c>
      <c r="H70" s="144" t="s">
        <v>254</v>
      </c>
    </row>
    <row r="71" spans="1:1024" customHeight="1" ht="18.6">
      <c r="A71" s="169"/>
      <c r="B71" s="139" t="s">
        <v>179</v>
      </c>
      <c r="C71" s="140" t="s">
        <v>359</v>
      </c>
      <c r="D71" s="141">
        <v>1082.4</v>
      </c>
      <c r="E71" s="142" t="s">
        <v>253</v>
      </c>
      <c r="F71" s="147">
        <v>44592</v>
      </c>
      <c r="G71" s="143">
        <v>44596</v>
      </c>
      <c r="H71" s="144" t="s">
        <v>254</v>
      </c>
    </row>
    <row r="72" spans="1:1024" customHeight="1" ht="18.6">
      <c r="A72" s="169"/>
      <c r="B72" s="139" t="s">
        <v>179</v>
      </c>
      <c r="C72" s="140" t="s">
        <v>360</v>
      </c>
      <c r="D72" s="141">
        <v>742.56</v>
      </c>
      <c r="E72" s="142" t="s">
        <v>258</v>
      </c>
      <c r="F72" s="147">
        <v>44592</v>
      </c>
      <c r="G72" s="143">
        <v>44596</v>
      </c>
      <c r="H72" s="144" t="s">
        <v>254</v>
      </c>
    </row>
    <row r="73" spans="1:1024" customHeight="1" ht="18.6">
      <c r="A73" s="169"/>
      <c r="B73" s="173" t="s">
        <v>361</v>
      </c>
      <c r="C73" s="174" t="s">
        <v>362</v>
      </c>
      <c r="D73" s="175">
        <v>20983.13</v>
      </c>
      <c r="E73" s="176" t="s">
        <v>253</v>
      </c>
      <c r="F73" s="177">
        <v>44592</v>
      </c>
      <c r="G73" s="178">
        <v>44602</v>
      </c>
      <c r="H73" s="179" t="s">
        <v>254</v>
      </c>
    </row>
    <row r="74" spans="1:1024" customHeight="1" ht="18.6">
      <c r="A74" s="169"/>
      <c r="B74" s="139" t="s">
        <v>361</v>
      </c>
      <c r="C74" s="140" t="s">
        <v>363</v>
      </c>
      <c r="D74" s="141">
        <v>28778.21</v>
      </c>
      <c r="E74" s="142" t="s">
        <v>253</v>
      </c>
      <c r="F74" s="147">
        <v>44592</v>
      </c>
      <c r="G74" s="143">
        <v>44596</v>
      </c>
      <c r="H74" s="144" t="s">
        <v>254</v>
      </c>
      <c r="J74" s="6" t="s">
        <v>364</v>
      </c>
    </row>
    <row r="75" spans="1:1024" customHeight="1" ht="18.6">
      <c r="A75" s="169"/>
      <c r="B75" s="139" t="s">
        <v>361</v>
      </c>
      <c r="C75" s="140" t="s">
        <v>365</v>
      </c>
      <c r="D75" s="141">
        <v>4427.85</v>
      </c>
      <c r="E75" s="142" t="s">
        <v>253</v>
      </c>
      <c r="F75" s="147">
        <v>44592</v>
      </c>
      <c r="G75" s="143">
        <v>44596</v>
      </c>
      <c r="H75" s="144" t="s">
        <v>254</v>
      </c>
      <c r="J75" s="161"/>
    </row>
    <row r="76" spans="1:1024" customHeight="1" ht="18.6">
      <c r="A76" s="169"/>
      <c r="B76" s="139" t="s">
        <v>179</v>
      </c>
      <c r="C76" s="140" t="s">
        <v>366</v>
      </c>
      <c r="D76" s="141">
        <v>1573.15</v>
      </c>
      <c r="E76" s="142" t="s">
        <v>253</v>
      </c>
      <c r="F76" s="143">
        <v>44592</v>
      </c>
      <c r="G76" s="143">
        <v>44596</v>
      </c>
      <c r="H76" s="144" t="s">
        <v>254</v>
      </c>
    </row>
    <row r="77" spans="1:1024" customHeight="1" ht="18.6">
      <c r="A77" s="169"/>
      <c r="B77" s="180" t="s">
        <v>367</v>
      </c>
      <c r="C77" s="181" t="s">
        <v>368</v>
      </c>
      <c r="D77" s="182">
        <v>3000</v>
      </c>
      <c r="E77" s="183" t="s">
        <v>253</v>
      </c>
      <c r="F77" s="183">
        <v>44592</v>
      </c>
      <c r="G77" s="183">
        <v>44596</v>
      </c>
      <c r="H77" s="184" t="s">
        <v>254</v>
      </c>
    </row>
    <row r="78" spans="1:1024" customHeight="1" ht="18.6">
      <c r="A78" s="169"/>
      <c r="B78" s="139" t="s">
        <v>369</v>
      </c>
      <c r="C78" s="140" t="s">
        <v>370</v>
      </c>
      <c r="D78" s="141">
        <v>600</v>
      </c>
      <c r="E78" s="142" t="s">
        <v>371</v>
      </c>
      <c r="F78" s="143">
        <v>44592</v>
      </c>
      <c r="G78" s="143">
        <v>44572</v>
      </c>
      <c r="H78" s="144" t="s">
        <v>254</v>
      </c>
    </row>
    <row r="79" spans="1:1024" customHeight="1" ht="18.6">
      <c r="A79" s="169"/>
      <c r="B79" s="139" t="s">
        <v>372</v>
      </c>
      <c r="C79" s="140" t="s">
        <v>373</v>
      </c>
      <c r="D79" s="141">
        <v>120</v>
      </c>
      <c r="E79" s="142"/>
      <c r="F79" s="143">
        <v>44592</v>
      </c>
      <c r="G79" s="143">
        <v>44596</v>
      </c>
      <c r="H79" s="144" t="s">
        <v>254</v>
      </c>
    </row>
    <row r="80" spans="1:1024" customHeight="1" ht="18.6">
      <c r="A80" s="169"/>
      <c r="B80" s="139" t="s">
        <v>372</v>
      </c>
      <c r="C80" s="140" t="s">
        <v>374</v>
      </c>
      <c r="D80" s="141">
        <v>3460.07</v>
      </c>
      <c r="E80" s="142" t="s">
        <v>258</v>
      </c>
      <c r="F80" s="143">
        <v>44592</v>
      </c>
      <c r="G80" s="143">
        <v>44596</v>
      </c>
      <c r="H80" s="144" t="s">
        <v>254</v>
      </c>
    </row>
    <row r="81" spans="1:1024" customHeight="1" ht="18.6">
      <c r="A81" s="169"/>
      <c r="B81" s="139" t="s">
        <v>375</v>
      </c>
      <c r="C81" s="140"/>
      <c r="D81" s="141">
        <v>940</v>
      </c>
      <c r="E81" s="142" t="s">
        <v>376</v>
      </c>
      <c r="F81" s="143">
        <v>44566</v>
      </c>
      <c r="G81" s="143">
        <v>44586</v>
      </c>
      <c r="H81" s="144" t="s">
        <v>254</v>
      </c>
    </row>
    <row r="82" spans="1:1024" customHeight="1" ht="18.6">
      <c r="A82" s="169"/>
      <c r="B82" s="139" t="s">
        <v>377</v>
      </c>
      <c r="C82" s="139" t="s">
        <v>378</v>
      </c>
      <c r="D82" s="185">
        <v>720</v>
      </c>
      <c r="E82" s="142" t="s">
        <v>379</v>
      </c>
      <c r="F82" s="143" t="s">
        <v>380</v>
      </c>
      <c r="G82" s="143" t="s">
        <v>381</v>
      </c>
      <c r="H82" s="144" t="s">
        <v>254</v>
      </c>
    </row>
    <row r="83" spans="1:1024" customHeight="1" ht="18.6">
      <c r="A83" s="169"/>
      <c r="B83" s="139" t="s">
        <v>382</v>
      </c>
      <c r="C83" s="139" t="s">
        <v>383</v>
      </c>
      <c r="D83" s="185">
        <v>720</v>
      </c>
      <c r="E83" s="142" t="s">
        <v>253</v>
      </c>
      <c r="F83" s="143" t="s">
        <v>384</v>
      </c>
      <c r="G83" s="143">
        <v>44586</v>
      </c>
      <c r="H83" s="144" t="s">
        <v>254</v>
      </c>
    </row>
    <row r="84" spans="1:1024" customHeight="1" ht="18.6">
      <c r="A84" s="169"/>
      <c r="B84" s="139" t="s">
        <v>385</v>
      </c>
      <c r="C84" s="139"/>
      <c r="D84" s="185">
        <v>42284.94</v>
      </c>
      <c r="E84" s="142"/>
      <c r="F84" s="143">
        <v>44576</v>
      </c>
      <c r="G84" s="143">
        <v>44596</v>
      </c>
      <c r="H84" s="144" t="s">
        <v>254</v>
      </c>
    </row>
    <row r="85" spans="1:1024" customHeight="1" ht="18.6">
      <c r="A85" s="169"/>
      <c r="B85" s="139" t="s">
        <v>188</v>
      </c>
      <c r="C85" s="139" t="s">
        <v>386</v>
      </c>
      <c r="D85" s="185">
        <v>2400</v>
      </c>
      <c r="E85" s="142" t="s">
        <v>280</v>
      </c>
      <c r="F85" s="143">
        <v>44681</v>
      </c>
      <c r="G85" s="143"/>
      <c r="H85" s="144"/>
    </row>
    <row r="86" spans="1:1024" customHeight="1" ht="18.6">
      <c r="A86" s="169"/>
      <c r="B86" s="139" t="s">
        <v>188</v>
      </c>
      <c r="C86" s="139" t="s">
        <v>387</v>
      </c>
      <c r="D86" s="185">
        <v>2400</v>
      </c>
      <c r="E86" s="142" t="s">
        <v>280</v>
      </c>
      <c r="F86" s="143">
        <v>44681</v>
      </c>
      <c r="G86" s="143"/>
      <c r="H86" s="144"/>
    </row>
    <row r="87" spans="1:1024" customHeight="1" ht="18.6">
      <c r="A87" s="169"/>
      <c r="B87" s="139"/>
      <c r="C87" s="139"/>
      <c r="D87" s="185"/>
      <c r="E87" s="142"/>
      <c r="F87" s="143"/>
      <c r="G87" s="143"/>
      <c r="H87" s="144"/>
    </row>
    <row r="88" spans="1:1024" customHeight="1" ht="18.6">
      <c r="A88" s="169"/>
      <c r="B88" s="139"/>
      <c r="C88" s="139"/>
      <c r="D88" s="185"/>
      <c r="E88" s="142"/>
      <c r="F88" s="143"/>
      <c r="G88" s="143"/>
      <c r="H88" s="144"/>
    </row>
    <row r="89" spans="1:1024" customHeight="1" ht="18.6">
      <c r="A89" s="169"/>
      <c r="B89" s="139"/>
      <c r="C89" s="139"/>
      <c r="D89" s="141"/>
      <c r="E89" s="139"/>
      <c r="F89" s="143"/>
      <c r="G89" s="139"/>
      <c r="H89" s="139"/>
    </row>
    <row r="90" spans="1:1024" customHeight="1" ht="18.6">
      <c r="A90" s="169"/>
      <c r="B90" s="148" t="s">
        <v>35</v>
      </c>
      <c r="C90" s="149"/>
      <c r="D90" s="150" t="str">
        <f>SUM(D59:D89)</f>
        <v>0</v>
      </c>
      <c r="E90" s="151"/>
      <c r="F90" s="152"/>
      <c r="G90" s="152"/>
      <c r="H90" s="153"/>
    </row>
    <row r="91" spans="1:1024" customHeight="1" ht="21">
      <c r="A91" s="186" t="s">
        <v>388</v>
      </c>
      <c r="B91" s="187"/>
      <c r="C91" s="188"/>
      <c r="D91" s="189" t="str">
        <f>D90+D58+D30</f>
        <v>0</v>
      </c>
      <c r="E91" s="190"/>
      <c r="F91" s="191"/>
      <c r="G91" s="191"/>
      <c r="H91" s="1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0"/>
    <mergeCell ref="A31:A58"/>
    <mergeCell ref="A59:A90"/>
  </mergeCells>
  <conditionalFormatting sqref="E58:H58">
    <cfRule type="expression" dxfId="0" priority="1">
      <formula>MOD(ROW(),2)=1</formula>
    </cfRule>
  </conditionalFormatting>
  <conditionalFormatting sqref="E90:H90">
    <cfRule type="expression" dxfId="0" priority="2">
      <formula>MOD(ROW(),2)=1</formula>
    </cfRule>
  </conditionalFormatting>
  <conditionalFormatting sqref="C2:H3">
    <cfRule type="expression" dxfId="0" priority="3">
      <formula>MOD(ROW(),2)=1</formula>
    </cfRule>
  </conditionalFormatting>
  <conditionalFormatting sqref="H4">
    <cfRule type="expression" dxfId="0" priority="4">
      <formula>MOD(ROW(),2)=1</formula>
    </cfRule>
  </conditionalFormatting>
  <conditionalFormatting sqref="C59:F59">
    <cfRule type="expression" dxfId="0" priority="5">
      <formula>MOD(ROW(),2)=1</formula>
    </cfRule>
  </conditionalFormatting>
  <conditionalFormatting sqref="D75:D76">
    <cfRule type="expression" dxfId="0" priority="6">
      <formula>MOD(ROW(),2)=1</formula>
    </cfRule>
  </conditionalFormatting>
  <conditionalFormatting sqref="B5:H6">
    <cfRule type="expression" dxfId="0" priority="7">
      <formula>MOD(ROW(),2)=1</formula>
    </cfRule>
  </conditionalFormatting>
  <conditionalFormatting sqref="C10:H10">
    <cfRule type="expression" dxfId="0" priority="8">
      <formula>MOD(ROW(),2)=1</formula>
    </cfRule>
  </conditionalFormatting>
  <conditionalFormatting sqref="B11:H14">
    <cfRule type="expression" dxfId="0" priority="9">
      <formula>MOD(ROW(),2)=1</formula>
    </cfRule>
  </conditionalFormatting>
  <conditionalFormatting sqref="C26:H29">
    <cfRule type="expression" dxfId="0" priority="10">
      <formula>MOD(ROW(),2)=1</formula>
    </cfRule>
  </conditionalFormatting>
  <conditionalFormatting sqref="B60:F60">
    <cfRule type="expression" dxfId="0" priority="11">
      <formula>MOD(ROW(),2)=1</formula>
    </cfRule>
  </conditionalFormatting>
  <conditionalFormatting sqref="D62:H70">
    <cfRule type="expression" dxfId="0" priority="12">
      <formula>MOD(ROW(),2)=1</formula>
    </cfRule>
  </conditionalFormatting>
  <conditionalFormatting sqref="B30:H57">
    <cfRule type="expression" dxfId="0" priority="13">
      <formula>MOD(ROW(),2)=1</formula>
    </cfRule>
  </conditionalFormatting>
  <conditionalFormatting sqref="B9:H9">
    <cfRule type="expression" dxfId="0" priority="14">
      <formula>MOD(ROW(),2)=1</formula>
    </cfRule>
  </conditionalFormatting>
  <conditionalFormatting sqref="B7:F7">
    <cfRule type="expression" dxfId="0" priority="15">
      <formula>MOD(ROW(),2)=1</formula>
    </cfRule>
  </conditionalFormatting>
  <conditionalFormatting sqref="G81:H81">
    <cfRule type="expression" dxfId="0" priority="16">
      <formula>MOD(ROW(),2)=1</formula>
    </cfRule>
  </conditionalFormatting>
  <conditionalFormatting sqref="B25:G25">
    <cfRule type="expression" dxfId="0" priority="17">
      <formula>MOD(ROW(),2)=1</formula>
    </cfRule>
  </conditionalFormatting>
  <conditionalFormatting sqref="C15:H21">
    <cfRule type="expression" dxfId="0" priority="18">
      <formula>MOD(ROW(),2)=1</formula>
    </cfRule>
  </conditionalFormatting>
  <conditionalFormatting sqref="B8:G8">
    <cfRule type="expression" dxfId="0" priority="19">
      <formula>MOD(ROW(),2)=1</formula>
    </cfRule>
  </conditionalFormatting>
  <conditionalFormatting sqref="E72:E76">
    <cfRule type="expression" dxfId="0" priority="20">
      <formula>MOD(ROW(),2)=1</formula>
    </cfRule>
  </conditionalFormatting>
  <conditionalFormatting sqref="B62:C76">
    <cfRule type="expression" dxfId="0" priority="21">
      <formula>MOD(ROW(),2)=1</formula>
    </cfRule>
  </conditionalFormatting>
  <conditionalFormatting sqref="F73:H80">
    <cfRule type="expression" dxfId="0" priority="22">
      <formula>MOD(ROW(),2)=1</formula>
    </cfRule>
  </conditionalFormatting>
  <conditionalFormatting sqref="F72">
    <cfRule type="expression" dxfId="0" priority="23">
      <formula>MOD(ROW(),2)=1</formula>
    </cfRule>
  </conditionalFormatting>
  <conditionalFormatting sqref="E71:F71">
    <cfRule type="expression" dxfId="0" priority="24">
      <formula>MOD(ROW(),2)=1</formula>
    </cfRule>
  </conditionalFormatting>
  <conditionalFormatting sqref="B79:E81">
    <cfRule type="expression" dxfId="0" priority="25">
      <formula>MOD(ROW(),2)=1</formula>
    </cfRule>
  </conditionalFormatting>
  <conditionalFormatting sqref="B59">
    <cfRule type="expression" dxfId="0" priority="26">
      <formula>MOD(ROW(),2)=1</formula>
    </cfRule>
  </conditionalFormatting>
  <conditionalFormatting sqref="B2:B3">
    <cfRule type="expression" dxfId="0" priority="27">
      <formula>MOD(ROW(),2)=1</formula>
    </cfRule>
  </conditionalFormatting>
  <conditionalFormatting sqref="C58:D58">
    <cfRule type="expression" dxfId="0" priority="28">
      <formula>MOD(ROW(),2)=1</formula>
    </cfRule>
  </conditionalFormatting>
  <conditionalFormatting sqref="B58">
    <cfRule type="expression" dxfId="0" priority="29">
      <formula>MOD(ROW(),2)=1</formula>
    </cfRule>
  </conditionalFormatting>
  <conditionalFormatting sqref="C90:D90">
    <cfRule type="expression" dxfId="0" priority="30">
      <formula>MOD(ROW(),2)=1</formula>
    </cfRule>
  </conditionalFormatting>
  <conditionalFormatting sqref="B90">
    <cfRule type="expression" dxfId="0" priority="31">
      <formula>MOD(ROW(),2)=1</formula>
    </cfRule>
  </conditionalFormatting>
  <conditionalFormatting sqref="F62"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conditionalFormatting sqref="F25">
    <cfRule type="cellIs" dxfId="3" priority="38" operator="lessThan">
      <formula>TODAY()</formula>
    </cfRule>
    <cfRule type="timePeriod" dxfId="1" priority="39" timePeriod="last7Days">
      <formula/>
    </cfRule>
    <cfRule type="timePeriod" dxfId="1" priority="40" timePeriod="yesterday">
      <formula/>
    </cfRule>
    <cfRule type="timePeriod" dxfId="1" priority="41" timePeriod="lastMonth">
      <formula/>
    </cfRule>
    <cfRule type="timePeriod" dxfId="1" priority="42" timePeriod="yesterday">
      <formula/>
    </cfRule>
    <cfRule type="timePeriod" dxfId="1" priority="43" timePeriod="today">
      <formula/>
    </cfRule>
  </conditionalFormatting>
  <conditionalFormatting sqref="G4">
    <cfRule type="expression" dxfId="0" priority="44">
      <formula>MOD(ROW(),2)=1</formula>
    </cfRule>
  </conditionalFormatting>
  <conditionalFormatting sqref="B4:F4">
    <cfRule type="expression" dxfId="0" priority="45">
      <formula>MOD(ROW(),2)=1</formula>
    </cfRule>
  </conditionalFormatting>
  <conditionalFormatting sqref="F4">
    <cfRule type="cellIs" dxfId="3" priority="46" operator="lessThan">
      <formula>TODAY()</formula>
    </cfRule>
    <cfRule type="timePeriod" dxfId="1" priority="47" timePeriod="last7Days">
      <formula/>
    </cfRule>
    <cfRule type="timePeriod" dxfId="1" priority="48" timePeriod="yesterday">
      <formula/>
    </cfRule>
    <cfRule type="timePeriod" dxfId="1" priority="49" timePeriod="lastMonth">
      <formula/>
    </cfRule>
    <cfRule type="timePeriod" dxfId="1" priority="50" timePeriod="yesterday">
      <formula/>
    </cfRule>
    <cfRule type="timePeriod" dxfId="1" priority="51" timePeriod="today">
      <formula/>
    </cfRule>
  </conditionalFormatting>
  <conditionalFormatting sqref="D71">
    <cfRule type="expression" dxfId="0" priority="52">
      <formula>MOD(ROW(),2)=1</formula>
    </cfRule>
  </conditionalFormatting>
  <conditionalFormatting sqref="B10">
    <cfRule type="expression" dxfId="0" priority="53">
      <formula>MOD(ROW(),2)=1</formula>
    </cfRule>
  </conditionalFormatting>
  <conditionalFormatting sqref="B15:B21">
    <cfRule type="expression" dxfId="0" priority="54">
      <formula>MOD(ROW(),2)=1</formula>
    </cfRule>
  </conditionalFormatting>
  <conditionalFormatting sqref="B25:B29">
    <cfRule type="expression" dxfId="0" priority="55">
      <formula>MOD(ROW(),2)=1</formula>
    </cfRule>
  </conditionalFormatting>
  <conditionalFormatting sqref="B77:E78">
    <cfRule type="expression" dxfId="0" priority="56">
      <formula>MOD(ROW(),2)=1</formula>
    </cfRule>
  </conditionalFormatting>
  <conditionalFormatting sqref="D72:D74">
    <cfRule type="expression" dxfId="0" priority="57">
      <formula>MOD(ROW(),2)=1</formula>
    </cfRule>
  </conditionalFormatting>
  <conditionalFormatting sqref="D22:D24">
    <cfRule type="expression" dxfId="0" priority="58">
      <formula>MOD(ROW(),2)=1</formula>
    </cfRule>
  </conditionalFormatting>
  <conditionalFormatting sqref="F22:G24">
    <cfRule type="expression" dxfId="0" priority="59">
      <formula>MOD(ROW(),2)=1</formula>
    </cfRule>
  </conditionalFormatting>
  <conditionalFormatting sqref="E22:E24">
    <cfRule type="expression" dxfId="0" priority="60">
      <formula>MOD(ROW(),2)=1</formula>
    </cfRule>
  </conditionalFormatting>
  <conditionalFormatting sqref="B22:B24">
    <cfRule type="expression" dxfId="0" priority="61">
      <formula>MOD(ROW(),2)=1</formula>
    </cfRule>
  </conditionalFormatting>
  <conditionalFormatting sqref="C22:C24">
    <cfRule type="expression" dxfId="0" priority="62">
      <formula>MOD(ROW(),2)=1</formula>
    </cfRule>
  </conditionalFormatting>
  <conditionalFormatting sqref="B61:F61">
    <cfRule type="expression" dxfId="0" priority="63">
      <formula>MOD(ROW(),2)=1</formula>
    </cfRule>
  </conditionalFormatting>
  <conditionalFormatting sqref="B42:D42">
    <cfRule type="expression" dxfId="0" priority="64">
      <formula>MOD(ROW(),2)=1</formula>
    </cfRule>
  </conditionalFormatting>
  <conditionalFormatting sqref="B43:H44">
    <cfRule type="expression" dxfId="0" priority="65">
      <formula>MOD(ROW(),2)=1</formula>
    </cfRule>
  </conditionalFormatting>
  <conditionalFormatting sqref="B54:H57">
    <cfRule type="expression" dxfId="0" priority="66">
      <formula>MOD(ROW(),2)=1</formula>
    </cfRule>
  </conditionalFormatting>
  <conditionalFormatting sqref="E45:H46">
    <cfRule type="expression" dxfId="0" priority="67">
      <formula>MOD(ROW(),2)=1</formula>
    </cfRule>
  </conditionalFormatting>
  <conditionalFormatting sqref="G47:H49">
    <cfRule type="expression" dxfId="0" priority="68">
      <formula>MOD(ROW(),2)=1</formula>
    </cfRule>
  </conditionalFormatting>
  <conditionalFormatting sqref="D31:D42">
    <cfRule type="expression" dxfId="0" priority="69">
      <formula>MOD(ROW(),2)=1</formula>
    </cfRule>
  </conditionalFormatting>
  <conditionalFormatting sqref="D45:D53">
    <cfRule type="expression" dxfId="0" priority="70">
      <formula>MOD(ROW(),2)=1</formula>
    </cfRule>
  </conditionalFormatting>
  <conditionalFormatting sqref="E50:H53">
    <cfRule type="expression" dxfId="0" priority="71">
      <formula>MOD(ROW(),2)=1</formula>
    </cfRule>
  </conditionalFormatting>
  <conditionalFormatting sqref="B45:D45">
    <cfRule type="expression" dxfId="0" priority="72">
      <formula>MOD(ROW(),2)=1</formula>
    </cfRule>
  </conditionalFormatting>
  <conditionalFormatting sqref="B46:D46">
    <cfRule type="expression" dxfId="0" priority="73">
      <formula>MOD(ROW(),2)=1</formula>
    </cfRule>
  </conditionalFormatting>
  <conditionalFormatting sqref="D47:D49">
    <cfRule type="expression" dxfId="0" priority="74">
      <formula>MOD(ROW(),2)=1</formula>
    </cfRule>
  </conditionalFormatting>
  <conditionalFormatting sqref="B49:C49">
    <cfRule type="expression" dxfId="0" priority="75">
      <formula>MOD(ROW(),2)=1</formula>
    </cfRule>
  </conditionalFormatting>
  <conditionalFormatting sqref="E49:F49">
    <cfRule type="expression" dxfId="0" priority="76">
      <formula>MOD(ROW(),2)=1</formula>
    </cfRule>
  </conditionalFormatting>
  <conditionalFormatting sqref="F49">
    <cfRule type="cellIs" dxfId="3" priority="77" operator="lessThan">
      <formula>TODAY()</formula>
    </cfRule>
    <cfRule type="timePeriod" dxfId="1" priority="78" timePeriod="last7Days">
      <formula/>
    </cfRule>
    <cfRule type="timePeriod" dxfId="1" priority="79" timePeriod="yesterday">
      <formula/>
    </cfRule>
    <cfRule type="timePeriod" dxfId="1" priority="80" timePeriod="lastMonth">
      <formula/>
    </cfRule>
    <cfRule type="timePeriod" dxfId="1" priority="81" timePeriod="yesterday">
      <formula/>
    </cfRule>
    <cfRule type="timePeriod" dxfId="1" priority="82" timePeriod="today">
      <formula/>
    </cfRule>
  </conditionalFormatting>
  <conditionalFormatting sqref="B47:F48">
    <cfRule type="expression" dxfId="0" priority="83">
      <formula>MOD(ROW(),2)=1</formula>
    </cfRule>
  </conditionalFormatting>
  <conditionalFormatting sqref="F47:F48"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B50:D52">
    <cfRule type="expression" dxfId="0" priority="90">
      <formula>MOD(ROW(),2)=1</formula>
    </cfRule>
  </conditionalFormatting>
  <conditionalFormatting sqref="B53:D53">
    <cfRule type="expression" dxfId="0" priority="91">
      <formula>MOD(ROW(),2)=1</formula>
    </cfRule>
  </conditionalFormatting>
  <conditionalFormatting sqref="H7">
    <cfRule type="expression" dxfId="0" priority="92">
      <formula>MOD(ROW(),2)=1</formula>
    </cfRule>
  </conditionalFormatting>
  <conditionalFormatting sqref="G7">
    <cfRule type="expression" dxfId="0" priority="93">
      <formula>MOD(ROW(),2)=1</formula>
    </cfRule>
  </conditionalFormatting>
  <conditionalFormatting sqref="G89:H89">
    <cfRule type="expression" dxfId="0" priority="94">
      <formula>MOD(ROW(),2)=1</formula>
    </cfRule>
  </conditionalFormatting>
  <conditionalFormatting sqref="B82:C89">
    <cfRule type="expression" dxfId="0" priority="95">
      <formula>MOD(ROW(),2)=1</formula>
    </cfRule>
  </conditionalFormatting>
  <conditionalFormatting sqref="E89">
    <cfRule type="expression" dxfId="0" priority="96">
      <formula>MOD(ROW(),2)=1</formula>
    </cfRule>
  </conditionalFormatting>
  <conditionalFormatting sqref="F81:F89">
    <cfRule type="expression" dxfId="0" priority="97">
      <formula>MOD(ROW(),2)=1</formula>
    </cfRule>
  </conditionalFormatting>
  <conditionalFormatting sqref="E82:E88">
    <cfRule type="expression" dxfId="0" priority="98">
      <formula>MOD(ROW(),2)=1</formula>
    </cfRule>
  </conditionalFormatting>
  <conditionalFormatting sqref="D89">
    <cfRule type="expression" dxfId="0" priority="99">
      <formula>MOD(ROW(),2)=1</formula>
    </cfRule>
  </conditionalFormatting>
  <conditionalFormatting sqref="D82:D88">
    <cfRule type="expression" dxfId="0" priority="100">
      <formula>MOD(ROW(),2)=1</formula>
    </cfRule>
  </conditionalFormatting>
  <conditionalFormatting sqref="H22:H25">
    <cfRule type="expression" dxfId="0" priority="101">
      <formula>MOD(ROW(),2)=1</formula>
    </cfRule>
  </conditionalFormatting>
  <conditionalFormatting sqref="H8">
    <cfRule type="expression" dxfId="0" priority="102">
      <formula>MOD(ROW(),2)=1</formula>
    </cfRule>
  </conditionalFormatting>
  <conditionalFormatting sqref="G82:H88">
    <cfRule type="expression" dxfId="0" priority="103">
      <formula>MOD(ROW(),2)=1</formula>
    </cfRule>
  </conditionalFormatting>
  <conditionalFormatting sqref="G71:H72">
    <cfRule type="expression" dxfId="0" priority="104">
      <formula>MOD(ROW(),2)=1</formula>
    </cfRule>
  </conditionalFormatting>
  <conditionalFormatting sqref="G59:H61">
    <cfRule type="expression" dxfId="0" priority="10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1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7"/>
  <sheetViews>
    <sheetView tabSelected="0" workbookViewId="0" zoomScale="85" zoomScaleNormal="85" showGridLines="true" showRowColHeaders="1">
      <pane ySplit="1" topLeftCell="A50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17.86" customWidth="true" style="125"/>
    <col min="2" max="2" width="35.43" customWidth="true" style="6"/>
    <col min="3" max="3" width="24.29" customWidth="true" style="127"/>
    <col min="4" max="4" width="21.57" customWidth="true" style="6"/>
    <col min="5" max="5" width="39.01" customWidth="true" style="3"/>
    <col min="6" max="6" width="20.42" customWidth="true" style="128"/>
    <col min="7" max="7" width="21" customWidth="true" style="128"/>
    <col min="8" max="8" width="11.85" customWidth="true" style="6"/>
    <col min="9" max="9" width="9.13" customWidth="true" style="6"/>
    <col min="10" max="10" width="25.43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96" customFormat="1">
      <c r="A1" s="193" t="s">
        <v>240</v>
      </c>
      <c r="B1" s="193" t="s">
        <v>389</v>
      </c>
      <c r="C1" s="7" t="s">
        <v>1</v>
      </c>
      <c r="D1" s="193" t="s">
        <v>243</v>
      </c>
      <c r="E1" s="7" t="s">
        <v>3</v>
      </c>
      <c r="F1" s="194" t="s">
        <v>4</v>
      </c>
      <c r="G1" s="195" t="s">
        <v>390</v>
      </c>
      <c r="H1" s="131" t="s">
        <v>247</v>
      </c>
    </row>
    <row r="2" spans="1:1024" customHeight="1" ht="18.6">
      <c r="A2" s="197" t="s">
        <v>248</v>
      </c>
      <c r="B2" s="198" t="s">
        <v>147</v>
      </c>
      <c r="C2" s="199" t="s">
        <v>391</v>
      </c>
      <c r="D2" s="200">
        <v>-6872.37</v>
      </c>
      <c r="E2" s="201" t="s">
        <v>253</v>
      </c>
      <c r="F2" s="202">
        <v>44607</v>
      </c>
      <c r="G2" s="202">
        <v>44607</v>
      </c>
      <c r="H2" s="203" t="s">
        <v>254</v>
      </c>
    </row>
    <row r="3" spans="1:1024" customHeight="1" ht="18.6">
      <c r="A3" s="197"/>
      <c r="B3" s="204" t="s">
        <v>147</v>
      </c>
      <c r="C3" s="205" t="s">
        <v>392</v>
      </c>
      <c r="D3" s="206">
        <v>-7391.12</v>
      </c>
      <c r="E3" s="207" t="s">
        <v>253</v>
      </c>
      <c r="F3" s="208">
        <v>44607</v>
      </c>
      <c r="G3" s="208">
        <v>44607</v>
      </c>
      <c r="H3" s="209" t="s">
        <v>254</v>
      </c>
    </row>
    <row r="4" spans="1:1024" customHeight="1" ht="18.6">
      <c r="A4" s="197"/>
      <c r="B4" s="210" t="s">
        <v>147</v>
      </c>
      <c r="C4" s="205" t="s">
        <v>393</v>
      </c>
      <c r="D4" s="206">
        <v>-5491.75</v>
      </c>
      <c r="E4" s="14" t="s">
        <v>253</v>
      </c>
      <c r="F4" s="211">
        <v>44607</v>
      </c>
      <c r="G4" s="211">
        <v>44607</v>
      </c>
      <c r="H4" s="203" t="s">
        <v>254</v>
      </c>
    </row>
    <row r="5" spans="1:1024" customHeight="1" ht="18.6">
      <c r="A5" s="197"/>
      <c r="B5" s="210" t="s">
        <v>394</v>
      </c>
      <c r="C5" s="205" t="s">
        <v>395</v>
      </c>
      <c r="D5" s="206">
        <v>-325.94</v>
      </c>
      <c r="E5" s="14" t="s">
        <v>396</v>
      </c>
      <c r="F5" s="211">
        <v>44612</v>
      </c>
      <c r="G5" s="211">
        <v>44613</v>
      </c>
      <c r="H5" s="203" t="s">
        <v>254</v>
      </c>
    </row>
    <row r="6" spans="1:1024" customHeight="1" ht="18.6">
      <c r="A6" s="197"/>
      <c r="B6" s="210" t="s">
        <v>397</v>
      </c>
      <c r="C6" s="205" t="s">
        <v>398</v>
      </c>
      <c r="D6" s="212">
        <v>480.02</v>
      </c>
      <c r="E6" s="14" t="s">
        <v>266</v>
      </c>
      <c r="F6" s="211">
        <v>44620</v>
      </c>
      <c r="G6" s="211"/>
      <c r="H6" s="203"/>
    </row>
    <row r="7" spans="1:1024" customHeight="1" ht="18.6">
      <c r="A7" s="197"/>
      <c r="B7" s="210" t="s">
        <v>397</v>
      </c>
      <c r="C7" s="205" t="s">
        <v>399</v>
      </c>
      <c r="D7" s="206">
        <v>-768.39</v>
      </c>
      <c r="E7" s="14" t="s">
        <v>268</v>
      </c>
      <c r="F7" s="211">
        <v>44620</v>
      </c>
      <c r="G7" s="211">
        <v>44620</v>
      </c>
      <c r="H7" s="203" t="s">
        <v>254</v>
      </c>
    </row>
    <row r="8" spans="1:1024" customHeight="1" ht="18.6">
      <c r="A8" s="197"/>
      <c r="B8" s="210" t="s">
        <v>284</v>
      </c>
      <c r="C8" s="205" t="s">
        <v>400</v>
      </c>
      <c r="D8" s="206">
        <v>-5068.74</v>
      </c>
      <c r="E8" s="14" t="s">
        <v>286</v>
      </c>
      <c r="F8" s="211">
        <v>44620</v>
      </c>
      <c r="G8" s="211">
        <v>44620</v>
      </c>
      <c r="H8" s="203" t="s">
        <v>254</v>
      </c>
    </row>
    <row r="9" spans="1:1024" customHeight="1" ht="18.6">
      <c r="A9" s="197"/>
      <c r="B9" s="210" t="s">
        <v>394</v>
      </c>
      <c r="C9" s="205" t="s">
        <v>401</v>
      </c>
      <c r="D9" s="206">
        <v>-324.46</v>
      </c>
      <c r="E9" s="14"/>
      <c r="F9" s="211">
        <v>44612</v>
      </c>
      <c r="G9" s="211">
        <v>44613</v>
      </c>
      <c r="H9" s="203" t="s">
        <v>254</v>
      </c>
    </row>
    <row r="10" spans="1:1024" customHeight="1" ht="18.6">
      <c r="A10" s="197"/>
      <c r="B10" s="210" t="s">
        <v>191</v>
      </c>
      <c r="C10" s="205" t="s">
        <v>402</v>
      </c>
      <c r="D10" s="206">
        <v>-1831.19</v>
      </c>
      <c r="E10" s="14" t="s">
        <v>253</v>
      </c>
      <c r="F10" s="211"/>
      <c r="G10" s="211">
        <v>44613</v>
      </c>
      <c r="H10" s="203" t="s">
        <v>254</v>
      </c>
    </row>
    <row r="11" spans="1:1024" customHeight="1" ht="18.6">
      <c r="A11" s="197"/>
      <c r="B11" s="210" t="s">
        <v>191</v>
      </c>
      <c r="C11" s="205" t="s">
        <v>403</v>
      </c>
      <c r="D11" s="206">
        <v>-2034.65</v>
      </c>
      <c r="E11" s="14" t="s">
        <v>253</v>
      </c>
      <c r="F11" s="211">
        <v>44612</v>
      </c>
      <c r="G11" s="211">
        <v>44613</v>
      </c>
      <c r="H11" s="203" t="s">
        <v>254</v>
      </c>
    </row>
    <row r="12" spans="1:1024" customHeight="1" ht="18.6">
      <c r="A12" s="197"/>
      <c r="B12" s="210" t="s">
        <v>191</v>
      </c>
      <c r="C12" s="205" t="s">
        <v>404</v>
      </c>
      <c r="D12" s="206">
        <v>-752.02</v>
      </c>
      <c r="E12" s="14" t="s">
        <v>253</v>
      </c>
      <c r="F12" s="211"/>
      <c r="G12" s="211">
        <v>44613</v>
      </c>
      <c r="H12" s="203" t="s">
        <v>254</v>
      </c>
    </row>
    <row r="13" spans="1:1024" customHeight="1" ht="18.6">
      <c r="A13" s="197"/>
      <c r="B13" s="210" t="s">
        <v>273</v>
      </c>
      <c r="C13" s="205" t="s">
        <v>405</v>
      </c>
      <c r="D13" s="206">
        <v>-240.11</v>
      </c>
      <c r="E13" s="14"/>
      <c r="F13" s="211">
        <v>44620</v>
      </c>
      <c r="G13" s="211">
        <v>44623</v>
      </c>
      <c r="H13" s="203" t="s">
        <v>254</v>
      </c>
    </row>
    <row r="14" spans="1:1024" customHeight="1" ht="18.6">
      <c r="A14" s="197"/>
      <c r="B14" s="210" t="s">
        <v>275</v>
      </c>
      <c r="C14" s="205" t="s">
        <v>406</v>
      </c>
      <c r="D14" s="206">
        <v>-3667.2</v>
      </c>
      <c r="E14" s="14" t="s">
        <v>407</v>
      </c>
      <c r="F14" s="211">
        <v>44620</v>
      </c>
      <c r="G14" s="211">
        <v>44620</v>
      </c>
      <c r="H14" s="203" t="s">
        <v>254</v>
      </c>
    </row>
    <row r="15" spans="1:1024" customHeight="1" ht="18.6">
      <c r="A15" s="197"/>
      <c r="B15" s="210" t="s">
        <v>275</v>
      </c>
      <c r="C15" s="205" t="s">
        <v>408</v>
      </c>
      <c r="D15" s="206">
        <v>-4928.88</v>
      </c>
      <c r="E15" s="14" t="s">
        <v>409</v>
      </c>
      <c r="F15" s="211">
        <v>44620</v>
      </c>
      <c r="G15" s="211">
        <v>44623</v>
      </c>
      <c r="H15" s="203" t="s">
        <v>254</v>
      </c>
    </row>
    <row r="16" spans="1:1024" customHeight="1" ht="18.6">
      <c r="A16" s="197"/>
      <c r="B16" s="210" t="s">
        <v>275</v>
      </c>
      <c r="C16" s="205" t="s">
        <v>410</v>
      </c>
      <c r="D16" s="206">
        <v>-3732.36</v>
      </c>
      <c r="E16" s="14" t="s">
        <v>278</v>
      </c>
      <c r="F16" s="211">
        <v>44620</v>
      </c>
      <c r="G16" s="211">
        <v>44620</v>
      </c>
      <c r="H16" s="203" t="s">
        <v>254</v>
      </c>
    </row>
    <row r="17" spans="1:1024" customHeight="1" ht="18.6">
      <c r="A17" s="197"/>
      <c r="B17" s="210" t="s">
        <v>275</v>
      </c>
      <c r="C17" s="205" t="s">
        <v>411</v>
      </c>
      <c r="D17" s="206">
        <v>-40573.92</v>
      </c>
      <c r="E17" s="14" t="s">
        <v>253</v>
      </c>
      <c r="F17" s="211">
        <v>44620</v>
      </c>
      <c r="G17" s="211">
        <v>44623</v>
      </c>
      <c r="H17" s="203" t="s">
        <v>254</v>
      </c>
    </row>
    <row r="18" spans="1:1024" customHeight="1" ht="18.6">
      <c r="A18" s="197"/>
      <c r="B18" s="210" t="s">
        <v>291</v>
      </c>
      <c r="C18" s="205" t="s">
        <v>412</v>
      </c>
      <c r="D18" s="206">
        <v>-2332.25</v>
      </c>
      <c r="E18" s="14" t="s">
        <v>413</v>
      </c>
      <c r="F18" s="211">
        <v>44620</v>
      </c>
      <c r="G18" s="211">
        <v>44623</v>
      </c>
      <c r="H18" s="203" t="s">
        <v>254</v>
      </c>
    </row>
    <row r="19" spans="1:1024" customHeight="1" ht="18.6">
      <c r="A19" s="197"/>
      <c r="B19" s="210" t="s">
        <v>291</v>
      </c>
      <c r="C19" s="205" t="s">
        <v>414</v>
      </c>
      <c r="D19" s="206">
        <v>-689.4</v>
      </c>
      <c r="E19" s="14" t="s">
        <v>294</v>
      </c>
      <c r="F19" s="211">
        <v>44620</v>
      </c>
      <c r="G19" s="211">
        <v>44623</v>
      </c>
      <c r="H19" s="203" t="s">
        <v>254</v>
      </c>
    </row>
    <row r="20" spans="1:1024" customHeight="1" ht="18.6">
      <c r="A20" s="197"/>
      <c r="B20" s="210" t="s">
        <v>291</v>
      </c>
      <c r="C20" s="205" t="s">
        <v>415</v>
      </c>
      <c r="D20" s="206">
        <v>-29558.22</v>
      </c>
      <c r="E20" s="14" t="s">
        <v>263</v>
      </c>
      <c r="F20" s="211">
        <v>44620</v>
      </c>
      <c r="G20" s="211">
        <v>44623</v>
      </c>
      <c r="H20" s="203" t="s">
        <v>254</v>
      </c>
    </row>
    <row r="21" spans="1:1024" customHeight="1" ht="18.6">
      <c r="A21" s="197"/>
      <c r="B21" s="210" t="s">
        <v>291</v>
      </c>
      <c r="C21" s="205" t="s">
        <v>416</v>
      </c>
      <c r="D21" s="206">
        <v>-1980.92</v>
      </c>
      <c r="E21" s="14" t="s">
        <v>417</v>
      </c>
      <c r="F21" s="211">
        <v>44620</v>
      </c>
      <c r="G21" s="211">
        <v>44623</v>
      </c>
      <c r="H21" s="203" t="s">
        <v>254</v>
      </c>
    </row>
    <row r="22" spans="1:1024" customHeight="1" ht="18.6">
      <c r="A22" s="197"/>
      <c r="B22" s="210" t="s">
        <v>291</v>
      </c>
      <c r="C22" s="205" t="s">
        <v>418</v>
      </c>
      <c r="D22" s="206">
        <v>-330.25</v>
      </c>
      <c r="E22" s="14" t="s">
        <v>419</v>
      </c>
      <c r="F22" s="211">
        <v>44620</v>
      </c>
      <c r="G22" s="211">
        <v>44623</v>
      </c>
      <c r="H22" s="203" t="s">
        <v>254</v>
      </c>
    </row>
    <row r="23" spans="1:1024" customHeight="1" ht="18.6">
      <c r="A23" s="197"/>
      <c r="B23" s="210" t="s">
        <v>291</v>
      </c>
      <c r="C23" s="205" t="s">
        <v>420</v>
      </c>
      <c r="D23" s="206">
        <v>-510.52</v>
      </c>
      <c r="E23" s="14" t="s">
        <v>421</v>
      </c>
      <c r="F23" s="211">
        <v>44620</v>
      </c>
      <c r="G23" s="211">
        <v>44623</v>
      </c>
      <c r="H23" s="203" t="s">
        <v>254</v>
      </c>
    </row>
    <row r="24" spans="1:1024" customHeight="1" ht="18.6">
      <c r="A24" s="197"/>
      <c r="B24" s="210" t="s">
        <v>422</v>
      </c>
      <c r="C24" s="205" t="s">
        <v>423</v>
      </c>
      <c r="D24" s="206">
        <v>-711.5</v>
      </c>
      <c r="E24" s="14"/>
      <c r="F24" s="211">
        <v>44620</v>
      </c>
      <c r="G24" s="211">
        <v>44620</v>
      </c>
      <c r="H24" s="203" t="s">
        <v>254</v>
      </c>
    </row>
    <row r="25" spans="1:1024" customHeight="1" ht="18.6">
      <c r="A25" s="197"/>
      <c r="B25" s="210" t="s">
        <v>422</v>
      </c>
      <c r="C25" s="205" t="s">
        <v>424</v>
      </c>
      <c r="D25" s="206">
        <v>-1492.81</v>
      </c>
      <c r="E25" s="14" t="s">
        <v>425</v>
      </c>
      <c r="F25" s="211">
        <v>44620</v>
      </c>
      <c r="G25" s="211">
        <v>44620</v>
      </c>
      <c r="H25" s="203" t="s">
        <v>254</v>
      </c>
    </row>
    <row r="26" spans="1:1024" customHeight="1" ht="18.6">
      <c r="A26" s="197"/>
      <c r="B26" s="210" t="s">
        <v>422</v>
      </c>
      <c r="C26" s="205" t="s">
        <v>426</v>
      </c>
      <c r="D26" s="206">
        <v>-1658.73</v>
      </c>
      <c r="E26" s="14" t="s">
        <v>417</v>
      </c>
      <c r="F26" s="211">
        <v>44620</v>
      </c>
      <c r="G26" s="211">
        <v>44620</v>
      </c>
      <c r="H26" s="203" t="s">
        <v>254</v>
      </c>
    </row>
    <row r="27" spans="1:1024" customHeight="1" ht="18.6">
      <c r="A27" s="197"/>
      <c r="B27" s="210" t="s">
        <v>422</v>
      </c>
      <c r="C27" s="205" t="s">
        <v>427</v>
      </c>
      <c r="D27" s="206">
        <v>-99.28</v>
      </c>
      <c r="E27" s="14" t="s">
        <v>428</v>
      </c>
      <c r="F27" s="211">
        <v>44620</v>
      </c>
      <c r="G27" s="211">
        <v>44620</v>
      </c>
      <c r="H27" s="203" t="s">
        <v>254</v>
      </c>
    </row>
    <row r="28" spans="1:1024" customHeight="1" ht="18.6">
      <c r="A28" s="197"/>
      <c r="B28" s="210" t="s">
        <v>422</v>
      </c>
      <c r="C28" s="205" t="s">
        <v>429</v>
      </c>
      <c r="D28" s="206">
        <v>-28.71</v>
      </c>
      <c r="E28" s="14" t="s">
        <v>430</v>
      </c>
      <c r="F28" s="211">
        <v>44620</v>
      </c>
      <c r="G28" s="211">
        <v>44620</v>
      </c>
      <c r="H28" s="203" t="s">
        <v>254</v>
      </c>
    </row>
    <row r="29" spans="1:1024" customHeight="1" ht="18.6">
      <c r="A29" s="197"/>
      <c r="B29" s="210" t="s">
        <v>422</v>
      </c>
      <c r="C29" s="205" t="s">
        <v>431</v>
      </c>
      <c r="D29" s="206">
        <v>-457.84</v>
      </c>
      <c r="E29" s="14"/>
      <c r="F29" s="211">
        <v>44620</v>
      </c>
      <c r="G29" s="211">
        <v>44620</v>
      </c>
      <c r="H29" s="203" t="s">
        <v>254</v>
      </c>
    </row>
    <row r="30" spans="1:1024" customHeight="1" ht="18.6">
      <c r="A30" s="197"/>
      <c r="B30" s="213" t="s">
        <v>422</v>
      </c>
      <c r="C30" s="214" t="s">
        <v>432</v>
      </c>
      <c r="D30" s="215">
        <v>5829.9</v>
      </c>
      <c r="E30" s="216"/>
      <c r="F30" s="217">
        <v>44620</v>
      </c>
      <c r="G30" s="211">
        <v>44620</v>
      </c>
      <c r="H30" s="203" t="s">
        <v>254</v>
      </c>
    </row>
    <row r="31" spans="1:1024" customHeight="1" ht="18.6">
      <c r="A31" s="197"/>
      <c r="B31" s="210" t="s">
        <v>249</v>
      </c>
      <c r="C31" s="205" t="s">
        <v>433</v>
      </c>
      <c r="D31" s="206">
        <v>12.31</v>
      </c>
      <c r="E31" s="218"/>
      <c r="F31" s="211">
        <v>44594</v>
      </c>
      <c r="G31" s="208">
        <v>44624</v>
      </c>
      <c r="H31" s="209" t="s">
        <v>254</v>
      </c>
    </row>
    <row r="32" spans="1:1024" customHeight="1" ht="18.6">
      <c r="A32" s="197"/>
      <c r="B32" s="219" t="s">
        <v>289</v>
      </c>
      <c r="C32" s="220" t="s">
        <v>434</v>
      </c>
      <c r="D32" s="221">
        <v>-1305.31</v>
      </c>
      <c r="E32" s="222" t="s">
        <v>435</v>
      </c>
      <c r="F32" s="211"/>
      <c r="G32" s="208"/>
      <c r="H32" s="209"/>
    </row>
    <row r="33" spans="1:1024" customHeight="1" ht="18.6">
      <c r="A33" s="197"/>
      <c r="B33" s="210" t="s">
        <v>271</v>
      </c>
      <c r="C33" s="205" t="s">
        <v>436</v>
      </c>
      <c r="D33" s="206">
        <v>-126.19</v>
      </c>
      <c r="E33" s="14"/>
      <c r="F33" s="211">
        <v>44620</v>
      </c>
      <c r="G33" s="208">
        <v>44620</v>
      </c>
      <c r="H33" s="209" t="s">
        <v>254</v>
      </c>
    </row>
    <row r="34" spans="1:1024" customHeight="1" ht="18.6">
      <c r="A34" s="197"/>
      <c r="B34" s="223" t="s">
        <v>35</v>
      </c>
      <c r="C34" s="224"/>
      <c r="D34" s="225" t="str">
        <f>SUM(D2:D33)</f>
        <v>0</v>
      </c>
      <c r="E34" s="226"/>
      <c r="F34" s="227"/>
      <c r="G34" s="227"/>
      <c r="H34" s="228"/>
    </row>
    <row r="35" spans="1:1024" customHeight="1" ht="18.6">
      <c r="A35" s="229" t="s">
        <v>299</v>
      </c>
      <c r="B35" s="156" t="s">
        <v>322</v>
      </c>
      <c r="C35" s="157"/>
      <c r="D35" s="158">
        <v>10078</v>
      </c>
      <c r="E35" s="159" t="s">
        <v>323</v>
      </c>
      <c r="F35" s="160">
        <v>44607</v>
      </c>
      <c r="G35" s="143">
        <v>44608</v>
      </c>
      <c r="H35" s="209" t="s">
        <v>254</v>
      </c>
    </row>
    <row r="36" spans="1:1024" customHeight="1" ht="18.6">
      <c r="A36" s="229"/>
      <c r="B36" s="139" t="s">
        <v>300</v>
      </c>
      <c r="C36" s="140" t="s">
        <v>301</v>
      </c>
      <c r="D36" s="141">
        <v>99.97</v>
      </c>
      <c r="E36" s="142" t="s">
        <v>302</v>
      </c>
      <c r="F36" s="143">
        <v>44597</v>
      </c>
      <c r="G36" s="143"/>
      <c r="H36" s="209" t="s">
        <v>254</v>
      </c>
    </row>
    <row r="37" spans="1:1024" customHeight="1" ht="18.6">
      <c r="A37" s="229"/>
      <c r="B37" s="139" t="s">
        <v>300</v>
      </c>
      <c r="C37" s="140" t="s">
        <v>303</v>
      </c>
      <c r="D37" s="141">
        <v>127.11</v>
      </c>
      <c r="E37" s="142" t="s">
        <v>302</v>
      </c>
      <c r="F37" s="143">
        <v>44597</v>
      </c>
      <c r="G37" s="143">
        <v>44599</v>
      </c>
      <c r="H37" s="209" t="s">
        <v>254</v>
      </c>
    </row>
    <row r="38" spans="1:1024" customHeight="1" ht="18.6">
      <c r="A38" s="229"/>
      <c r="B38" s="139" t="s">
        <v>300</v>
      </c>
      <c r="C38" s="140" t="s">
        <v>304</v>
      </c>
      <c r="D38" s="141">
        <v>100.82</v>
      </c>
      <c r="E38" s="142"/>
      <c r="F38" s="143">
        <v>44597</v>
      </c>
      <c r="G38" s="143">
        <v>44599</v>
      </c>
      <c r="H38" s="209" t="s">
        <v>254</v>
      </c>
    </row>
    <row r="39" spans="1:1024" customHeight="1" ht="18.6">
      <c r="A39" s="229"/>
      <c r="B39" s="139" t="s">
        <v>300</v>
      </c>
      <c r="C39" s="140" t="s">
        <v>305</v>
      </c>
      <c r="D39" s="141">
        <v>104.12</v>
      </c>
      <c r="E39" s="142"/>
      <c r="F39" s="143">
        <v>44597</v>
      </c>
      <c r="G39" s="143">
        <v>44599</v>
      </c>
      <c r="H39" s="209" t="s">
        <v>254</v>
      </c>
    </row>
    <row r="40" spans="1:1024" customHeight="1" ht="18.6">
      <c r="A40" s="229"/>
      <c r="B40" s="139" t="s">
        <v>300</v>
      </c>
      <c r="C40" s="140" t="s">
        <v>306</v>
      </c>
      <c r="D40" s="141">
        <v>71.32</v>
      </c>
      <c r="E40" s="142"/>
      <c r="F40" s="143">
        <v>44597</v>
      </c>
      <c r="G40" s="143">
        <v>44599</v>
      </c>
      <c r="H40" s="209" t="s">
        <v>254</v>
      </c>
    </row>
    <row r="41" spans="1:1024" customHeight="1" ht="18.6">
      <c r="A41" s="229"/>
      <c r="B41" s="139" t="s">
        <v>300</v>
      </c>
      <c r="C41" s="140" t="s">
        <v>307</v>
      </c>
      <c r="D41" s="141">
        <v>89.4</v>
      </c>
      <c r="E41" s="142"/>
      <c r="F41" s="143">
        <v>44597</v>
      </c>
      <c r="G41" s="143">
        <v>44599</v>
      </c>
      <c r="H41" s="209" t="s">
        <v>254</v>
      </c>
    </row>
    <row r="42" spans="1:1024" customHeight="1" ht="18.6">
      <c r="A42" s="229"/>
      <c r="B42" s="139" t="s">
        <v>314</v>
      </c>
      <c r="C42" s="140"/>
      <c r="D42" s="141">
        <v>50</v>
      </c>
      <c r="E42" s="142" t="s">
        <v>315</v>
      </c>
      <c r="F42" s="143">
        <v>44598</v>
      </c>
      <c r="G42" s="143">
        <v>44599</v>
      </c>
      <c r="H42" s="209" t="s">
        <v>254</v>
      </c>
    </row>
    <row r="43" spans="1:1024" customHeight="1" ht="18.6">
      <c r="A43" s="229"/>
      <c r="B43" s="230" t="s">
        <v>437</v>
      </c>
      <c r="C43" s="140" t="s">
        <v>438</v>
      </c>
      <c r="D43" s="141">
        <v>20.24</v>
      </c>
      <c r="E43" s="142" t="s">
        <v>376</v>
      </c>
      <c r="F43" s="143">
        <v>44599</v>
      </c>
      <c r="G43" s="143">
        <v>44599</v>
      </c>
      <c r="H43" s="209" t="s">
        <v>254</v>
      </c>
    </row>
    <row r="44" spans="1:1024" customHeight="1" ht="18.6">
      <c r="A44" s="229"/>
      <c r="B44" s="156" t="s">
        <v>308</v>
      </c>
      <c r="C44" s="157"/>
      <c r="D44" s="158">
        <v>3203.09</v>
      </c>
      <c r="E44" s="159" t="s">
        <v>439</v>
      </c>
      <c r="F44" s="160">
        <v>44599</v>
      </c>
      <c r="G44" s="143">
        <v>44599</v>
      </c>
      <c r="H44" s="209" t="s">
        <v>254</v>
      </c>
    </row>
    <row r="45" spans="1:1024" customHeight="1" ht="18.6">
      <c r="A45" s="229"/>
      <c r="B45" s="230" t="s">
        <v>437</v>
      </c>
      <c r="C45" s="140" t="s">
        <v>440</v>
      </c>
      <c r="D45" s="141">
        <v>163.77</v>
      </c>
      <c r="E45" s="142" t="s">
        <v>441</v>
      </c>
      <c r="F45" s="143">
        <v>44601</v>
      </c>
      <c r="G45" s="143">
        <v>44601</v>
      </c>
      <c r="H45" s="209" t="s">
        <v>254</v>
      </c>
    </row>
    <row r="46" spans="1:1024" customHeight="1" ht="18.6">
      <c r="A46" s="229"/>
      <c r="B46" s="156" t="s">
        <v>35</v>
      </c>
      <c r="C46" s="157" t="s">
        <v>442</v>
      </c>
      <c r="D46" s="158">
        <v>1966.62</v>
      </c>
      <c r="E46" s="159"/>
      <c r="F46" s="160">
        <v>44602</v>
      </c>
      <c r="G46" s="143">
        <v>44602</v>
      </c>
      <c r="H46" s="209" t="s">
        <v>254</v>
      </c>
    </row>
    <row r="47" spans="1:1024" customHeight="1" ht="18.6">
      <c r="A47" s="229"/>
      <c r="B47" s="139" t="s">
        <v>300</v>
      </c>
      <c r="C47" s="140" t="s">
        <v>320</v>
      </c>
      <c r="D47" s="141">
        <v>15.24</v>
      </c>
      <c r="E47" s="142" t="s">
        <v>321</v>
      </c>
      <c r="F47" s="143">
        <v>44607</v>
      </c>
      <c r="G47" s="143">
        <v>44607</v>
      </c>
      <c r="H47" s="209" t="s">
        <v>254</v>
      </c>
    </row>
    <row r="48" spans="1:1024" customHeight="1" ht="18.6">
      <c r="A48" s="229"/>
      <c r="B48" s="231" t="s">
        <v>300</v>
      </c>
      <c r="C48" s="205" t="s">
        <v>324</v>
      </c>
      <c r="D48" s="232">
        <v>50.31</v>
      </c>
      <c r="E48" s="233"/>
      <c r="F48" s="211">
        <v>44607</v>
      </c>
      <c r="G48" s="211">
        <v>44609</v>
      </c>
      <c r="H48" s="209" t="s">
        <v>254</v>
      </c>
    </row>
    <row r="49" spans="1:1024" customHeight="1" ht="18.6">
      <c r="A49" s="229"/>
      <c r="B49" s="231" t="s">
        <v>314</v>
      </c>
      <c r="C49" s="205"/>
      <c r="D49" s="206">
        <v>43</v>
      </c>
      <c r="E49" s="233"/>
      <c r="F49" s="211">
        <v>44612</v>
      </c>
      <c r="G49" s="211">
        <v>44613</v>
      </c>
      <c r="H49" s="209" t="s">
        <v>254</v>
      </c>
    </row>
    <row r="50" spans="1:1024" customHeight="1" ht="18.6">
      <c r="A50" s="229"/>
      <c r="B50" s="139" t="s">
        <v>314</v>
      </c>
      <c r="C50" s="140"/>
      <c r="D50" s="141">
        <v>31</v>
      </c>
      <c r="E50" s="142"/>
      <c r="F50" s="143">
        <v>44612</v>
      </c>
      <c r="G50" s="143">
        <v>44613</v>
      </c>
      <c r="H50" s="209" t="s">
        <v>254</v>
      </c>
    </row>
    <row r="51" spans="1:1024" customHeight="1" ht="18.6">
      <c r="A51" s="229"/>
      <c r="B51" s="139" t="s">
        <v>314</v>
      </c>
      <c r="C51" s="140"/>
      <c r="D51" s="141">
        <v>31</v>
      </c>
      <c r="E51" s="142"/>
      <c r="F51" s="143">
        <v>44612</v>
      </c>
      <c r="G51" s="143">
        <v>44613</v>
      </c>
      <c r="H51" s="209" t="s">
        <v>254</v>
      </c>
    </row>
    <row r="52" spans="1:1024" customHeight="1" ht="18.6">
      <c r="A52" s="229"/>
      <c r="B52" s="156" t="s">
        <v>327</v>
      </c>
      <c r="C52" s="157" t="s">
        <v>328</v>
      </c>
      <c r="D52" s="158">
        <v>5074</v>
      </c>
      <c r="E52" s="159"/>
      <c r="F52" s="160">
        <v>44612</v>
      </c>
      <c r="G52" s="143">
        <v>44609</v>
      </c>
      <c r="H52" s="209" t="s">
        <v>254</v>
      </c>
    </row>
    <row r="53" spans="1:1024" customHeight="1" ht="18.6">
      <c r="A53" s="229"/>
      <c r="B53" s="156" t="s">
        <v>329</v>
      </c>
      <c r="C53" s="157"/>
      <c r="D53" s="158">
        <v>1891.31</v>
      </c>
      <c r="E53" s="159"/>
      <c r="F53" s="160">
        <v>44612</v>
      </c>
      <c r="G53" s="143">
        <v>44617</v>
      </c>
      <c r="H53" s="209" t="s">
        <v>254</v>
      </c>
    </row>
    <row r="54" spans="1:1024" customHeight="1" ht="18.6">
      <c r="A54" s="229"/>
      <c r="B54" s="139" t="s">
        <v>314</v>
      </c>
      <c r="C54" s="140" t="s">
        <v>325</v>
      </c>
      <c r="D54" s="141">
        <v>36.54</v>
      </c>
      <c r="E54" s="142" t="s">
        <v>326</v>
      </c>
      <c r="F54" s="143">
        <v>44617</v>
      </c>
      <c r="G54" s="143">
        <v>44252</v>
      </c>
      <c r="H54" s="209" t="s">
        <v>254</v>
      </c>
    </row>
    <row r="55" spans="1:1024" customHeight="1" ht="18.6">
      <c r="A55" s="229"/>
      <c r="B55" s="156" t="s">
        <v>337</v>
      </c>
      <c r="C55" s="157"/>
      <c r="D55" s="158">
        <v>1500.57</v>
      </c>
      <c r="E55" s="159"/>
      <c r="F55" s="160">
        <v>44617</v>
      </c>
      <c r="G55" s="143">
        <v>44613</v>
      </c>
      <c r="H55" s="209" t="s">
        <v>254</v>
      </c>
    </row>
    <row r="56" spans="1:1024" customHeight="1" ht="18.6">
      <c r="A56" s="229"/>
      <c r="B56" s="139" t="s">
        <v>338</v>
      </c>
      <c r="C56" s="140" t="s">
        <v>339</v>
      </c>
      <c r="D56" s="141">
        <v>5283.09</v>
      </c>
      <c r="E56" s="142"/>
      <c r="F56" s="143">
        <v>44618</v>
      </c>
      <c r="G56" s="143">
        <v>44617</v>
      </c>
      <c r="H56" s="209" t="s">
        <v>254</v>
      </c>
    </row>
    <row r="57" spans="1:1024" customHeight="1" ht="18.6">
      <c r="A57" s="229"/>
      <c r="B57" s="156" t="s">
        <v>443</v>
      </c>
      <c r="C57" s="157" t="s">
        <v>444</v>
      </c>
      <c r="D57" s="158">
        <v>796.49</v>
      </c>
      <c r="E57" s="159" t="s">
        <v>253</v>
      </c>
      <c r="F57" s="160">
        <v>44620</v>
      </c>
      <c r="G57" s="143">
        <v>44620</v>
      </c>
      <c r="H57" s="209" t="s">
        <v>254</v>
      </c>
    </row>
    <row r="58" spans="1:1024" customHeight="1" ht="18.6">
      <c r="A58" s="229"/>
      <c r="B58" s="156" t="s">
        <v>445</v>
      </c>
      <c r="C58" s="157" t="s">
        <v>446</v>
      </c>
      <c r="D58" s="158">
        <v>936.1</v>
      </c>
      <c r="E58" s="159"/>
      <c r="F58" s="160">
        <v>44620</v>
      </c>
      <c r="G58" s="143" t="s">
        <v>447</v>
      </c>
      <c r="H58" s="209" t="s">
        <v>254</v>
      </c>
    </row>
    <row r="59" spans="1:1024" customHeight="1" ht="18.6">
      <c r="A59" s="229"/>
      <c r="B59" s="156" t="s">
        <v>448</v>
      </c>
      <c r="C59" s="157" t="s">
        <v>449</v>
      </c>
      <c r="D59" s="158">
        <v>1236</v>
      </c>
      <c r="E59" s="159" t="s">
        <v>450</v>
      </c>
      <c r="F59" s="143">
        <v>44617</v>
      </c>
      <c r="G59" s="143">
        <v>44617</v>
      </c>
      <c r="H59" s="209" t="s">
        <v>254</v>
      </c>
    </row>
    <row r="60" spans="1:1024" customHeight="1" ht="18.6">
      <c r="A60" s="229"/>
      <c r="B60" s="156" t="s">
        <v>314</v>
      </c>
      <c r="C60" s="157" t="s">
        <v>451</v>
      </c>
      <c r="D60" s="158">
        <v>43</v>
      </c>
      <c r="E60" s="159" t="s">
        <v>452</v>
      </c>
      <c r="F60" s="160">
        <v>44613</v>
      </c>
      <c r="G60" s="143">
        <v>44613</v>
      </c>
      <c r="H60" s="209" t="s">
        <v>254</v>
      </c>
    </row>
    <row r="61" spans="1:1024" customHeight="1" ht="18.6">
      <c r="A61" s="229"/>
      <c r="B61" s="156" t="s">
        <v>35</v>
      </c>
      <c r="C61" s="157" t="s">
        <v>453</v>
      </c>
      <c r="D61" s="158">
        <v>1748.92</v>
      </c>
      <c r="E61" s="159"/>
      <c r="F61" s="160">
        <v>44617</v>
      </c>
      <c r="G61" s="143">
        <v>44617</v>
      </c>
      <c r="H61" s="209" t="s">
        <v>254</v>
      </c>
    </row>
    <row r="62" spans="1:1024" customHeight="1" ht="18.6">
      <c r="A62" s="229"/>
      <c r="B62" s="156" t="s">
        <v>454</v>
      </c>
      <c r="C62" s="157" t="s">
        <v>455</v>
      </c>
      <c r="D62" s="158">
        <v>366.58</v>
      </c>
      <c r="E62" s="159" t="s">
        <v>253</v>
      </c>
      <c r="F62" s="160">
        <v>44681</v>
      </c>
      <c r="G62" s="143"/>
      <c r="H62" s="209"/>
    </row>
    <row r="63" spans="1:1024" customHeight="1" ht="18.6">
      <c r="A63" s="229"/>
      <c r="B63" s="156" t="s">
        <v>456</v>
      </c>
      <c r="C63" s="157" t="s">
        <v>457</v>
      </c>
      <c r="D63" s="158">
        <v>2363.02</v>
      </c>
      <c r="E63" s="159" t="s">
        <v>253</v>
      </c>
      <c r="F63" s="160">
        <v>44681</v>
      </c>
      <c r="G63" s="143"/>
      <c r="H63" s="209"/>
    </row>
    <row r="64" spans="1:1024" customHeight="1" ht="18.6">
      <c r="A64" s="229"/>
      <c r="B64" s="156"/>
      <c r="C64" s="157"/>
      <c r="D64" s="158"/>
      <c r="E64" s="159"/>
      <c r="F64" s="160"/>
      <c r="G64" s="143"/>
      <c r="H64" s="209"/>
    </row>
    <row r="65" spans="1:1024" customHeight="1" ht="18.6">
      <c r="A65" s="229"/>
      <c r="B65" s="156"/>
      <c r="C65" s="157"/>
      <c r="D65" s="158"/>
      <c r="E65" s="159"/>
      <c r="F65" s="160"/>
      <c r="G65" s="143"/>
      <c r="H65" s="209"/>
    </row>
    <row r="66" spans="1:1024" customHeight="1" ht="18.6">
      <c r="A66" s="229"/>
      <c r="B66" s="223" t="s">
        <v>35</v>
      </c>
      <c r="C66" s="234"/>
      <c r="D66" s="235" t="str">
        <f>SUM(D35:D65)</f>
        <v>0</v>
      </c>
      <c r="E66" s="226"/>
      <c r="F66" s="227"/>
      <c r="G66" s="227"/>
      <c r="H66" s="228"/>
    </row>
    <row r="67" spans="1:1024" customHeight="1" ht="18.6">
      <c r="A67" s="236" t="s">
        <v>341</v>
      </c>
      <c r="B67" s="210" t="s">
        <v>458</v>
      </c>
      <c r="C67" s="205" t="s">
        <v>459</v>
      </c>
      <c r="D67" s="206">
        <v>48</v>
      </c>
      <c r="E67" s="218"/>
      <c r="F67" s="211">
        <v>44594</v>
      </c>
      <c r="G67" s="211"/>
      <c r="H67" s="203"/>
    </row>
    <row r="68" spans="1:1024" customHeight="1" ht="18.6">
      <c r="A68" s="236"/>
      <c r="B68" s="210" t="s">
        <v>460</v>
      </c>
      <c r="C68" s="205" t="s">
        <v>461</v>
      </c>
      <c r="D68" s="206">
        <v>500</v>
      </c>
      <c r="E68" s="207" t="s">
        <v>462</v>
      </c>
      <c r="F68" s="211">
        <v>44599</v>
      </c>
      <c r="G68" s="211">
        <v>44599</v>
      </c>
      <c r="H68" s="203" t="s">
        <v>254</v>
      </c>
    </row>
    <row r="69" spans="1:1024" customHeight="1" ht="18.6">
      <c r="A69" s="236"/>
      <c r="B69" s="204" t="s">
        <v>463</v>
      </c>
      <c r="C69" s="205" t="s">
        <v>464</v>
      </c>
      <c r="D69" s="206">
        <v>600</v>
      </c>
      <c r="E69" s="237" t="s">
        <v>465</v>
      </c>
      <c r="F69" s="208">
        <v>44607</v>
      </c>
      <c r="G69" s="208">
        <v>44599</v>
      </c>
      <c r="H69" s="209" t="s">
        <v>254</v>
      </c>
    </row>
    <row r="70" spans="1:1024" customHeight="1" ht="18.6">
      <c r="A70" s="236"/>
      <c r="B70" s="238" t="s">
        <v>346</v>
      </c>
      <c r="C70" s="205" t="s">
        <v>466</v>
      </c>
      <c r="D70" s="206">
        <v>7717.52</v>
      </c>
      <c r="E70" s="207" t="s">
        <v>253</v>
      </c>
      <c r="F70" s="208">
        <v>44606</v>
      </c>
      <c r="G70" s="208">
        <v>44610</v>
      </c>
      <c r="H70" s="209"/>
      <c r="J70" s="19"/>
    </row>
    <row r="71" spans="1:1024" customHeight="1" ht="18.6">
      <c r="A71" s="236"/>
      <c r="B71" s="204" t="s">
        <v>467</v>
      </c>
      <c r="C71" s="205" t="s">
        <v>468</v>
      </c>
      <c r="D71" s="206">
        <v>1440</v>
      </c>
      <c r="E71" s="218"/>
      <c r="F71" s="208">
        <v>44607</v>
      </c>
      <c r="G71" s="208">
        <v>44609</v>
      </c>
      <c r="H71" s="209" t="s">
        <v>254</v>
      </c>
      <c r="J71" s="18"/>
    </row>
    <row r="72" spans="1:1024" customHeight="1" ht="18.6">
      <c r="A72" s="236"/>
      <c r="B72" s="204" t="s">
        <v>469</v>
      </c>
      <c r="C72" s="205" t="s">
        <v>470</v>
      </c>
      <c r="D72" s="206">
        <v>650</v>
      </c>
      <c r="E72" s="218" t="s">
        <v>253</v>
      </c>
      <c r="F72" s="208">
        <v>44607</v>
      </c>
      <c r="G72" s="208">
        <v>44592</v>
      </c>
      <c r="H72" s="209" t="s">
        <v>254</v>
      </c>
      <c r="I72" s="19"/>
      <c r="J72" s="19"/>
      <c r="K72" s="19"/>
      <c r="L72" s="19"/>
      <c r="M72" s="19"/>
    </row>
    <row r="73" spans="1:1024" customHeight="1" ht="18.6">
      <c r="A73" s="236"/>
      <c r="B73" s="204" t="s">
        <v>128</v>
      </c>
      <c r="C73" s="205"/>
      <c r="D73" s="206">
        <v>9000</v>
      </c>
      <c r="E73" s="218" t="s">
        <v>471</v>
      </c>
      <c r="F73" s="208">
        <v>44607</v>
      </c>
      <c r="G73" s="208">
        <v>44609</v>
      </c>
      <c r="H73" s="209" t="s">
        <v>254</v>
      </c>
      <c r="I73" s="19"/>
      <c r="J73" s="19"/>
      <c r="K73" s="19"/>
      <c r="L73" s="19"/>
      <c r="M73" s="19"/>
    </row>
    <row r="74" spans="1:1024" customHeight="1" ht="18.6">
      <c r="A74" s="236"/>
      <c r="B74" s="239" t="s">
        <v>472</v>
      </c>
      <c r="C74" s="205" t="s">
        <v>473</v>
      </c>
      <c r="D74" s="240">
        <v>883.54</v>
      </c>
      <c r="E74" s="233" t="s">
        <v>13</v>
      </c>
      <c r="F74" s="211">
        <v>44620</v>
      </c>
      <c r="G74" s="211"/>
      <c r="H74" s="203"/>
      <c r="J74" s="18"/>
    </row>
    <row r="75" spans="1:1024" customHeight="1" ht="18.6">
      <c r="A75" s="236"/>
      <c r="B75" s="239" t="s">
        <v>186</v>
      </c>
      <c r="C75" s="205" t="s">
        <v>474</v>
      </c>
      <c r="D75" s="206">
        <v>-4380.4</v>
      </c>
      <c r="E75" s="233" t="s">
        <v>253</v>
      </c>
      <c r="F75" s="211">
        <v>44620</v>
      </c>
      <c r="G75" s="211">
        <v>44624</v>
      </c>
      <c r="H75" s="203" t="s">
        <v>254</v>
      </c>
    </row>
    <row r="76" spans="1:1024" customHeight="1" ht="18.6">
      <c r="A76" s="236"/>
      <c r="B76" s="210" t="s">
        <v>475</v>
      </c>
      <c r="C76" s="205" t="s">
        <v>476</v>
      </c>
      <c r="D76" s="206">
        <v>-2937.12</v>
      </c>
      <c r="E76" s="241" t="s">
        <v>253</v>
      </c>
      <c r="F76" s="208">
        <v>44620</v>
      </c>
      <c r="G76" s="208">
        <v>44624</v>
      </c>
      <c r="H76" s="209" t="s">
        <v>254</v>
      </c>
    </row>
    <row r="77" spans="1:1024" customHeight="1" ht="18.6">
      <c r="A77" s="236"/>
      <c r="B77" s="210" t="s">
        <v>361</v>
      </c>
      <c r="C77" s="205" t="s">
        <v>477</v>
      </c>
      <c r="D77" s="206">
        <v>3297.78</v>
      </c>
      <c r="E77" s="14" t="s">
        <v>478</v>
      </c>
      <c r="F77" s="208">
        <v>44620</v>
      </c>
      <c r="G77" s="208">
        <v>44624</v>
      </c>
      <c r="H77" s="209" t="s">
        <v>254</v>
      </c>
      <c r="J77" s="19"/>
    </row>
    <row r="78" spans="1:1024" customHeight="1" ht="18.6">
      <c r="A78" s="236"/>
      <c r="B78" s="210" t="s">
        <v>361</v>
      </c>
      <c r="C78" s="205" t="s">
        <v>479</v>
      </c>
      <c r="D78" s="206">
        <v>16898.92</v>
      </c>
      <c r="E78" s="237" t="s">
        <v>253</v>
      </c>
      <c r="F78" s="208">
        <v>44620</v>
      </c>
      <c r="G78" s="208">
        <v>44624</v>
      </c>
      <c r="H78" s="209" t="s">
        <v>254</v>
      </c>
      <c r="J78" s="18"/>
    </row>
    <row r="79" spans="1:1024" customHeight="1" ht="18.6">
      <c r="A79" s="236"/>
      <c r="B79" s="204" t="s">
        <v>361</v>
      </c>
      <c r="C79" s="205" t="s">
        <v>480</v>
      </c>
      <c r="D79" s="206">
        <v>5347.79</v>
      </c>
      <c r="E79" s="237" t="s">
        <v>478</v>
      </c>
      <c r="F79" s="208">
        <v>44620</v>
      </c>
      <c r="G79" s="208">
        <v>44624</v>
      </c>
      <c r="H79" s="209" t="s">
        <v>254</v>
      </c>
      <c r="J79" s="19"/>
    </row>
    <row r="80" spans="1:1024" customHeight="1" ht="18.6">
      <c r="A80" s="236"/>
      <c r="B80" s="204" t="s">
        <v>361</v>
      </c>
      <c r="C80" s="205" t="s">
        <v>481</v>
      </c>
      <c r="D80" s="206">
        <v>35016.95</v>
      </c>
      <c r="E80" s="237" t="s">
        <v>253</v>
      </c>
      <c r="F80" s="208">
        <v>44620</v>
      </c>
      <c r="G80" s="208">
        <v>44264</v>
      </c>
      <c r="H80" s="209" t="s">
        <v>254</v>
      </c>
    </row>
    <row r="81" spans="1:1024" customHeight="1" ht="18.6">
      <c r="A81" s="236"/>
      <c r="B81" s="238" t="s">
        <v>482</v>
      </c>
      <c r="C81" s="205" t="s">
        <v>483</v>
      </c>
      <c r="D81" s="206">
        <v>-3960</v>
      </c>
      <c r="E81" s="241" t="s">
        <v>253</v>
      </c>
      <c r="F81" s="208">
        <v>44620</v>
      </c>
      <c r="G81" s="208">
        <v>44654</v>
      </c>
      <c r="H81" s="242" t="s">
        <v>254</v>
      </c>
    </row>
    <row r="82" spans="1:1024" customHeight="1" ht="18.6">
      <c r="A82" s="236"/>
      <c r="B82" s="204" t="s">
        <v>187</v>
      </c>
      <c r="C82" s="205" t="s">
        <v>484</v>
      </c>
      <c r="D82" s="206">
        <v>-1500</v>
      </c>
      <c r="E82" s="237" t="s">
        <v>253</v>
      </c>
      <c r="F82" s="208">
        <v>44620</v>
      </c>
      <c r="G82" s="208">
        <v>44623</v>
      </c>
      <c r="H82" s="209" t="s">
        <v>254</v>
      </c>
    </row>
    <row r="83" spans="1:1024" customHeight="1" ht="18.6">
      <c r="A83" s="236"/>
      <c r="B83" s="204" t="s">
        <v>187</v>
      </c>
      <c r="C83" s="205" t="s">
        <v>485</v>
      </c>
      <c r="D83" s="206"/>
      <c r="E83" s="243" t="s">
        <v>486</v>
      </c>
      <c r="F83" s="208">
        <v>44620</v>
      </c>
      <c r="G83" s="208">
        <v>44624</v>
      </c>
      <c r="H83" s="209" t="s">
        <v>254</v>
      </c>
    </row>
    <row r="84" spans="1:1024" customHeight="1" ht="18.6">
      <c r="A84" s="236"/>
      <c r="B84" s="204" t="s">
        <v>375</v>
      </c>
      <c r="C84" s="205" t="s">
        <v>487</v>
      </c>
      <c r="D84" s="206">
        <v>940</v>
      </c>
      <c r="E84" s="241" t="s">
        <v>488</v>
      </c>
      <c r="F84" s="208">
        <v>44602</v>
      </c>
      <c r="G84" s="208">
        <v>44629</v>
      </c>
      <c r="H84" s="209" t="s">
        <v>254</v>
      </c>
    </row>
    <row r="85" spans="1:1024" customHeight="1" ht="18.6">
      <c r="A85" s="236"/>
      <c r="B85" s="244" t="s">
        <v>489</v>
      </c>
      <c r="C85" s="140" t="s">
        <v>490</v>
      </c>
      <c r="D85" s="141">
        <v>-46851.78</v>
      </c>
      <c r="E85" s="146" t="s">
        <v>491</v>
      </c>
      <c r="F85" s="143">
        <v>44607</v>
      </c>
      <c r="G85" s="143">
        <v>44624</v>
      </c>
      <c r="H85" s="245" t="s">
        <v>254</v>
      </c>
    </row>
    <row r="86" spans="1:1024" customHeight="1" ht="18.6">
      <c r="A86" s="236"/>
      <c r="B86" s="204"/>
      <c r="C86" s="205"/>
      <c r="D86" s="206"/>
      <c r="E86" s="237"/>
      <c r="F86" s="208"/>
      <c r="G86" s="208"/>
      <c r="H86" s="209"/>
    </row>
    <row r="87" spans="1:1024" customHeight="1" ht="18.6">
      <c r="A87" s="236"/>
      <c r="B87" s="204"/>
      <c r="C87" s="205"/>
      <c r="D87" s="206"/>
      <c r="E87" s="237"/>
      <c r="F87" s="208"/>
      <c r="G87" s="208"/>
      <c r="H87" s="209"/>
    </row>
    <row r="88" spans="1:1024" customHeight="1" ht="18.6">
      <c r="A88" s="236"/>
      <c r="B88" s="204"/>
      <c r="C88" s="205"/>
      <c r="D88" s="206"/>
      <c r="E88" s="237"/>
      <c r="F88" s="208"/>
      <c r="G88" s="208"/>
      <c r="H88" s="209"/>
    </row>
    <row r="89" spans="1:1024" customHeight="1" ht="18.6">
      <c r="A89" s="236"/>
      <c r="B89" s="204" t="s">
        <v>492</v>
      </c>
      <c r="C89" s="205"/>
      <c r="D89" s="206">
        <v>-590</v>
      </c>
      <c r="E89" s="237" t="s">
        <v>493</v>
      </c>
      <c r="F89" s="208">
        <v>44231</v>
      </c>
      <c r="G89" s="208">
        <v>525.65</v>
      </c>
      <c r="H89" s="209" t="s">
        <v>254</v>
      </c>
    </row>
    <row r="90" spans="1:1024" customHeight="1" ht="18.6">
      <c r="A90" s="246"/>
      <c r="B90" s="204" t="s">
        <v>494</v>
      </c>
      <c r="C90" s="205"/>
      <c r="D90" s="247">
        <v>-2000</v>
      </c>
      <c r="E90" s="237" t="s">
        <v>495</v>
      </c>
      <c r="F90" s="208">
        <v>44602</v>
      </c>
      <c r="G90" s="208">
        <v>2408.15</v>
      </c>
      <c r="H90" s="209" t="s">
        <v>254</v>
      </c>
    </row>
    <row r="91" spans="1:1024" customHeight="1" ht="18.6">
      <c r="A91" s="246"/>
      <c r="B91" s="204"/>
      <c r="C91" s="205"/>
      <c r="D91" s="247"/>
      <c r="E91" s="237"/>
      <c r="F91" s="208"/>
      <c r="G91" s="208">
        <v>52.52</v>
      </c>
      <c r="H91" s="209"/>
    </row>
    <row r="92" spans="1:1024" customHeight="1" ht="18.6">
      <c r="A92" s="248" t="s">
        <v>496</v>
      </c>
      <c r="B92" s="249" t="s">
        <v>35</v>
      </c>
      <c r="C92" s="205"/>
      <c r="D92" s="250" t="str">
        <f>SUM(D67:D90)</f>
        <v>0</v>
      </c>
      <c r="E92" s="237"/>
      <c r="F92" s="208"/>
      <c r="G92" s="208">
        <v>4531.34</v>
      </c>
      <c r="H92" s="209"/>
    </row>
    <row r="93" spans="1:1024" customHeight="1" ht="18.6">
      <c r="A93" s="248"/>
      <c r="B93" s="251"/>
      <c r="C93" s="252"/>
      <c r="D93" s="253"/>
      <c r="E93" s="254"/>
      <c r="F93" s="255"/>
      <c r="G93" s="255">
        <v>1931.86</v>
      </c>
      <c r="H93" s="203"/>
    </row>
    <row r="94" spans="1:1024" customHeight="1" ht="18.6">
      <c r="A94" s="248"/>
      <c r="B94" s="210"/>
      <c r="C94" s="205"/>
      <c r="D94" s="206"/>
      <c r="E94" s="14"/>
      <c r="F94" s="211"/>
      <c r="G94" s="211"/>
      <c r="H94" s="203"/>
    </row>
    <row r="95" spans="1:1024" customHeight="1" ht="18.6">
      <c r="A95" s="248"/>
      <c r="B95" s="210"/>
      <c r="C95" s="205"/>
      <c r="D95" s="206"/>
      <c r="E95" s="14"/>
      <c r="F95" s="211"/>
      <c r="G95" s="211"/>
      <c r="H95" s="203"/>
    </row>
    <row r="96" spans="1:1024" customHeight="1" ht="21">
      <c r="A96" s="256" t="s">
        <v>388</v>
      </c>
      <c r="B96" s="257"/>
      <c r="C96" s="258"/>
      <c r="D96" s="259"/>
      <c r="E96" s="226"/>
      <c r="F96" s="227"/>
      <c r="G96" s="227"/>
      <c r="H96" s="228"/>
    </row>
    <row r="97" spans="1:1024" customHeight="1" ht="21">
      <c r="B97" s="19"/>
      <c r="C97" s="260"/>
      <c r="D97" s="261" t="str">
        <f>D92+D66+D34</f>
        <v>0</v>
      </c>
      <c r="E97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4"/>
    <mergeCell ref="A35:A66"/>
    <mergeCell ref="A67:A89"/>
    <mergeCell ref="A92:A95"/>
  </mergeCells>
  <conditionalFormatting sqref="B2:H2">
    <cfRule type="expression" dxfId="0" priority="1">
      <formula>MOD(ROW(),2)=1</formula>
    </cfRule>
  </conditionalFormatting>
  <conditionalFormatting sqref="H67">
    <cfRule type="expression" dxfId="0" priority="2">
      <formula>MOD(ROW(),2)=1</formula>
    </cfRule>
  </conditionalFormatting>
  <conditionalFormatting sqref="F70:H73">
    <cfRule type="expression" dxfId="0" priority="3">
      <formula>MOD(ROW(),2)=1</formula>
    </cfRule>
  </conditionalFormatting>
  <conditionalFormatting sqref="B66:H66">
    <cfRule type="expression" dxfId="0" priority="4">
      <formula>MOD(ROW(),2)=1</formula>
    </cfRule>
  </conditionalFormatting>
  <conditionalFormatting sqref="B86:H96">
    <cfRule type="expression" dxfId="0" priority="5">
      <formula>MOD(ROW(),2)=1</formula>
    </cfRule>
  </conditionalFormatting>
  <conditionalFormatting sqref="B68:H68">
    <cfRule type="expression" dxfId="0" priority="6">
      <formula>MOD(ROW(),2)=1</formula>
    </cfRule>
  </conditionalFormatting>
  <conditionalFormatting sqref="B4:H34">
    <cfRule type="expression" dxfId="0" priority="7">
      <formula>MOD(ROW(),2)=1</formula>
    </cfRule>
  </conditionalFormatting>
  <conditionalFormatting sqref="B70:D73">
    <cfRule type="expression" dxfId="0" priority="8">
      <formula>MOD(ROW(),2)=1</formula>
    </cfRule>
  </conditionalFormatting>
  <conditionalFormatting sqref="B74:H84">
    <cfRule type="expression" dxfId="0" priority="9">
      <formula>MOD(ROW(),2)=1</formula>
    </cfRule>
  </conditionalFormatting>
  <conditionalFormatting sqref="F2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F66">
    <cfRule type="cellIs" dxfId="3" priority="16" operator="lessThan">
      <formula>TODAY()</formula>
    </cfRule>
    <cfRule type="timePeriod" dxfId="1" priority="17" timePeriod="last7Days">
      <formula/>
    </cfRule>
    <cfRule type="timePeriod" dxfId="1" priority="18" timePeriod="yesterday">
      <formula/>
    </cfRule>
    <cfRule type="timePeriod" dxfId="1" priority="19" timePeriod="lastMonth">
      <formula/>
    </cfRule>
    <cfRule type="timePeriod" dxfId="1" priority="20" timePeriod="yesterday">
      <formula/>
    </cfRule>
    <cfRule type="timePeriod" dxfId="1" priority="21" timePeriod="today">
      <formula/>
    </cfRule>
  </conditionalFormatting>
  <conditionalFormatting sqref="F86:F96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F4:F34">
    <cfRule type="cellIs" dxfId="3" priority="28" operator="lessThan">
      <formula>TODAY()</formula>
    </cfRule>
    <cfRule type="timePeriod" dxfId="1" priority="29" timePeriod="last7Days">
      <formula/>
    </cfRule>
    <cfRule type="timePeriod" dxfId="1" priority="30" timePeriod="yesterday">
      <formula/>
    </cfRule>
    <cfRule type="timePeriod" dxfId="1" priority="31" timePeriod="lastMonth">
      <formula/>
    </cfRule>
    <cfRule type="timePeriod" dxfId="1" priority="32" timePeriod="yesterday">
      <formula/>
    </cfRule>
    <cfRule type="timePeriod" dxfId="1" priority="33" timePeriod="today">
      <formula/>
    </cfRule>
  </conditionalFormatting>
  <conditionalFormatting sqref="F70:F84"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G67">
    <cfRule type="expression" dxfId="0" priority="40">
      <formula>MOD(ROW(),2)=1</formula>
    </cfRule>
  </conditionalFormatting>
  <conditionalFormatting sqref="B67:F67">
    <cfRule type="expression" dxfId="0" priority="41">
      <formula>MOD(ROW(),2)=1</formula>
    </cfRule>
  </conditionalFormatting>
  <conditionalFormatting sqref="E70:E73">
    <cfRule type="expression" dxfId="0" priority="42">
      <formula>MOD(ROW(),2)=1</formula>
    </cfRule>
  </conditionalFormatting>
  <conditionalFormatting sqref="F3:H3">
    <cfRule type="expression" dxfId="0" priority="43">
      <formula>MOD(ROW(),2)=1</formula>
    </cfRule>
  </conditionalFormatting>
  <conditionalFormatting sqref="B3:C3">
    <cfRule type="expression" dxfId="0" priority="44">
      <formula>MOD(ROW(),2)=1</formula>
    </cfRule>
  </conditionalFormatting>
  <conditionalFormatting sqref="F3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E3">
    <cfRule type="expression" dxfId="0" priority="51">
      <formula>MOD(ROW(),2)=1</formula>
    </cfRule>
  </conditionalFormatting>
  <conditionalFormatting sqref="C3">
    <cfRule type="expression" dxfId="0" priority="52">
      <formula>MOD(ROW(),2)=1</formula>
    </cfRule>
  </conditionalFormatting>
  <conditionalFormatting sqref="D3">
    <cfRule type="expression" dxfId="0" priority="53">
      <formula>MOD(ROW(),2)=1</formula>
    </cfRule>
  </conditionalFormatting>
  <conditionalFormatting sqref="B35:G40">
    <cfRule type="expression" dxfId="0" priority="54">
      <formula>MOD(ROW(),2)=1</formula>
    </cfRule>
  </conditionalFormatting>
  <conditionalFormatting sqref="D35:D40">
    <cfRule type="expression" dxfId="0" priority="55">
      <formula>MOD(ROW(),2)=1</formula>
    </cfRule>
  </conditionalFormatting>
  <conditionalFormatting sqref="B41:G41">
    <cfRule type="expression" dxfId="0" priority="56">
      <formula>MOD(ROW(),2)=1</formula>
    </cfRule>
  </conditionalFormatting>
  <conditionalFormatting sqref="D41">
    <cfRule type="expression" dxfId="0" priority="57">
      <formula>MOD(ROW(),2)=1</formula>
    </cfRule>
  </conditionalFormatting>
  <conditionalFormatting sqref="B42:G42">
    <cfRule type="expression" dxfId="0" priority="58">
      <formula>MOD(ROW(),2)=1</formula>
    </cfRule>
  </conditionalFormatting>
  <conditionalFormatting sqref="B42:D42">
    <cfRule type="expression" dxfId="0" priority="59">
      <formula>MOD(ROW(),2)=1</formula>
    </cfRule>
  </conditionalFormatting>
  <conditionalFormatting sqref="D42">
    <cfRule type="expression" dxfId="0" priority="60">
      <formula>MOD(ROW(),2)=1</formula>
    </cfRule>
  </conditionalFormatting>
  <conditionalFormatting sqref="B43:G43">
    <cfRule type="expression" dxfId="0" priority="61">
      <formula>MOD(ROW(),2)=1</formula>
    </cfRule>
    <cfRule type="expression" dxfId="0" priority="62">
      <formula>MOD(ROW(),2)=1</formula>
    </cfRule>
  </conditionalFormatting>
  <conditionalFormatting sqref="B44:G47">
    <cfRule type="expression" dxfId="0" priority="63">
      <formula>MOD(ROW(),2)=1</formula>
    </cfRule>
  </conditionalFormatting>
  <conditionalFormatting sqref="E44:G45">
    <cfRule type="expression" dxfId="0" priority="64">
      <formula>MOD(ROW(),2)=1</formula>
    </cfRule>
  </conditionalFormatting>
  <conditionalFormatting sqref="G46:G47">
    <cfRule type="expression" dxfId="0" priority="65">
      <formula>MOD(ROW(),2)=1</formula>
    </cfRule>
  </conditionalFormatting>
  <conditionalFormatting sqref="D44:D47">
    <cfRule type="expression" dxfId="0" priority="66">
      <formula>MOD(ROW(),2)=1</formula>
    </cfRule>
  </conditionalFormatting>
  <conditionalFormatting sqref="B44:D44">
    <cfRule type="expression" dxfId="0" priority="67">
      <formula>MOD(ROW(),2)=1</formula>
    </cfRule>
  </conditionalFormatting>
  <conditionalFormatting sqref="B45:D45">
    <cfRule type="expression" dxfId="0" priority="68">
      <formula>MOD(ROW(),2)=1</formula>
    </cfRule>
  </conditionalFormatting>
  <conditionalFormatting sqref="D46:D47">
    <cfRule type="expression" dxfId="0" priority="69">
      <formula>MOD(ROW(),2)=1</formula>
    </cfRule>
  </conditionalFormatting>
  <conditionalFormatting sqref="B46:F47">
    <cfRule type="expression" dxfId="0" priority="70">
      <formula>MOD(ROW(),2)=1</formula>
    </cfRule>
  </conditionalFormatting>
  <conditionalFormatting sqref="F46:F47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B50:G50">
    <cfRule type="expression" dxfId="0" priority="77">
      <formula>MOD(ROW(),2)=1</formula>
    </cfRule>
    <cfRule type="expression" dxfId="0" priority="78">
      <formula>MOD(ROW(),2)=1</formula>
    </cfRule>
  </conditionalFormatting>
  <conditionalFormatting sqref="F48:G49">
    <cfRule type="expression" dxfId="0" priority="79">
      <formula>MOD(ROW(),2)=1</formula>
    </cfRule>
  </conditionalFormatting>
  <conditionalFormatting sqref="F48:F49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C48:E49">
    <cfRule type="expression" dxfId="0" priority="86">
      <formula>MOD(ROW(),2)=1</formula>
    </cfRule>
  </conditionalFormatting>
  <conditionalFormatting sqref="B48:B49">
    <cfRule type="expression" dxfId="0" priority="87">
      <formula>MOD(ROW(),2)=1</formula>
    </cfRule>
  </conditionalFormatting>
  <conditionalFormatting sqref="B51:G52">
    <cfRule type="expression" dxfId="0" priority="88">
      <formula>MOD(ROW(),2)=1</formula>
    </cfRule>
  </conditionalFormatting>
  <conditionalFormatting sqref="G51">
    <cfRule type="expression" dxfId="0" priority="89">
      <formula>MOD(ROW(),2)=1</formula>
    </cfRule>
  </conditionalFormatting>
  <conditionalFormatting sqref="D51:D52">
    <cfRule type="expression" dxfId="0" priority="90">
      <formula>MOD(ROW(),2)=1</formula>
    </cfRule>
  </conditionalFormatting>
  <conditionalFormatting sqref="E52:G52">
    <cfRule type="expression" dxfId="0" priority="91">
      <formula>MOD(ROW(),2)=1</formula>
    </cfRule>
  </conditionalFormatting>
  <conditionalFormatting sqref="B51:F51">
    <cfRule type="expression" dxfId="0" priority="92">
      <formula>MOD(ROW(),2)=1</formula>
    </cfRule>
  </conditionalFormatting>
  <conditionalFormatting sqref="F51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B52:D52">
    <cfRule type="expression" dxfId="0" priority="99">
      <formula>MOD(ROW(),2)=1</formula>
    </cfRule>
  </conditionalFormatting>
  <conditionalFormatting sqref="B55:G65">
    <cfRule type="expression" dxfId="0" priority="100">
      <formula>MOD(ROW(),2)=1</formula>
    </cfRule>
  </conditionalFormatting>
  <conditionalFormatting sqref="G55:G65">
    <cfRule type="expression" dxfId="0" priority="101">
      <formula>MOD(ROW(),2)=1</formula>
    </cfRule>
  </conditionalFormatting>
  <conditionalFormatting sqref="D55:D65">
    <cfRule type="expression" dxfId="0" priority="102">
      <formula>MOD(ROW(),2)=1</formula>
    </cfRule>
  </conditionalFormatting>
  <conditionalFormatting sqref="B55:F65">
    <cfRule type="expression" dxfId="0" priority="103">
      <formula>MOD(ROW(),2)=1</formula>
    </cfRule>
  </conditionalFormatting>
  <conditionalFormatting sqref="F55:F65">
    <cfRule type="cellIs" dxfId="3" priority="104" operator="lessThan">
      <formula>TODAY()</formula>
    </cfRule>
    <cfRule type="timePeriod" dxfId="1" priority="105" timePeriod="last7Days">
      <formula/>
    </cfRule>
    <cfRule type="timePeriod" dxfId="1" priority="106" timePeriod="yesterday">
      <formula/>
    </cfRule>
    <cfRule type="timePeriod" dxfId="1" priority="107" timePeriod="lastMonth">
      <formula/>
    </cfRule>
    <cfRule type="timePeriod" dxfId="1" priority="108" timePeriod="yesterday">
      <formula/>
    </cfRule>
    <cfRule type="timePeriod" dxfId="1" priority="109" timePeriod="today">
      <formula/>
    </cfRule>
  </conditionalFormatting>
  <conditionalFormatting sqref="B53:G53">
    <cfRule type="expression" dxfId="0" priority="110">
      <formula>MOD(ROW(),2)=1</formula>
    </cfRule>
    <cfRule type="expression" dxfId="0" priority="111">
      <formula>MOD(ROW(),2)=1</formula>
    </cfRule>
  </conditionalFormatting>
  <conditionalFormatting sqref="B54:G54">
    <cfRule type="expression" dxfId="0" priority="112">
      <formula>MOD(ROW(),2)=1</formula>
    </cfRule>
    <cfRule type="expression" dxfId="0" priority="113">
      <formula>MOD(ROW(),2)=1</formula>
    </cfRule>
  </conditionalFormatting>
  <conditionalFormatting sqref="B85:C85">
    <cfRule type="expression" dxfId="0" priority="114">
      <formula>MOD(ROW(),2)=1</formula>
    </cfRule>
  </conditionalFormatting>
  <conditionalFormatting sqref="E85:H85">
    <cfRule type="expression" dxfId="0" priority="115">
      <formula>MOD(ROW(),2)=1</formula>
    </cfRule>
  </conditionalFormatting>
  <conditionalFormatting sqref="D85">
    <cfRule type="expression" dxfId="0" priority="116">
      <formula>MOD(ROW(),2)=1</formula>
    </cfRule>
  </conditionalFormatting>
  <conditionalFormatting sqref="B69:H69">
    <cfRule type="expression" dxfId="0" priority="117">
      <formula>MOD(ROW(),2)=1</formula>
    </cfRule>
  </conditionalFormatting>
  <conditionalFormatting sqref="F69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59">
    <cfRule type="expression" dxfId="0" priority="124">
      <formula>MOD(ROW(),2)=1</formula>
    </cfRule>
  </conditionalFormatting>
  <conditionalFormatting sqref="H35:H65">
    <cfRule type="expression" dxfId="0" priority="12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6"/>
  <sheetViews>
    <sheetView tabSelected="0" workbookViewId="0" showGridLines="true" showRowColHeaders="1">
      <pane ySplit="1" topLeftCell="A83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35.43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 t="s">
        <v>147</v>
      </c>
      <c r="C2" s="12" t="s">
        <v>497</v>
      </c>
      <c r="D2" s="266">
        <v>-229.32</v>
      </c>
      <c r="E2" s="14" t="s">
        <v>498</v>
      </c>
      <c r="F2" s="15">
        <v>44635</v>
      </c>
      <c r="G2" s="16">
        <v>-229.32</v>
      </c>
      <c r="H2" s="17" t="str">
        <f>D2-G2</f>
        <v>0</v>
      </c>
      <c r="I2" s="267" t="s">
        <v>254</v>
      </c>
    </row>
    <row r="3" spans="1:1024" customHeight="1" ht="18.6">
      <c r="A3" s="265"/>
      <c r="B3" s="11" t="s">
        <v>147</v>
      </c>
      <c r="C3" s="12" t="s">
        <v>499</v>
      </c>
      <c r="D3" s="268">
        <v>11986.99</v>
      </c>
      <c r="E3" s="14" t="s">
        <v>253</v>
      </c>
      <c r="F3" s="15">
        <v>44635</v>
      </c>
      <c r="G3" s="16">
        <v>11986.99</v>
      </c>
      <c r="H3" s="17" t="str">
        <f>D3-G3</f>
        <v>0</v>
      </c>
      <c r="I3" s="267" t="s">
        <v>254</v>
      </c>
    </row>
    <row r="4" spans="1:1024" customHeight="1" ht="18.6">
      <c r="A4" s="265"/>
      <c r="B4" s="11" t="s">
        <v>147</v>
      </c>
      <c r="C4" s="12" t="s">
        <v>500</v>
      </c>
      <c r="D4" s="268">
        <v>11970.9</v>
      </c>
      <c r="E4" s="14" t="s">
        <v>253</v>
      </c>
      <c r="F4" s="15">
        <v>44635</v>
      </c>
      <c r="G4" s="16">
        <v>11970.9</v>
      </c>
      <c r="H4" s="17" t="str">
        <f>D4-G4</f>
        <v>0</v>
      </c>
      <c r="I4" s="267" t="s">
        <v>254</v>
      </c>
      <c r="K4" s="19" t="s">
        <v>501</v>
      </c>
    </row>
    <row r="5" spans="1:1024" customHeight="1" ht="18.6">
      <c r="A5" s="265"/>
      <c r="B5" s="11" t="s">
        <v>394</v>
      </c>
      <c r="C5" s="12" t="s">
        <v>502</v>
      </c>
      <c r="D5" s="268">
        <v>90</v>
      </c>
      <c r="E5" s="14" t="s">
        <v>503</v>
      </c>
      <c r="F5" s="15">
        <v>44640</v>
      </c>
      <c r="G5" s="16">
        <v>90</v>
      </c>
      <c r="H5" s="17" t="str">
        <f>D5-G5</f>
        <v>0</v>
      </c>
      <c r="I5" s="267" t="s">
        <v>254</v>
      </c>
      <c r="K5" s="18"/>
    </row>
    <row r="6" spans="1:1024" customHeight="1" ht="18.6">
      <c r="A6" s="265"/>
      <c r="B6" s="11" t="s">
        <v>394</v>
      </c>
      <c r="C6" s="12" t="s">
        <v>504</v>
      </c>
      <c r="D6" s="268">
        <v>292.7</v>
      </c>
      <c r="E6" s="14" t="s">
        <v>253</v>
      </c>
      <c r="F6" s="15">
        <v>44640</v>
      </c>
      <c r="G6" s="16">
        <v>292.7</v>
      </c>
      <c r="H6" s="17" t="str">
        <f>D6-G6</f>
        <v>0</v>
      </c>
      <c r="I6" s="267" t="s">
        <v>254</v>
      </c>
      <c r="K6" s="19"/>
    </row>
    <row r="7" spans="1:1024" customHeight="1" ht="18.6">
      <c r="A7" s="265"/>
      <c r="B7" s="11" t="s">
        <v>394</v>
      </c>
      <c r="C7" s="12" t="s">
        <v>505</v>
      </c>
      <c r="D7" s="268">
        <v>841.86</v>
      </c>
      <c r="E7" s="14" t="s">
        <v>253</v>
      </c>
      <c r="F7" s="15">
        <v>44640</v>
      </c>
      <c r="G7" s="16">
        <v>841.86</v>
      </c>
      <c r="H7" s="17" t="str">
        <f>D7-G7</f>
        <v>0</v>
      </c>
      <c r="I7" s="267" t="s">
        <v>254</v>
      </c>
      <c r="K7" s="19" t="s">
        <v>506</v>
      </c>
    </row>
    <row r="8" spans="1:1024" customHeight="1" ht="18.6">
      <c r="A8" s="265"/>
      <c r="B8" s="11" t="s">
        <v>394</v>
      </c>
      <c r="C8" s="12" t="s">
        <v>507</v>
      </c>
      <c r="D8" s="268">
        <v>973.25</v>
      </c>
      <c r="E8" s="14"/>
      <c r="F8" s="15">
        <v>44640</v>
      </c>
      <c r="G8" s="16">
        <v>973.25</v>
      </c>
      <c r="H8" s="17" t="str">
        <f>D8-G8</f>
        <v>0</v>
      </c>
      <c r="I8" s="267" t="s">
        <v>254</v>
      </c>
      <c r="K8" s="19"/>
    </row>
    <row r="9" spans="1:1024" customHeight="1" ht="18.6">
      <c r="A9" s="265"/>
      <c r="B9" s="11" t="s">
        <v>181</v>
      </c>
      <c r="C9" s="12" t="s">
        <v>508</v>
      </c>
      <c r="D9" s="268">
        <v>364.8</v>
      </c>
      <c r="E9" s="14" t="s">
        <v>253</v>
      </c>
      <c r="F9" s="15">
        <v>44651</v>
      </c>
      <c r="G9" s="16"/>
      <c r="H9" s="17" t="str">
        <f>D9-G9</f>
        <v>0</v>
      </c>
      <c r="I9" s="267"/>
      <c r="K9" s="20" t="str">
        <f>D114</f>
        <v>0</v>
      </c>
      <c r="L9" s="20"/>
    </row>
    <row r="10" spans="1:1024" customHeight="1" ht="18.6">
      <c r="A10" s="265"/>
      <c r="B10" s="11" t="s">
        <v>397</v>
      </c>
      <c r="C10" s="12" t="s">
        <v>509</v>
      </c>
      <c r="D10" s="268">
        <v>5937.68</v>
      </c>
      <c r="E10" s="14" t="s">
        <v>510</v>
      </c>
      <c r="F10" s="15">
        <v>44651</v>
      </c>
      <c r="G10" s="16">
        <v>5937.68</v>
      </c>
      <c r="H10" s="17" t="str">
        <f>D10-G10</f>
        <v>0</v>
      </c>
      <c r="I10" s="267"/>
      <c r="K10" s="19"/>
    </row>
    <row r="11" spans="1:1024" customHeight="1" ht="18.6">
      <c r="A11" s="265"/>
      <c r="B11" s="11" t="s">
        <v>397</v>
      </c>
      <c r="C11" s="12" t="s">
        <v>511</v>
      </c>
      <c r="D11" s="268">
        <v>78.35</v>
      </c>
      <c r="E11" s="14" t="s">
        <v>268</v>
      </c>
      <c r="F11" s="15">
        <v>44651</v>
      </c>
      <c r="G11" s="16">
        <v>78.35</v>
      </c>
      <c r="H11" s="17" t="str">
        <f>D11-G11</f>
        <v>0</v>
      </c>
      <c r="I11" s="267"/>
      <c r="K11" s="19" t="s">
        <v>512</v>
      </c>
    </row>
    <row r="12" spans="1:1024" customHeight="1" ht="18.6">
      <c r="A12" s="265"/>
      <c r="B12" s="11" t="s">
        <v>273</v>
      </c>
      <c r="C12" s="12" t="s">
        <v>513</v>
      </c>
      <c r="D12" s="268">
        <v>237.48</v>
      </c>
      <c r="E12" s="14"/>
      <c r="F12" s="15">
        <v>44651</v>
      </c>
      <c r="G12" s="16">
        <v>237.48</v>
      </c>
      <c r="H12" s="17" t="str">
        <f>D12-G12</f>
        <v>0</v>
      </c>
      <c r="I12" s="269">
        <v>44651</v>
      </c>
      <c r="K12" s="20" t="str">
        <f>D42</f>
        <v>0</v>
      </c>
      <c r="L12" s="20"/>
    </row>
    <row r="13" spans="1:1024" customHeight="1" ht="18.6">
      <c r="A13" s="265"/>
      <c r="B13" s="11" t="s">
        <v>289</v>
      </c>
      <c r="C13" s="12" t="s">
        <v>514</v>
      </c>
      <c r="D13" s="268">
        <v>109.42</v>
      </c>
      <c r="E13" s="14" t="s">
        <v>515</v>
      </c>
      <c r="F13" s="15">
        <v>44651</v>
      </c>
      <c r="G13" s="16">
        <v>109.42</v>
      </c>
      <c r="H13" s="17" t="str">
        <f>D13-G13</f>
        <v>0</v>
      </c>
      <c r="I13" s="269">
        <v>44651</v>
      </c>
    </row>
    <row r="14" spans="1:1024" customHeight="1" ht="18.6">
      <c r="A14" s="265"/>
      <c r="B14" s="11" t="s">
        <v>289</v>
      </c>
      <c r="C14" s="12" t="s">
        <v>516</v>
      </c>
      <c r="D14" s="268">
        <v>56.71</v>
      </c>
      <c r="E14" s="14" t="s">
        <v>430</v>
      </c>
      <c r="F14" s="15">
        <v>44651</v>
      </c>
      <c r="G14" s="16">
        <v>56.71</v>
      </c>
      <c r="H14" s="17" t="str">
        <f>D14-G14</f>
        <v>0</v>
      </c>
      <c r="I14" s="269">
        <v>44651</v>
      </c>
      <c r="K14" s="19" t="s">
        <v>517</v>
      </c>
    </row>
    <row r="15" spans="1:1024" customHeight="1" ht="18.6">
      <c r="A15" s="265"/>
      <c r="B15" s="11" t="s">
        <v>289</v>
      </c>
      <c r="C15" s="12" t="s">
        <v>518</v>
      </c>
      <c r="D15" s="268">
        <v>2926.72</v>
      </c>
      <c r="E15" s="14" t="s">
        <v>280</v>
      </c>
      <c r="F15" s="15">
        <v>44651</v>
      </c>
      <c r="G15" s="16">
        <v>2926.72</v>
      </c>
      <c r="H15" s="17" t="str">
        <f>D15-G15</f>
        <v>0</v>
      </c>
      <c r="I15" s="269">
        <v>44651</v>
      </c>
      <c r="K15" s="20" t="str">
        <f>+D114</f>
        <v>0</v>
      </c>
      <c r="L15" s="20"/>
    </row>
    <row r="16" spans="1:1024" customHeight="1" ht="18.6">
      <c r="A16" s="265"/>
      <c r="B16" s="11" t="s">
        <v>289</v>
      </c>
      <c r="C16" s="12" t="s">
        <v>519</v>
      </c>
      <c r="D16" s="268">
        <v>68.37</v>
      </c>
      <c r="E16" s="14" t="s">
        <v>253</v>
      </c>
      <c r="F16" s="15">
        <v>44651</v>
      </c>
      <c r="G16" s="270">
        <v>68.37</v>
      </c>
      <c r="H16" s="17" t="str">
        <f>D16-G16</f>
        <v>0</v>
      </c>
      <c r="I16" s="269">
        <v>44651</v>
      </c>
    </row>
    <row r="17" spans="1:1024" customHeight="1" ht="18.6">
      <c r="A17" s="265"/>
      <c r="B17" s="11" t="s">
        <v>289</v>
      </c>
      <c r="C17" s="12" t="s">
        <v>520</v>
      </c>
      <c r="D17" s="268">
        <v>278.71</v>
      </c>
      <c r="E17" s="14" t="s">
        <v>253</v>
      </c>
      <c r="F17" s="15">
        <v>44651</v>
      </c>
      <c r="G17" s="270">
        <v>278.71</v>
      </c>
      <c r="H17" s="17" t="str">
        <f>D17-G17</f>
        <v>0</v>
      </c>
      <c r="I17" s="269">
        <v>44651</v>
      </c>
      <c r="K17" s="19" t="s">
        <v>521</v>
      </c>
    </row>
    <row r="18" spans="1:1024" customHeight="1" ht="18.6">
      <c r="A18" s="265"/>
      <c r="B18" s="11" t="s">
        <v>289</v>
      </c>
      <c r="C18" s="12" t="s">
        <v>522</v>
      </c>
      <c r="D18" s="268">
        <v>304.87</v>
      </c>
      <c r="E18" s="14" t="s">
        <v>258</v>
      </c>
      <c r="F18" s="271">
        <v>44651</v>
      </c>
      <c r="G18" s="270">
        <v>304.87</v>
      </c>
      <c r="H18" s="17" t="str">
        <f>D18-G18</f>
        <v>0</v>
      </c>
      <c r="I18" s="269">
        <v>44651</v>
      </c>
      <c r="K18" s="21" t="str">
        <f>K12+K9</f>
        <v>0</v>
      </c>
      <c r="L18" s="21"/>
      <c r="M18" s="21"/>
    </row>
    <row r="19" spans="1:1024" customHeight="1" ht="18.6">
      <c r="A19" s="265"/>
      <c r="B19" s="11" t="s">
        <v>289</v>
      </c>
      <c r="C19" s="12" t="s">
        <v>523</v>
      </c>
      <c r="D19" s="268">
        <v>26.17</v>
      </c>
      <c r="E19" s="14"/>
      <c r="F19" s="271">
        <v>44651</v>
      </c>
      <c r="G19" s="270">
        <v>26.17</v>
      </c>
      <c r="H19" s="17" t="str">
        <f>D19-G19</f>
        <v>0</v>
      </c>
      <c r="I19" s="269">
        <v>44651</v>
      </c>
    </row>
    <row r="20" spans="1:1024" customHeight="1" ht="18.6">
      <c r="A20" s="265"/>
      <c r="B20" s="11" t="s">
        <v>289</v>
      </c>
      <c r="C20" s="12" t="s">
        <v>524</v>
      </c>
      <c r="D20" s="268">
        <v>109.63</v>
      </c>
      <c r="E20" s="14" t="s">
        <v>417</v>
      </c>
      <c r="F20" s="15">
        <v>44651</v>
      </c>
      <c r="G20" s="270">
        <v>109.63</v>
      </c>
      <c r="H20" s="17" t="str">
        <f>D20-G20</f>
        <v>0</v>
      </c>
      <c r="I20" s="269">
        <v>44651</v>
      </c>
    </row>
    <row r="21" spans="1:1024" customHeight="1" ht="18.6">
      <c r="A21" s="265"/>
      <c r="B21" s="11" t="s">
        <v>289</v>
      </c>
      <c r="C21" s="12" t="s">
        <v>525</v>
      </c>
      <c r="D21" s="268">
        <v>154.81</v>
      </c>
      <c r="E21" s="14"/>
      <c r="F21" s="271">
        <v>44651</v>
      </c>
      <c r="G21" s="270">
        <v>154.81</v>
      </c>
      <c r="H21" s="17" t="str">
        <f>D21-G21</f>
        <v>0</v>
      </c>
      <c r="I21" s="269">
        <v>44651</v>
      </c>
    </row>
    <row r="22" spans="1:1024" customHeight="1" ht="18.6">
      <c r="A22" s="265"/>
      <c r="B22" s="11" t="s">
        <v>289</v>
      </c>
      <c r="C22" s="12" t="s">
        <v>526</v>
      </c>
      <c r="D22" s="268">
        <v>937.71</v>
      </c>
      <c r="E22" s="14"/>
      <c r="F22" s="271">
        <v>44651</v>
      </c>
      <c r="G22" s="270">
        <v>937.71</v>
      </c>
      <c r="H22" s="17" t="str">
        <f>D22-G22</f>
        <v>0</v>
      </c>
      <c r="I22" s="269">
        <v>44651</v>
      </c>
    </row>
    <row r="23" spans="1:1024" customHeight="1" ht="18.6">
      <c r="A23" s="265"/>
      <c r="B23" s="11" t="s">
        <v>287</v>
      </c>
      <c r="C23" s="12"/>
      <c r="D23" s="268">
        <v>5829.72</v>
      </c>
      <c r="E23" s="14"/>
      <c r="F23" s="271">
        <v>44651</v>
      </c>
      <c r="G23" s="270">
        <v>5829.72</v>
      </c>
      <c r="H23" s="17" t="str">
        <f>D23-G23</f>
        <v>0</v>
      </c>
      <c r="I23" s="269">
        <v>44651</v>
      </c>
    </row>
    <row r="24" spans="1:1024" customHeight="1" ht="18.6">
      <c r="A24" s="265"/>
      <c r="B24" s="11" t="s">
        <v>164</v>
      </c>
      <c r="C24" s="12" t="s">
        <v>527</v>
      </c>
      <c r="D24" s="268">
        <v>213.61</v>
      </c>
      <c r="E24" s="14"/>
      <c r="F24" s="271">
        <v>44651</v>
      </c>
      <c r="G24" s="270">
        <v>213.61</v>
      </c>
      <c r="H24" s="17" t="str">
        <f>D24-G24</f>
        <v>0</v>
      </c>
      <c r="I24" s="269">
        <v>44651</v>
      </c>
    </row>
    <row r="25" spans="1:1024" customHeight="1" ht="18.6">
      <c r="A25" s="265"/>
      <c r="B25" s="11" t="s">
        <v>291</v>
      </c>
      <c r="C25" s="12" t="s">
        <v>528</v>
      </c>
      <c r="D25" s="268">
        <v>2985.02</v>
      </c>
      <c r="E25" s="14" t="s">
        <v>11</v>
      </c>
      <c r="F25" s="271">
        <v>44651</v>
      </c>
      <c r="G25" s="270">
        <v>2985.02</v>
      </c>
      <c r="H25" s="17" t="str">
        <f>D25-G25</f>
        <v>0</v>
      </c>
      <c r="I25" s="269">
        <v>44651</v>
      </c>
    </row>
    <row r="26" spans="1:1024" customHeight="1" ht="18.6">
      <c r="A26" s="265"/>
      <c r="B26" s="11" t="s">
        <v>291</v>
      </c>
      <c r="C26" s="12" t="s">
        <v>529</v>
      </c>
      <c r="D26" s="268">
        <v>2697.19</v>
      </c>
      <c r="E26" s="14" t="s">
        <v>352</v>
      </c>
      <c r="F26" s="271">
        <v>44651</v>
      </c>
      <c r="G26" s="270">
        <v>2697.19</v>
      </c>
      <c r="H26" s="17" t="str">
        <f>D26-G26</f>
        <v>0</v>
      </c>
      <c r="I26" s="269">
        <v>44651</v>
      </c>
    </row>
    <row r="27" spans="1:1024" customHeight="1" ht="18.6">
      <c r="A27" s="265"/>
      <c r="B27" s="11" t="s">
        <v>291</v>
      </c>
      <c r="C27" s="12" t="s">
        <v>530</v>
      </c>
      <c r="D27" s="268">
        <v>12.78</v>
      </c>
      <c r="E27" s="14"/>
      <c r="F27" s="271">
        <v>44651</v>
      </c>
      <c r="G27" s="272">
        <v>12.78</v>
      </c>
      <c r="H27" s="17" t="str">
        <f>D27-G27</f>
        <v>0</v>
      </c>
      <c r="I27" s="269">
        <v>44651</v>
      </c>
    </row>
    <row r="28" spans="1:1024" customHeight="1" ht="18.6">
      <c r="A28" s="265"/>
      <c r="B28" s="11" t="s">
        <v>291</v>
      </c>
      <c r="C28" s="12" t="s">
        <v>531</v>
      </c>
      <c r="D28" s="268">
        <v>8253.05</v>
      </c>
      <c r="E28" s="14" t="s">
        <v>253</v>
      </c>
      <c r="F28" s="271">
        <v>44651</v>
      </c>
      <c r="G28" s="272">
        <v>8253.05</v>
      </c>
      <c r="H28" s="17" t="str">
        <f>D28-G28</f>
        <v>0</v>
      </c>
      <c r="I28" s="269">
        <v>44651</v>
      </c>
    </row>
    <row r="29" spans="1:1024" customHeight="1" ht="18.6">
      <c r="A29" s="265"/>
      <c r="B29" s="11" t="s">
        <v>291</v>
      </c>
      <c r="C29" s="12" t="s">
        <v>532</v>
      </c>
      <c r="D29" s="268">
        <v>372.04</v>
      </c>
      <c r="E29" s="14"/>
      <c r="F29" s="271">
        <v>44651</v>
      </c>
      <c r="G29" s="272">
        <v>372.04</v>
      </c>
      <c r="H29" s="17" t="str">
        <f>D29-G29</f>
        <v>0</v>
      </c>
      <c r="I29" s="269">
        <v>44651</v>
      </c>
    </row>
    <row r="30" spans="1:1024" customHeight="1" ht="18.6">
      <c r="A30" s="265"/>
      <c r="B30" s="11" t="s">
        <v>291</v>
      </c>
      <c r="C30" s="12" t="s">
        <v>533</v>
      </c>
      <c r="D30" s="268">
        <v>1260</v>
      </c>
      <c r="E30" s="14" t="s">
        <v>430</v>
      </c>
      <c r="F30" s="271">
        <v>44651</v>
      </c>
      <c r="G30" s="272">
        <v>1260</v>
      </c>
      <c r="H30" s="17" t="str">
        <f>D30-G30</f>
        <v>0</v>
      </c>
      <c r="I30" s="269">
        <v>44651</v>
      </c>
    </row>
    <row r="31" spans="1:1024" customHeight="1" ht="18.6">
      <c r="A31" s="265"/>
      <c r="B31" s="11" t="s">
        <v>291</v>
      </c>
      <c r="C31" s="12" t="s">
        <v>534</v>
      </c>
      <c r="D31" s="268">
        <v>811.2</v>
      </c>
      <c r="E31" s="14" t="s">
        <v>280</v>
      </c>
      <c r="F31" s="271">
        <v>44651</v>
      </c>
      <c r="G31" s="272">
        <v>811.2</v>
      </c>
      <c r="H31" s="17" t="str">
        <f>D31-G31</f>
        <v>0</v>
      </c>
      <c r="I31" s="269">
        <v>44651</v>
      </c>
    </row>
    <row r="32" spans="1:1024" customHeight="1" ht="18.6">
      <c r="A32" s="265"/>
      <c r="B32" s="11" t="s">
        <v>275</v>
      </c>
      <c r="C32" s="12" t="s">
        <v>535</v>
      </c>
      <c r="D32" s="268">
        <v>9397.2</v>
      </c>
      <c r="E32" s="14" t="s">
        <v>352</v>
      </c>
      <c r="F32" s="271">
        <v>44651</v>
      </c>
      <c r="G32" s="272">
        <v>9397.2</v>
      </c>
      <c r="H32" s="17" t="str">
        <f>D32-G32</f>
        <v>0</v>
      </c>
      <c r="I32" s="269">
        <v>44651</v>
      </c>
    </row>
    <row r="33" spans="1:1024" customHeight="1" ht="18.6">
      <c r="A33" s="273"/>
      <c r="B33" s="11" t="s">
        <v>275</v>
      </c>
      <c r="C33" s="12" t="s">
        <v>536</v>
      </c>
      <c r="D33" s="274">
        <v>1014.6</v>
      </c>
      <c r="E33" s="275"/>
      <c r="F33" s="276">
        <v>44651</v>
      </c>
      <c r="G33" s="277">
        <v>1014.6</v>
      </c>
      <c r="H33" s="17" t="str">
        <f>D33-G33</f>
        <v>0</v>
      </c>
      <c r="I33" s="269">
        <v>44651</v>
      </c>
    </row>
    <row r="34" spans="1:1024" customHeight="1" ht="18.6">
      <c r="A34" s="273"/>
      <c r="B34" s="278" t="s">
        <v>275</v>
      </c>
      <c r="C34" s="279" t="s">
        <v>537</v>
      </c>
      <c r="D34" s="274">
        <v>2690.4</v>
      </c>
      <c r="E34" s="275"/>
      <c r="F34" s="276">
        <v>44651</v>
      </c>
      <c r="G34" s="277">
        <v>2690.4</v>
      </c>
      <c r="H34" s="17" t="str">
        <f>D34-G34</f>
        <v>0</v>
      </c>
      <c r="I34" s="269">
        <v>44651</v>
      </c>
    </row>
    <row r="35" spans="1:1024" customHeight="1" ht="18.6">
      <c r="A35" s="273"/>
      <c r="B35" s="278" t="s">
        <v>275</v>
      </c>
      <c r="C35" s="279" t="s">
        <v>538</v>
      </c>
      <c r="D35" s="274">
        <v>3655.92</v>
      </c>
      <c r="E35" s="275" t="s">
        <v>11</v>
      </c>
      <c r="F35" s="276">
        <v>44651</v>
      </c>
      <c r="G35" s="277">
        <v>3655.92</v>
      </c>
      <c r="H35" s="17" t="str">
        <f>D35-G35</f>
        <v>0</v>
      </c>
      <c r="I35" s="269">
        <v>44651</v>
      </c>
    </row>
    <row r="36" spans="1:1024" customHeight="1" ht="18.6">
      <c r="A36" s="273"/>
      <c r="B36" s="278" t="s">
        <v>275</v>
      </c>
      <c r="C36" s="279" t="s">
        <v>539</v>
      </c>
      <c r="D36" s="274">
        <v>4572.24</v>
      </c>
      <c r="E36" s="275" t="s">
        <v>540</v>
      </c>
      <c r="F36" s="276">
        <v>44651</v>
      </c>
      <c r="G36" s="277">
        <v>4572.24</v>
      </c>
      <c r="H36" s="17" t="str">
        <f>D36-G36</f>
        <v>0</v>
      </c>
      <c r="I36" s="269">
        <v>44651</v>
      </c>
    </row>
    <row r="37" spans="1:1024" customHeight="1" ht="18.6">
      <c r="A37" s="273"/>
      <c r="B37" s="278" t="s">
        <v>275</v>
      </c>
      <c r="C37" s="279" t="s">
        <v>541</v>
      </c>
      <c r="D37" s="274">
        <v>23709.96</v>
      </c>
      <c r="E37" s="275" t="s">
        <v>253</v>
      </c>
      <c r="F37" s="276">
        <v>44651</v>
      </c>
      <c r="G37" s="277">
        <v>23709.96</v>
      </c>
      <c r="H37" s="17" t="str">
        <f>D37-G37</f>
        <v>0</v>
      </c>
      <c r="I37" s="269">
        <v>44651</v>
      </c>
    </row>
    <row r="38" spans="1:1024" customHeight="1" ht="18.6">
      <c r="A38" s="273"/>
      <c r="B38" s="278" t="s">
        <v>275</v>
      </c>
      <c r="C38" s="279" t="s">
        <v>542</v>
      </c>
      <c r="D38" s="274">
        <v>2588.04</v>
      </c>
      <c r="E38" s="275" t="s">
        <v>354</v>
      </c>
      <c r="F38" s="276">
        <v>44651</v>
      </c>
      <c r="G38" s="277">
        <v>2588.04</v>
      </c>
      <c r="H38" s="17" t="str">
        <f>D38-G38</f>
        <v>0</v>
      </c>
      <c r="I38" s="269">
        <v>44651</v>
      </c>
    </row>
    <row r="39" spans="1:1024" customHeight="1" ht="18.6">
      <c r="A39" s="273"/>
      <c r="B39" s="280" t="s">
        <v>191</v>
      </c>
      <c r="C39" s="279" t="s">
        <v>543</v>
      </c>
      <c r="D39" s="274">
        <v>968.62</v>
      </c>
      <c r="E39" s="275" t="s">
        <v>253</v>
      </c>
      <c r="F39" s="276">
        <v>44271</v>
      </c>
      <c r="G39" s="277">
        <v>968.62</v>
      </c>
      <c r="H39" s="17" t="str">
        <f>D39-G39</f>
        <v>0</v>
      </c>
      <c r="I39" s="269">
        <v>44651</v>
      </c>
    </row>
    <row r="40" spans="1:1024" customHeight="1" ht="18.6">
      <c r="A40" s="273"/>
      <c r="B40" s="280" t="s">
        <v>191</v>
      </c>
      <c r="C40" s="279" t="s">
        <v>544</v>
      </c>
      <c r="D40" s="274">
        <v>2034.65</v>
      </c>
      <c r="E40" s="275" t="s">
        <v>253</v>
      </c>
      <c r="F40" s="276"/>
      <c r="G40" s="277">
        <v>2034.65</v>
      </c>
      <c r="H40" s="17" t="str">
        <f>D40-G40</f>
        <v>0</v>
      </c>
      <c r="I40" s="269">
        <v>44651</v>
      </c>
    </row>
    <row r="41" spans="1:1024" customHeight="1" ht="18.6">
      <c r="A41" s="273"/>
      <c r="B41" s="281" t="s">
        <v>166</v>
      </c>
      <c r="C41" s="282" t="s">
        <v>545</v>
      </c>
      <c r="D41" s="283">
        <v>4663.56</v>
      </c>
      <c r="E41" s="284" t="s">
        <v>546</v>
      </c>
      <c r="F41" s="285">
        <v>44651</v>
      </c>
      <c r="G41" s="286">
        <v>4663.56</v>
      </c>
      <c r="H41" s="287" t="str">
        <f>D41-G41</f>
        <v>0</v>
      </c>
      <c r="I41" s="288">
        <v>44651</v>
      </c>
    </row>
    <row r="42" spans="1:1024" customHeight="1" ht="18.6">
      <c r="A42" s="273"/>
      <c r="B42" s="289" t="s">
        <v>35</v>
      </c>
      <c r="C42" s="290"/>
      <c r="D42" s="291" t="str">
        <f>+SUM(D2:D41)</f>
        <v>0</v>
      </c>
      <c r="E42" s="292"/>
      <c r="F42" s="293"/>
      <c r="G42" s="294"/>
      <c r="H42" s="295" t="str">
        <f>+SUM(H2:H41)</f>
        <v>0</v>
      </c>
      <c r="I42" s="296"/>
    </row>
    <row r="43" spans="1:1024" customHeight="1" ht="18.6">
      <c r="A43" s="229" t="s">
        <v>299</v>
      </c>
      <c r="B43" s="297" t="s">
        <v>300</v>
      </c>
      <c r="C43" s="12" t="s">
        <v>301</v>
      </c>
      <c r="D43" s="268">
        <v>99.97</v>
      </c>
      <c r="E43" s="14" t="s">
        <v>302</v>
      </c>
      <c r="F43" s="271"/>
      <c r="G43" s="270">
        <v>99.97</v>
      </c>
      <c r="H43" s="17" t="str">
        <f>D43-G43</f>
        <v>0</v>
      </c>
      <c r="I43" s="269">
        <v>44627</v>
      </c>
    </row>
    <row r="44" spans="1:1024" customHeight="1" ht="18.6">
      <c r="A44" s="229"/>
      <c r="B44" s="298" t="s">
        <v>308</v>
      </c>
      <c r="C44" s="299"/>
      <c r="D44" s="300">
        <v>3203.09</v>
      </c>
      <c r="E44" s="301" t="s">
        <v>439</v>
      </c>
      <c r="F44" s="302">
        <v>44599</v>
      </c>
      <c r="G44" s="270">
        <v>3203.09</v>
      </c>
      <c r="H44" s="17" t="str">
        <f>D44-G44</f>
        <v>0</v>
      </c>
      <c r="I44" s="269" t="s">
        <v>254</v>
      </c>
    </row>
    <row r="45" spans="1:1024" customHeight="1" ht="18.6">
      <c r="A45" s="229"/>
      <c r="B45" s="297" t="s">
        <v>547</v>
      </c>
      <c r="C45" s="12" t="s">
        <v>548</v>
      </c>
      <c r="D45" s="268">
        <v>768.98</v>
      </c>
      <c r="E45" s="14" t="s">
        <v>549</v>
      </c>
      <c r="F45" s="271">
        <v>44622</v>
      </c>
      <c r="G45" s="270">
        <v>768.98</v>
      </c>
      <c r="H45" s="17" t="str">
        <f>D45-G45</f>
        <v>0</v>
      </c>
      <c r="I45" s="269" t="s">
        <v>254</v>
      </c>
    </row>
    <row r="46" spans="1:1024" customHeight="1" ht="18.6">
      <c r="A46" s="229"/>
      <c r="B46" s="297" t="s">
        <v>300</v>
      </c>
      <c r="C46" s="12" t="s">
        <v>303</v>
      </c>
      <c r="D46" s="268">
        <v>127.11</v>
      </c>
      <c r="E46" s="14" t="s">
        <v>302</v>
      </c>
      <c r="F46" s="271">
        <v>44627</v>
      </c>
      <c r="G46" s="270">
        <v>127.11</v>
      </c>
      <c r="H46" s="17" t="str">
        <f>D46-G46</f>
        <v>0</v>
      </c>
      <c r="I46" s="269" t="s">
        <v>254</v>
      </c>
    </row>
    <row r="47" spans="1:1024" customHeight="1" ht="18.6">
      <c r="A47" s="229"/>
      <c r="B47" s="297" t="s">
        <v>300</v>
      </c>
      <c r="C47" s="12" t="s">
        <v>304</v>
      </c>
      <c r="D47" s="268">
        <v>100.82</v>
      </c>
      <c r="E47" s="14"/>
      <c r="F47" s="271">
        <v>44627</v>
      </c>
      <c r="G47" s="270">
        <v>100.82</v>
      </c>
      <c r="H47" s="17" t="str">
        <f>D47-G47</f>
        <v>0</v>
      </c>
      <c r="I47" s="269" t="s">
        <v>254</v>
      </c>
    </row>
    <row r="48" spans="1:1024" customHeight="1" ht="18.6">
      <c r="A48" s="229"/>
      <c r="B48" s="297" t="s">
        <v>300</v>
      </c>
      <c r="C48" s="12" t="s">
        <v>305</v>
      </c>
      <c r="D48" s="268">
        <v>104.12</v>
      </c>
      <c r="E48" s="14"/>
      <c r="F48" s="271">
        <v>44627</v>
      </c>
      <c r="G48" s="270">
        <v>104.12</v>
      </c>
      <c r="H48" s="17" t="str">
        <f>D48-G48</f>
        <v>0</v>
      </c>
      <c r="I48" s="269" t="s">
        <v>254</v>
      </c>
    </row>
    <row r="49" spans="1:1024" customHeight="1" ht="18.6">
      <c r="A49" s="229"/>
      <c r="B49" s="297" t="s">
        <v>300</v>
      </c>
      <c r="C49" s="12" t="s">
        <v>306</v>
      </c>
      <c r="D49" s="268">
        <v>71.32</v>
      </c>
      <c r="E49" s="14"/>
      <c r="F49" s="271">
        <v>44627</v>
      </c>
      <c r="G49" s="270">
        <v>71.32</v>
      </c>
      <c r="H49" s="17" t="str">
        <f>D49-G49</f>
        <v>0</v>
      </c>
      <c r="I49" s="269" t="s">
        <v>254</v>
      </c>
    </row>
    <row r="50" spans="1:1024" customHeight="1" ht="18.6">
      <c r="A50" s="229"/>
      <c r="B50" s="297" t="s">
        <v>300</v>
      </c>
      <c r="C50" s="12" t="s">
        <v>307</v>
      </c>
      <c r="D50" s="268">
        <v>89.4</v>
      </c>
      <c r="E50" s="14"/>
      <c r="F50" s="271">
        <v>44627</v>
      </c>
      <c r="G50" s="270">
        <v>89.4</v>
      </c>
      <c r="H50" s="17" t="str">
        <f>D50-G50</f>
        <v>0</v>
      </c>
      <c r="I50" s="269" t="s">
        <v>254</v>
      </c>
    </row>
    <row r="51" spans="1:1024" customHeight="1" ht="18.6">
      <c r="A51" s="229"/>
      <c r="B51" s="297" t="s">
        <v>314</v>
      </c>
      <c r="C51" s="12"/>
      <c r="D51" s="268">
        <v>50</v>
      </c>
      <c r="E51" s="14" t="s">
        <v>315</v>
      </c>
      <c r="F51" s="271">
        <v>44627</v>
      </c>
      <c r="G51" s="270">
        <v>50</v>
      </c>
      <c r="H51" s="17" t="str">
        <f>D51-G51</f>
        <v>0</v>
      </c>
      <c r="I51" s="269" t="s">
        <v>254</v>
      </c>
    </row>
    <row r="52" spans="1:1024" customHeight="1" ht="18.6">
      <c r="A52" s="229"/>
      <c r="B52" s="297" t="s">
        <v>300</v>
      </c>
      <c r="C52" s="12" t="s">
        <v>320</v>
      </c>
      <c r="D52" s="268">
        <v>15.24</v>
      </c>
      <c r="E52" s="14" t="s">
        <v>321</v>
      </c>
      <c r="F52" s="271">
        <v>44635</v>
      </c>
      <c r="G52" s="270">
        <v>15.24</v>
      </c>
      <c r="H52" s="17" t="str">
        <f>D52-G52</f>
        <v>0</v>
      </c>
      <c r="I52" s="269" t="s">
        <v>254</v>
      </c>
    </row>
    <row r="53" spans="1:1024" customHeight="1" ht="18.6">
      <c r="A53" s="229"/>
      <c r="B53" s="297" t="s">
        <v>300</v>
      </c>
      <c r="C53" s="12" t="s">
        <v>324</v>
      </c>
      <c r="D53" s="268">
        <v>93.87</v>
      </c>
      <c r="E53" s="14"/>
      <c r="F53" s="271">
        <v>44635</v>
      </c>
      <c r="G53" s="270">
        <v>93.87</v>
      </c>
      <c r="H53" s="17" t="str">
        <f>D53-G53</f>
        <v>0</v>
      </c>
      <c r="I53" s="269">
        <v>44635</v>
      </c>
    </row>
    <row r="54" spans="1:1024" customHeight="1" ht="18.6">
      <c r="A54" s="229"/>
      <c r="B54" s="297" t="s">
        <v>314</v>
      </c>
      <c r="C54" s="12"/>
      <c r="D54" s="268">
        <v>43</v>
      </c>
      <c r="E54" s="14"/>
      <c r="F54" s="271">
        <v>44645</v>
      </c>
      <c r="G54" s="270">
        <v>43</v>
      </c>
      <c r="H54" s="17" t="str">
        <f>D54-G54</f>
        <v>0</v>
      </c>
      <c r="I54" s="269" t="s">
        <v>254</v>
      </c>
    </row>
    <row r="55" spans="1:1024" customHeight="1" ht="18.6">
      <c r="A55" s="229"/>
      <c r="B55" s="297" t="s">
        <v>316</v>
      </c>
      <c r="C55" s="12" t="s">
        <v>550</v>
      </c>
      <c r="D55" s="268" t="str">
        <f>15.95*2</f>
        <v>0</v>
      </c>
      <c r="E55" s="14"/>
      <c r="F55" s="271">
        <v>44629</v>
      </c>
      <c r="G55" s="270">
        <v>31.9</v>
      </c>
      <c r="H55" s="17" t="str">
        <f>D55-G55</f>
        <v>0</v>
      </c>
      <c r="I55" s="269" t="s">
        <v>254</v>
      </c>
    </row>
    <row r="56" spans="1:1024" customHeight="1" ht="18.6">
      <c r="A56" s="229"/>
      <c r="B56" s="297" t="s">
        <v>551</v>
      </c>
      <c r="C56" s="12"/>
      <c r="D56" s="268">
        <v>53.88</v>
      </c>
      <c r="E56" s="14"/>
      <c r="F56" s="271">
        <v>44627</v>
      </c>
      <c r="G56" s="270">
        <v>53.88</v>
      </c>
      <c r="H56" s="17" t="str">
        <f>D56-G56</f>
        <v>0</v>
      </c>
      <c r="I56" s="269" t="s">
        <v>254</v>
      </c>
    </row>
    <row r="57" spans="1:1024" customHeight="1" ht="18.6">
      <c r="A57" s="229"/>
      <c r="B57" s="297" t="s">
        <v>552</v>
      </c>
      <c r="C57" s="12"/>
      <c r="D57" s="268">
        <v>590</v>
      </c>
      <c r="E57" s="14" t="s">
        <v>553</v>
      </c>
      <c r="F57" s="271">
        <v>44627</v>
      </c>
      <c r="G57" s="270">
        <v>590</v>
      </c>
      <c r="H57" s="17" t="str">
        <f>D57-G57</f>
        <v>0</v>
      </c>
      <c r="I57" s="269" t="s">
        <v>254</v>
      </c>
    </row>
    <row r="58" spans="1:1024" customHeight="1" ht="18.6">
      <c r="A58" s="229"/>
      <c r="B58" s="297" t="s">
        <v>554</v>
      </c>
      <c r="C58" s="12"/>
      <c r="D58" s="268">
        <v>2200</v>
      </c>
      <c r="E58" s="14" t="s">
        <v>555</v>
      </c>
      <c r="F58" s="271">
        <v>44627</v>
      </c>
      <c r="G58" s="270">
        <v>2200</v>
      </c>
      <c r="H58" s="17" t="str">
        <f>D58-G58</f>
        <v>0</v>
      </c>
      <c r="I58" s="269" t="s">
        <v>254</v>
      </c>
    </row>
    <row r="59" spans="1:1024" customHeight="1" ht="18.6">
      <c r="A59" s="229"/>
      <c r="B59" s="297" t="s">
        <v>556</v>
      </c>
      <c r="C59" s="12"/>
      <c r="D59" s="268">
        <v>304.78</v>
      </c>
      <c r="E59" s="14" t="s">
        <v>557</v>
      </c>
      <c r="F59" s="271">
        <v>44627</v>
      </c>
      <c r="G59" s="270">
        <v>304.78</v>
      </c>
      <c r="H59" s="17" t="str">
        <f>D59-G59</f>
        <v>0</v>
      </c>
      <c r="I59" s="269" t="s">
        <v>254</v>
      </c>
    </row>
    <row r="60" spans="1:1024" customHeight="1" ht="18.6">
      <c r="A60" s="229"/>
      <c r="B60" s="297" t="s">
        <v>558</v>
      </c>
      <c r="C60" s="12"/>
      <c r="D60" s="268">
        <v>600</v>
      </c>
      <c r="E60" s="14" t="s">
        <v>462</v>
      </c>
      <c r="F60" s="271">
        <v>44627</v>
      </c>
      <c r="G60" s="270">
        <v>600</v>
      </c>
      <c r="H60" s="17" t="str">
        <f>D60-G60</f>
        <v>0</v>
      </c>
      <c r="I60" s="269" t="s">
        <v>254</v>
      </c>
    </row>
    <row r="61" spans="1:1024" customHeight="1" ht="18.6">
      <c r="A61" s="229"/>
      <c r="B61" s="297" t="s">
        <v>559</v>
      </c>
      <c r="C61" s="12"/>
      <c r="D61" s="268">
        <v>500</v>
      </c>
      <c r="E61" s="14" t="s">
        <v>462</v>
      </c>
      <c r="F61" s="271">
        <v>44627</v>
      </c>
      <c r="G61" s="270">
        <v>500</v>
      </c>
      <c r="H61" s="17" t="str">
        <f>D61-G61</f>
        <v>0</v>
      </c>
      <c r="I61" s="269" t="s">
        <v>254</v>
      </c>
    </row>
    <row r="62" spans="1:1024" customHeight="1" ht="18.6">
      <c r="A62" s="229"/>
      <c r="B62" s="297" t="s">
        <v>311</v>
      </c>
      <c r="C62" s="12"/>
      <c r="D62" s="268">
        <v>19.97</v>
      </c>
      <c r="E62" s="14"/>
      <c r="F62" s="271">
        <v>44628</v>
      </c>
      <c r="G62" s="270">
        <v>19.97</v>
      </c>
      <c r="H62" s="17" t="str">
        <f>D62-G62</f>
        <v>0</v>
      </c>
      <c r="I62" s="269" t="s">
        <v>254</v>
      </c>
    </row>
    <row r="63" spans="1:1024" customHeight="1" ht="18.6">
      <c r="A63" s="229"/>
      <c r="B63" s="297" t="s">
        <v>100</v>
      </c>
      <c r="C63" s="12"/>
      <c r="D63" s="268">
        <v>14.14</v>
      </c>
      <c r="E63" s="14"/>
      <c r="F63" s="271">
        <v>44630</v>
      </c>
      <c r="G63" s="270">
        <v>14.14</v>
      </c>
      <c r="H63" s="17" t="str">
        <f>D63-G63</f>
        <v>0</v>
      </c>
      <c r="I63" s="269" t="s">
        <v>254</v>
      </c>
    </row>
    <row r="64" spans="1:1024" customHeight="1" ht="18.6">
      <c r="A64" s="229"/>
      <c r="B64" s="297" t="s">
        <v>35</v>
      </c>
      <c r="C64" s="12" t="s">
        <v>560</v>
      </c>
      <c r="D64" s="268">
        <v>1875.91</v>
      </c>
      <c r="E64" s="14"/>
      <c r="F64" s="271">
        <v>44630</v>
      </c>
      <c r="G64" s="270">
        <v>1875.91</v>
      </c>
      <c r="H64" s="17" t="str">
        <f>D64-G64</f>
        <v>0</v>
      </c>
      <c r="I64" s="269" t="s">
        <v>254</v>
      </c>
    </row>
    <row r="65" spans="1:1024" customHeight="1" ht="18.6">
      <c r="A65" s="229"/>
      <c r="B65" s="297" t="s">
        <v>561</v>
      </c>
      <c r="C65" s="12"/>
      <c r="D65" s="268">
        <v>16.99</v>
      </c>
      <c r="E65" s="14" t="s">
        <v>562</v>
      </c>
      <c r="F65" s="271">
        <v>44630</v>
      </c>
      <c r="G65" s="270">
        <v>16.99</v>
      </c>
      <c r="H65" s="17" t="str">
        <f>D65-G65</f>
        <v>0</v>
      </c>
      <c r="I65" s="269" t="s">
        <v>254</v>
      </c>
    </row>
    <row r="66" spans="1:1024" customHeight="1" ht="18.6">
      <c r="A66" s="229"/>
      <c r="B66" s="303" t="s">
        <v>322</v>
      </c>
      <c r="C66" s="12"/>
      <c r="D66" s="304">
        <v>11150</v>
      </c>
      <c r="E66" s="14" t="s">
        <v>323</v>
      </c>
      <c r="F66" s="271">
        <v>44635</v>
      </c>
      <c r="G66" s="270">
        <v>11150</v>
      </c>
      <c r="H66" s="17" t="str">
        <f>D66-G66</f>
        <v>0</v>
      </c>
      <c r="I66" s="269" t="s">
        <v>254</v>
      </c>
    </row>
    <row r="67" spans="1:1024" customHeight="1" ht="18.6">
      <c r="A67" s="229"/>
      <c r="B67" s="297" t="s">
        <v>314</v>
      </c>
      <c r="C67" s="12"/>
      <c r="D67" s="268">
        <v>31</v>
      </c>
      <c r="E67" s="14"/>
      <c r="F67" s="271">
        <v>44640</v>
      </c>
      <c r="G67" s="270">
        <v>31</v>
      </c>
      <c r="H67" s="17" t="str">
        <f>D67-G67</f>
        <v>0</v>
      </c>
      <c r="I67" s="269" t="s">
        <v>254</v>
      </c>
    </row>
    <row r="68" spans="1:1024" customHeight="1" ht="18.6">
      <c r="A68" s="229"/>
      <c r="B68" s="297" t="s">
        <v>314</v>
      </c>
      <c r="C68" s="12"/>
      <c r="D68" s="268">
        <v>31</v>
      </c>
      <c r="E68" s="14"/>
      <c r="F68" s="271">
        <v>44640</v>
      </c>
      <c r="G68" s="270">
        <v>31</v>
      </c>
      <c r="H68" s="17" t="str">
        <f>D68-G68</f>
        <v>0</v>
      </c>
      <c r="I68" s="269" t="s">
        <v>254</v>
      </c>
    </row>
    <row r="69" spans="1:1024" customHeight="1" ht="18.6">
      <c r="A69" s="229"/>
      <c r="B69" s="297" t="s">
        <v>314</v>
      </c>
      <c r="C69" s="12" t="s">
        <v>325</v>
      </c>
      <c r="D69" s="268">
        <v>31</v>
      </c>
      <c r="E69" s="14" t="s">
        <v>326</v>
      </c>
      <c r="F69" s="271">
        <v>44640</v>
      </c>
      <c r="G69" s="270">
        <v>31</v>
      </c>
      <c r="H69" s="17" t="str">
        <f>D69-G69</f>
        <v>0</v>
      </c>
      <c r="I69" s="269" t="s">
        <v>254</v>
      </c>
    </row>
    <row r="70" spans="1:1024" customHeight="1" ht="18.6">
      <c r="A70" s="229"/>
      <c r="B70" s="303" t="s">
        <v>338</v>
      </c>
      <c r="C70" s="12" t="s">
        <v>339</v>
      </c>
      <c r="D70" s="304">
        <v>5283.09</v>
      </c>
      <c r="E70" s="14"/>
      <c r="F70" s="271">
        <v>44640</v>
      </c>
      <c r="G70" s="270">
        <v>5283.09</v>
      </c>
      <c r="H70" s="17" t="str">
        <f>D70-G70</f>
        <v>0</v>
      </c>
      <c r="I70" s="269">
        <v>44286</v>
      </c>
    </row>
    <row r="71" spans="1:1024" customHeight="1" ht="18.6">
      <c r="A71" s="229"/>
      <c r="B71" s="303" t="s">
        <v>327</v>
      </c>
      <c r="C71" s="12" t="s">
        <v>328</v>
      </c>
      <c r="D71" s="304">
        <v>4965</v>
      </c>
      <c r="E71" s="14"/>
      <c r="F71" s="271">
        <v>44635</v>
      </c>
      <c r="G71" s="270">
        <v>4965</v>
      </c>
      <c r="H71" s="17" t="str">
        <f>D71-G71</f>
        <v>0</v>
      </c>
      <c r="I71" s="269" t="s">
        <v>254</v>
      </c>
    </row>
    <row r="72" spans="1:1024" customHeight="1" ht="18.6">
      <c r="A72" s="229"/>
      <c r="B72" s="305" t="s">
        <v>329</v>
      </c>
      <c r="C72" s="306"/>
      <c r="D72" s="307">
        <v>2117.11</v>
      </c>
      <c r="E72" s="146"/>
      <c r="F72" s="308">
        <v>44640</v>
      </c>
      <c r="G72" s="309">
        <v>2117.11</v>
      </c>
      <c r="H72" s="17" t="str">
        <f>D72-G72</f>
        <v>0</v>
      </c>
      <c r="I72" s="269" t="s">
        <v>254</v>
      </c>
    </row>
    <row r="73" spans="1:1024" customHeight="1" ht="18.6">
      <c r="A73" s="229"/>
      <c r="B73" s="303" t="s">
        <v>337</v>
      </c>
      <c r="C73" s="12"/>
      <c r="D73" s="304">
        <v>1765.42</v>
      </c>
      <c r="E73" s="14"/>
      <c r="F73" s="271">
        <v>44640</v>
      </c>
      <c r="G73" s="270">
        <v>1765.42</v>
      </c>
      <c r="H73" s="17" t="str">
        <f>D73-G73</f>
        <v>0</v>
      </c>
      <c r="I73" s="269" t="s">
        <v>254</v>
      </c>
    </row>
    <row r="74" spans="1:1024" customHeight="1" ht="18.6">
      <c r="A74" s="229"/>
      <c r="B74" s="297" t="s">
        <v>437</v>
      </c>
      <c r="C74" s="12" t="s">
        <v>438</v>
      </c>
      <c r="D74" s="268">
        <v>20.24</v>
      </c>
      <c r="E74" s="14" t="s">
        <v>376</v>
      </c>
      <c r="F74" s="271">
        <v>44645</v>
      </c>
      <c r="G74" s="270">
        <v>20.24</v>
      </c>
      <c r="H74" s="17" t="str">
        <f>D74-G74</f>
        <v>0</v>
      </c>
      <c r="I74" s="269">
        <v>44651</v>
      </c>
    </row>
    <row r="75" spans="1:1024" customHeight="1" ht="18.6">
      <c r="A75" s="229"/>
      <c r="B75" s="297" t="s">
        <v>437</v>
      </c>
      <c r="C75" s="12" t="s">
        <v>440</v>
      </c>
      <c r="D75" s="268">
        <v>163.77</v>
      </c>
      <c r="E75" s="14" t="s">
        <v>441</v>
      </c>
      <c r="F75" s="271">
        <v>44645</v>
      </c>
      <c r="G75" s="270">
        <v>163.77</v>
      </c>
      <c r="H75" s="17" t="str">
        <f>D75-G75</f>
        <v>0</v>
      </c>
      <c r="I75" s="269">
        <v>44651</v>
      </c>
    </row>
    <row r="76" spans="1:1024" customHeight="1" ht="18.6">
      <c r="A76" s="229"/>
      <c r="B76" s="297" t="s">
        <v>255</v>
      </c>
      <c r="C76" s="12" t="s">
        <v>563</v>
      </c>
      <c r="D76" s="268">
        <v>142.33</v>
      </c>
      <c r="E76" s="14"/>
      <c r="F76" s="271">
        <v>44643</v>
      </c>
      <c r="G76" s="270">
        <v>142.33</v>
      </c>
      <c r="H76" s="17" t="str">
        <f>D76-G76</f>
        <v>0</v>
      </c>
      <c r="I76" s="269" t="s">
        <v>254</v>
      </c>
    </row>
    <row r="77" spans="1:1024" customHeight="1" ht="18.6">
      <c r="A77" s="229"/>
      <c r="B77" s="297" t="s">
        <v>437</v>
      </c>
      <c r="C77" s="12" t="s">
        <v>564</v>
      </c>
      <c r="D77" s="268">
        <v>295.19</v>
      </c>
      <c r="E77" s="14" t="s">
        <v>565</v>
      </c>
      <c r="F77" s="271">
        <v>44634</v>
      </c>
      <c r="G77" s="270">
        <v>295.19</v>
      </c>
      <c r="H77" s="17" t="str">
        <f>D77-G77</f>
        <v>0</v>
      </c>
      <c r="I77" s="269" t="s">
        <v>254</v>
      </c>
    </row>
    <row r="78" spans="1:1024" customHeight="1" ht="18.6">
      <c r="A78" s="229"/>
      <c r="B78" s="297" t="s">
        <v>311</v>
      </c>
      <c r="C78" s="12"/>
      <c r="D78" s="268">
        <v>31.66</v>
      </c>
      <c r="E78" s="14"/>
      <c r="F78" s="271">
        <v>44645</v>
      </c>
      <c r="G78" s="270">
        <v>31.66</v>
      </c>
      <c r="H78" s="17" t="str">
        <f>D78-G78</f>
        <v>0</v>
      </c>
      <c r="I78" s="269" t="s">
        <v>254</v>
      </c>
    </row>
    <row r="79" spans="1:1024" customHeight="1" ht="18.6">
      <c r="A79" s="229"/>
      <c r="B79" s="297" t="s">
        <v>448</v>
      </c>
      <c r="C79" s="12" t="s">
        <v>449</v>
      </c>
      <c r="D79" s="268">
        <v>1164</v>
      </c>
      <c r="E79" s="14" t="s">
        <v>450</v>
      </c>
      <c r="F79" s="271">
        <v>44645</v>
      </c>
      <c r="G79" s="270">
        <v>1164</v>
      </c>
      <c r="H79" s="17" t="str">
        <f>D79-G79</f>
        <v>0</v>
      </c>
      <c r="I79" s="269" t="s">
        <v>254</v>
      </c>
    </row>
    <row r="80" spans="1:1024" customHeight="1" ht="18.6">
      <c r="A80" s="229"/>
      <c r="B80" s="297" t="s">
        <v>443</v>
      </c>
      <c r="C80" s="12" t="s">
        <v>444</v>
      </c>
      <c r="D80" s="268">
        <v>796.49</v>
      </c>
      <c r="E80" s="14" t="s">
        <v>253</v>
      </c>
      <c r="F80" s="271">
        <v>44651</v>
      </c>
      <c r="G80" s="270">
        <v>796.49</v>
      </c>
      <c r="H80" s="17" t="str">
        <f>D80-G80</f>
        <v>0</v>
      </c>
      <c r="I80" s="269">
        <v>44651</v>
      </c>
    </row>
    <row r="81" spans="1:1024" customHeight="1" ht="18.6">
      <c r="A81" s="229"/>
      <c r="B81" s="297" t="s">
        <v>445</v>
      </c>
      <c r="C81" s="12" t="s">
        <v>446</v>
      </c>
      <c r="D81" s="268">
        <v>936.1</v>
      </c>
      <c r="E81" s="14"/>
      <c r="F81" s="271">
        <v>44622</v>
      </c>
      <c r="G81" s="270">
        <v>936.1</v>
      </c>
      <c r="H81" s="17" t="str">
        <f>D81-G81</f>
        <v>0</v>
      </c>
      <c r="I81" s="269">
        <v>44622</v>
      </c>
    </row>
    <row r="82" spans="1:1024" customHeight="1" ht="18.6">
      <c r="A82" s="229"/>
      <c r="B82" s="297" t="s">
        <v>566</v>
      </c>
      <c r="C82" s="12" t="s">
        <v>567</v>
      </c>
      <c r="D82" s="268">
        <v>586.43</v>
      </c>
      <c r="E82" s="14" t="s">
        <v>280</v>
      </c>
      <c r="F82" s="271">
        <v>44651</v>
      </c>
      <c r="G82" s="270">
        <v>586.43</v>
      </c>
      <c r="H82" s="17" t="str">
        <f>D82-G82</f>
        <v>0</v>
      </c>
      <c r="I82" s="269">
        <v>44651</v>
      </c>
    </row>
    <row r="83" spans="1:1024" customHeight="1" ht="18.6">
      <c r="A83" s="229"/>
      <c r="B83" s="297" t="s">
        <v>164</v>
      </c>
      <c r="C83" s="12" t="s">
        <v>568</v>
      </c>
      <c r="D83" s="268">
        <v>213.61</v>
      </c>
      <c r="E83" s="14"/>
      <c r="F83" s="271">
        <v>44651</v>
      </c>
      <c r="G83" s="270">
        <v>213.61</v>
      </c>
      <c r="H83" s="17" t="str">
        <f>D83-G83</f>
        <v>0</v>
      </c>
      <c r="I83" s="269">
        <v>44651</v>
      </c>
    </row>
    <row r="84" spans="1:1024" customHeight="1" ht="18.6">
      <c r="A84" s="229"/>
      <c r="B84" s="297" t="s">
        <v>569</v>
      </c>
      <c r="C84" s="12" t="s">
        <v>570</v>
      </c>
      <c r="D84" s="268">
        <v>2828.04</v>
      </c>
      <c r="E84" s="14" t="s">
        <v>253</v>
      </c>
      <c r="F84" s="271">
        <v>44650</v>
      </c>
      <c r="G84" s="270">
        <v>2828.04</v>
      </c>
      <c r="H84" s="17" t="str">
        <f>D84-G84</f>
        <v>0</v>
      </c>
      <c r="I84" s="269">
        <v>44650</v>
      </c>
    </row>
    <row r="85" spans="1:1024" customHeight="1" ht="18.6">
      <c r="A85" s="229"/>
      <c r="B85" s="297" t="s">
        <v>569</v>
      </c>
      <c r="C85" s="12" t="s">
        <v>571</v>
      </c>
      <c r="D85" s="268">
        <v>275.11</v>
      </c>
      <c r="E85" s="14" t="s">
        <v>253</v>
      </c>
      <c r="F85" s="271">
        <v>44650</v>
      </c>
      <c r="G85" s="270">
        <v>275.11</v>
      </c>
      <c r="H85" s="17" t="str">
        <f>D85-G85</f>
        <v>0</v>
      </c>
      <c r="I85" s="269">
        <v>44650</v>
      </c>
    </row>
    <row r="86" spans="1:1024" customHeight="1" ht="18.6">
      <c r="A86" s="229"/>
      <c r="B86" s="297" t="s">
        <v>35</v>
      </c>
      <c r="C86" s="12" t="s">
        <v>572</v>
      </c>
      <c r="D86" s="268">
        <v>2345.35</v>
      </c>
      <c r="E86" s="310"/>
      <c r="F86" s="271">
        <v>44645</v>
      </c>
      <c r="G86" s="270">
        <v>2345.35</v>
      </c>
      <c r="H86" s="17" t="str">
        <f>D86-G86</f>
        <v>0</v>
      </c>
      <c r="I86" s="269">
        <v>44651</v>
      </c>
    </row>
    <row r="87" spans="1:1024" customHeight="1" ht="18.6">
      <c r="A87" s="229"/>
      <c r="B87" s="297" t="s">
        <v>573</v>
      </c>
      <c r="C87" s="12" t="s">
        <v>574</v>
      </c>
      <c r="D87" s="268">
        <v>588</v>
      </c>
      <c r="E87" s="310"/>
      <c r="F87" s="271">
        <v>44645</v>
      </c>
      <c r="G87" s="270">
        <v>588</v>
      </c>
      <c r="H87" s="17" t="str">
        <f>D87-G87</f>
        <v>0</v>
      </c>
      <c r="I87" s="269">
        <v>44651</v>
      </c>
    </row>
    <row r="88" spans="1:1024" customHeight="1" ht="18.6">
      <c r="A88" s="229"/>
      <c r="B88" s="297"/>
      <c r="C88" s="12"/>
      <c r="D88" s="268"/>
      <c r="E88" s="14"/>
      <c r="F88" s="271"/>
      <c r="G88" s="270"/>
      <c r="H88" s="17" t="str">
        <f>D88-G88</f>
        <v>0</v>
      </c>
      <c r="I88" s="269"/>
    </row>
    <row r="89" spans="1:1024" customHeight="1" ht="18.6">
      <c r="A89" s="229"/>
      <c r="B89" s="311" t="s">
        <v>35</v>
      </c>
      <c r="C89" s="312"/>
      <c r="D89" s="313" t="str">
        <f>SUM(D43:D88)</f>
        <v>0</v>
      </c>
      <c r="E89" s="314"/>
      <c r="F89" s="315"/>
      <c r="G89" s="316"/>
      <c r="H89" s="295" t="str">
        <f>+SUM(H43:H88)</f>
        <v>0</v>
      </c>
      <c r="I89" s="317"/>
    </row>
    <row r="90" spans="1:1024" customHeight="1" ht="18.6">
      <c r="A90" s="236" t="s">
        <v>341</v>
      </c>
      <c r="B90" s="318" t="s">
        <v>575</v>
      </c>
      <c r="C90" s="279" t="s">
        <v>576</v>
      </c>
      <c r="D90" s="319">
        <v>31.2</v>
      </c>
      <c r="E90" s="275"/>
      <c r="F90" s="320">
        <v>44621</v>
      </c>
      <c r="G90" s="277">
        <v>31.2</v>
      </c>
      <c r="H90" s="17" t="str">
        <f>D90-G90</f>
        <v>0</v>
      </c>
      <c r="I90" s="321" t="s">
        <v>254</v>
      </c>
    </row>
    <row r="91" spans="1:1024" customHeight="1" ht="18.6">
      <c r="A91" s="236"/>
      <c r="B91" s="322" t="s">
        <v>577</v>
      </c>
      <c r="C91" s="12" t="s">
        <v>578</v>
      </c>
      <c r="D91" s="268">
        <v>3328.92</v>
      </c>
      <c r="E91" s="14" t="s">
        <v>253</v>
      </c>
      <c r="F91" s="271">
        <v>44622</v>
      </c>
      <c r="G91" s="270">
        <v>3328.92</v>
      </c>
      <c r="H91" s="17" t="str">
        <f>D91-G91</f>
        <v>0</v>
      </c>
      <c r="I91" s="269">
        <v>44650</v>
      </c>
    </row>
    <row r="92" spans="1:1024" customHeight="1" ht="18.6">
      <c r="A92" s="236"/>
      <c r="B92" s="297" t="s">
        <v>349</v>
      </c>
      <c r="C92" s="12" t="s">
        <v>579</v>
      </c>
      <c r="D92" s="268">
        <v>525.65</v>
      </c>
      <c r="E92" s="14" t="s">
        <v>253</v>
      </c>
      <c r="F92" s="271">
        <v>44624</v>
      </c>
      <c r="G92" s="270">
        <v>525.65</v>
      </c>
      <c r="H92" s="17" t="str">
        <f>D92-G92</f>
        <v>0</v>
      </c>
      <c r="I92" s="267" t="s">
        <v>254</v>
      </c>
    </row>
    <row r="93" spans="1:1024" customHeight="1" ht="18.6">
      <c r="A93" s="236"/>
      <c r="B93" s="297" t="s">
        <v>349</v>
      </c>
      <c r="C93" s="12" t="s">
        <v>580</v>
      </c>
      <c r="D93" s="268">
        <v>2408.15</v>
      </c>
      <c r="E93" s="14" t="s">
        <v>280</v>
      </c>
      <c r="F93" s="271">
        <v>44624</v>
      </c>
      <c r="G93" s="270">
        <v>2408.15</v>
      </c>
      <c r="H93" s="17" t="str">
        <f>D93-G93</f>
        <v>0</v>
      </c>
      <c r="I93" s="267" t="s">
        <v>254</v>
      </c>
    </row>
    <row r="94" spans="1:1024" customHeight="1" ht="18.6">
      <c r="A94" s="236"/>
      <c r="B94" s="322" t="s">
        <v>472</v>
      </c>
      <c r="C94" s="323" t="s">
        <v>581</v>
      </c>
      <c r="D94" s="268">
        <v>52.52</v>
      </c>
      <c r="E94" s="237" t="s">
        <v>352</v>
      </c>
      <c r="F94" s="324">
        <v>44624</v>
      </c>
      <c r="G94" s="277">
        <v>52.52</v>
      </c>
      <c r="H94" s="17" t="str">
        <f>D94-G94</f>
        <v>0</v>
      </c>
      <c r="I94" s="325" t="s">
        <v>254</v>
      </c>
    </row>
    <row r="95" spans="1:1024" customHeight="1" ht="18.6">
      <c r="A95" s="236"/>
      <c r="B95" s="322" t="s">
        <v>349</v>
      </c>
      <c r="C95" s="323" t="s">
        <v>582</v>
      </c>
      <c r="D95" s="268">
        <v>4531.34</v>
      </c>
      <c r="E95" s="237" t="s">
        <v>258</v>
      </c>
      <c r="F95" s="324">
        <v>44624</v>
      </c>
      <c r="G95" s="277">
        <v>4531.34</v>
      </c>
      <c r="H95" s="17" t="str">
        <f>D95-G95</f>
        <v>0</v>
      </c>
      <c r="I95" s="325" t="s">
        <v>254</v>
      </c>
    </row>
    <row r="96" spans="1:1024" customHeight="1" ht="18.6">
      <c r="A96" s="236"/>
      <c r="B96" s="322" t="s">
        <v>472</v>
      </c>
      <c r="C96" s="323" t="s">
        <v>583</v>
      </c>
      <c r="D96" s="268">
        <v>1931.86</v>
      </c>
      <c r="E96" s="237" t="s">
        <v>584</v>
      </c>
      <c r="F96" s="324">
        <v>44624</v>
      </c>
      <c r="G96" s="277">
        <v>1931.86</v>
      </c>
      <c r="H96" s="17" t="str">
        <f>D96-G96</f>
        <v>0</v>
      </c>
      <c r="I96" s="325" t="s">
        <v>254</v>
      </c>
    </row>
    <row r="97" spans="1:1024" customHeight="1" ht="18.6">
      <c r="A97" s="236"/>
      <c r="B97" s="322" t="s">
        <v>187</v>
      </c>
      <c r="C97" s="326" t="s">
        <v>585</v>
      </c>
      <c r="D97" s="268">
        <v>3000</v>
      </c>
      <c r="E97" s="237" t="s">
        <v>253</v>
      </c>
      <c r="F97" s="327">
        <v>44625</v>
      </c>
      <c r="G97" s="277">
        <v>3000</v>
      </c>
      <c r="H97" s="17" t="str">
        <f>D97-G97</f>
        <v>0</v>
      </c>
      <c r="I97" s="325"/>
    </row>
    <row r="98" spans="1:1024" customHeight="1" ht="18.6">
      <c r="A98" s="236"/>
      <c r="B98" s="322" t="s">
        <v>148</v>
      </c>
      <c r="C98" s="12" t="s">
        <v>586</v>
      </c>
      <c r="D98" s="268">
        <v>1052.34</v>
      </c>
      <c r="E98" s="14"/>
      <c r="F98" s="271">
        <v>44625</v>
      </c>
      <c r="G98" s="16"/>
      <c r="H98" s="17" t="str">
        <f>D98-G98</f>
        <v>0</v>
      </c>
      <c r="I98" s="325"/>
    </row>
    <row r="99" spans="1:1024" customHeight="1" ht="18.6">
      <c r="A99" s="236"/>
      <c r="B99" s="297" t="s">
        <v>587</v>
      </c>
      <c r="C99" s="12" t="s">
        <v>588</v>
      </c>
      <c r="D99" s="268">
        <v>650</v>
      </c>
      <c r="E99" s="14" t="s">
        <v>253</v>
      </c>
      <c r="F99" s="271">
        <v>44630</v>
      </c>
      <c r="G99" s="270">
        <v>650</v>
      </c>
      <c r="H99" s="17" t="str">
        <f>D99-G99</f>
        <v>0</v>
      </c>
      <c r="I99" s="267"/>
    </row>
    <row r="100" spans="1:1024" customHeight="1" ht="18.6">
      <c r="A100" s="236"/>
      <c r="B100" s="322" t="s">
        <v>589</v>
      </c>
      <c r="C100" s="323"/>
      <c r="D100" s="268">
        <v>46530.36</v>
      </c>
      <c r="E100" s="237"/>
      <c r="F100" s="324">
        <v>44635</v>
      </c>
      <c r="G100" s="270">
        <v>46530.36</v>
      </c>
      <c r="H100" s="17" t="str">
        <f>D100-G100</f>
        <v>0</v>
      </c>
      <c r="I100" s="328">
        <v>44650</v>
      </c>
    </row>
    <row r="101" spans="1:1024" customHeight="1" ht="18.6">
      <c r="A101" s="236"/>
      <c r="B101" s="322" t="s">
        <v>467</v>
      </c>
      <c r="C101" s="323" t="s">
        <v>590</v>
      </c>
      <c r="D101" s="268">
        <v>511.2</v>
      </c>
      <c r="E101" s="237"/>
      <c r="F101" s="324">
        <v>44635</v>
      </c>
      <c r="G101" s="270">
        <v>511.2</v>
      </c>
      <c r="H101" s="17" t="str">
        <f>D101-G101</f>
        <v>0</v>
      </c>
      <c r="I101" s="325" t="s">
        <v>254</v>
      </c>
    </row>
    <row r="102" spans="1:1024" customHeight="1" ht="18.6">
      <c r="A102" s="236"/>
      <c r="B102" s="322" t="s">
        <v>591</v>
      </c>
      <c r="C102" s="323" t="s">
        <v>592</v>
      </c>
      <c r="D102" s="268">
        <v>10623.14</v>
      </c>
      <c r="E102" s="237" t="s">
        <v>593</v>
      </c>
      <c r="F102" s="324">
        <v>44650</v>
      </c>
      <c r="G102" s="270">
        <v>10623.14</v>
      </c>
      <c r="H102" s="17" t="str">
        <f>D102-G102</f>
        <v>0</v>
      </c>
      <c r="I102" s="325" t="s">
        <v>254</v>
      </c>
    </row>
    <row r="103" spans="1:1024" customHeight="1" ht="18.6">
      <c r="A103" s="236"/>
      <c r="B103" s="322" t="s">
        <v>361</v>
      </c>
      <c r="C103" s="323" t="s">
        <v>594</v>
      </c>
      <c r="D103" s="268">
        <v>4049.28</v>
      </c>
      <c r="E103" s="237" t="s">
        <v>595</v>
      </c>
      <c r="F103" s="324">
        <v>44651</v>
      </c>
      <c r="G103" s="270">
        <v>4049.28</v>
      </c>
      <c r="H103" s="17" t="str">
        <f>D103-G103</f>
        <v>0</v>
      </c>
      <c r="I103" s="328">
        <v>44676</v>
      </c>
    </row>
    <row r="104" spans="1:1024" customHeight="1" ht="18.6">
      <c r="A104" s="236"/>
      <c r="B104" s="322" t="s">
        <v>361</v>
      </c>
      <c r="C104" s="323" t="s">
        <v>596</v>
      </c>
      <c r="D104" s="268">
        <v>23617.22</v>
      </c>
      <c r="E104" s="237" t="s">
        <v>253</v>
      </c>
      <c r="F104" s="324">
        <v>44651</v>
      </c>
      <c r="G104" s="270">
        <v>23617.22</v>
      </c>
      <c r="H104" s="17" t="str">
        <f>D104-G104</f>
        <v>0</v>
      </c>
      <c r="I104" s="328">
        <v>44676</v>
      </c>
    </row>
    <row r="105" spans="1:1024" customHeight="1" ht="18.6">
      <c r="A105" s="236"/>
      <c r="B105" s="322" t="s">
        <v>361</v>
      </c>
      <c r="C105" s="323" t="s">
        <v>597</v>
      </c>
      <c r="D105" s="268">
        <v>4378.08</v>
      </c>
      <c r="E105" s="237" t="s">
        <v>595</v>
      </c>
      <c r="F105" s="324">
        <v>44651</v>
      </c>
      <c r="G105" s="270">
        <v>4378.08</v>
      </c>
      <c r="H105" s="17" t="str">
        <f>D105-G105</f>
        <v>0</v>
      </c>
      <c r="I105" s="328">
        <v>44676</v>
      </c>
    </row>
    <row r="106" spans="1:1024" customHeight="1" ht="18.6">
      <c r="A106" s="236"/>
      <c r="B106" s="322" t="s">
        <v>361</v>
      </c>
      <c r="C106" s="323" t="s">
        <v>598</v>
      </c>
      <c r="D106" s="268">
        <v>27679.1</v>
      </c>
      <c r="E106" s="237" t="s">
        <v>253</v>
      </c>
      <c r="F106" s="324">
        <v>44651</v>
      </c>
      <c r="G106" s="270">
        <v>27679.1</v>
      </c>
      <c r="H106" s="17" t="str">
        <f>D106-G106</f>
        <v>0</v>
      </c>
      <c r="I106" s="328">
        <v>44676</v>
      </c>
    </row>
    <row r="107" spans="1:1024" customHeight="1" ht="18.6">
      <c r="A107" s="236"/>
      <c r="B107" s="322" t="s">
        <v>599</v>
      </c>
      <c r="C107" s="323" t="s">
        <v>600</v>
      </c>
      <c r="D107" s="329">
        <v>220.8</v>
      </c>
      <c r="E107" s="237"/>
      <c r="F107" s="324">
        <v>44651</v>
      </c>
      <c r="G107" s="270"/>
      <c r="H107" s="17" t="str">
        <f>D107-G107</f>
        <v>0</v>
      </c>
      <c r="I107" s="325"/>
    </row>
    <row r="108" spans="1:1024" customHeight="1" ht="20.25">
      <c r="A108" s="236"/>
      <c r="B108" s="322" t="s">
        <v>601</v>
      </c>
      <c r="C108" s="323" t="s">
        <v>602</v>
      </c>
      <c r="D108" s="268">
        <v>1900</v>
      </c>
      <c r="E108" s="330"/>
      <c r="F108" s="324">
        <v>44635</v>
      </c>
      <c r="G108" s="270">
        <v>1900</v>
      </c>
      <c r="H108" s="17" t="str">
        <f>D108-G108</f>
        <v>0</v>
      </c>
      <c r="I108" s="325"/>
    </row>
    <row r="109" spans="1:1024" customHeight="1" ht="20.25">
      <c r="A109" s="236"/>
      <c r="B109" s="322" t="s">
        <v>382</v>
      </c>
      <c r="C109" s="323" t="s">
        <v>603</v>
      </c>
      <c r="D109" s="268">
        <v>480</v>
      </c>
      <c r="E109" s="330" t="s">
        <v>604</v>
      </c>
      <c r="F109" s="324">
        <v>44650</v>
      </c>
      <c r="G109" s="272">
        <v>480</v>
      </c>
      <c r="H109" s="17" t="str">
        <f>D109-G109</f>
        <v>0</v>
      </c>
      <c r="I109" s="328">
        <v>44650</v>
      </c>
    </row>
    <row r="110" spans="1:1024" customHeight="1" ht="20.25">
      <c r="A110" s="236"/>
      <c r="B110" s="322" t="s">
        <v>605</v>
      </c>
      <c r="C110" s="323"/>
      <c r="D110" s="268">
        <v>1900</v>
      </c>
      <c r="E110" s="330" t="s">
        <v>258</v>
      </c>
      <c r="F110" s="324">
        <v>44645</v>
      </c>
      <c r="G110" s="272">
        <v>1900</v>
      </c>
      <c r="H110" s="17" t="str">
        <f>D110-G110</f>
        <v>0</v>
      </c>
      <c r="I110" s="325"/>
    </row>
    <row r="111" spans="1:1024" customHeight="1" ht="20.25">
      <c r="A111" s="236"/>
      <c r="B111" s="322" t="s">
        <v>606</v>
      </c>
      <c r="C111" s="323" t="s">
        <v>607</v>
      </c>
      <c r="D111" s="268">
        <v>2400</v>
      </c>
      <c r="E111" s="330" t="s">
        <v>608</v>
      </c>
      <c r="F111" s="324">
        <v>44650</v>
      </c>
      <c r="G111" s="272">
        <v>2400</v>
      </c>
      <c r="H111" s="17" t="str">
        <f>D111-G111</f>
        <v>0</v>
      </c>
      <c r="I111" s="328">
        <v>44650</v>
      </c>
    </row>
    <row r="112" spans="1:1024" customHeight="1" ht="20.25">
      <c r="A112" s="236"/>
      <c r="B112" s="322" t="s">
        <v>609</v>
      </c>
      <c r="C112" s="323" t="s">
        <v>610</v>
      </c>
      <c r="D112" s="268">
        <v>720</v>
      </c>
      <c r="E112" s="330" t="s">
        <v>611</v>
      </c>
      <c r="F112" s="324">
        <v>44637</v>
      </c>
      <c r="G112" s="272">
        <v>720</v>
      </c>
      <c r="H112" s="17" t="str">
        <f>D112-G112</f>
        <v>0</v>
      </c>
      <c r="I112" s="328">
        <v>44650</v>
      </c>
    </row>
    <row r="113" spans="1:1024" customHeight="1" ht="20.25">
      <c r="A113" s="236"/>
      <c r="B113" s="322"/>
      <c r="C113" s="323"/>
      <c r="D113" s="268"/>
      <c r="E113" s="330"/>
      <c r="F113" s="324"/>
      <c r="G113" s="272"/>
      <c r="H113" s="17" t="str">
        <f>D113-G113</f>
        <v>0</v>
      </c>
      <c r="I113" s="325"/>
    </row>
    <row r="114" spans="1:1024" customHeight="1" ht="18.6">
      <c r="A114" s="236"/>
      <c r="B114" s="311" t="s">
        <v>35</v>
      </c>
      <c r="C114" s="312"/>
      <c r="D114" s="313" t="str">
        <f>SUM(D90:D113)</f>
        <v>0</v>
      </c>
      <c r="E114" s="314"/>
      <c r="F114" s="315"/>
      <c r="G114" s="316"/>
      <c r="H114" s="295" t="str">
        <f>+SUM(H90:H111)</f>
        <v>0</v>
      </c>
      <c r="I114" s="296"/>
    </row>
    <row r="115" spans="1:1024" customHeight="1" ht="21">
      <c r="A115" s="331"/>
      <c r="B115" s="31"/>
      <c r="C115" s="32"/>
      <c r="D115" s="33"/>
      <c r="E115" s="34"/>
    </row>
    <row r="116" spans="1:1024" customHeight="1" ht="21">
      <c r="A116" s="332" t="s">
        <v>388</v>
      </c>
      <c r="B116" s="35"/>
      <c r="C116" s="333"/>
      <c r="D116" s="334" t="str">
        <f>+SUM(D114+D89+D42)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2"/>
    <mergeCell ref="K9:L9"/>
    <mergeCell ref="K12:L12"/>
    <mergeCell ref="K15:L15"/>
    <mergeCell ref="K18:M18"/>
    <mergeCell ref="A43:A89"/>
    <mergeCell ref="A90:A114"/>
  </mergeCells>
  <conditionalFormatting sqref="D90">
    <cfRule type="expression" dxfId="0" priority="1">
      <formula>MOD(ROW(),2)=1</formula>
    </cfRule>
  </conditionalFormatting>
  <conditionalFormatting sqref="C91:E91">
    <cfRule type="expression" dxfId="0" priority="2">
      <formula>MOD(ROW(),2)=1</formula>
    </cfRule>
  </conditionalFormatting>
  <conditionalFormatting sqref="B92:G96">
    <cfRule type="expression" dxfId="0" priority="3">
      <formula>MOD(ROW(),2)=1</formula>
    </cfRule>
  </conditionalFormatting>
  <conditionalFormatting sqref="C97:D98">
    <cfRule type="expression" dxfId="0" priority="4">
      <formula>MOD(ROW(),2)=1</formula>
    </cfRule>
  </conditionalFormatting>
  <conditionalFormatting sqref="F97:G98">
    <cfRule type="expression" dxfId="0" priority="5">
      <formula>MOD(ROW(),2)=1</formula>
    </cfRule>
  </conditionalFormatting>
  <conditionalFormatting sqref="B71:G71">
    <cfRule type="expression" dxfId="0" priority="6">
      <formula>MOD(ROW(),2)=1</formula>
    </cfRule>
  </conditionalFormatting>
  <conditionalFormatting sqref="B2:I2">
    <cfRule type="expression" dxfId="0" priority="7">
      <formula>MOD(ROW(),2)=1</formula>
    </cfRule>
  </conditionalFormatting>
  <conditionalFormatting sqref="B73:G73">
    <cfRule type="expression" dxfId="0" priority="8">
      <formula>MOD(ROW(),2)=1</formula>
    </cfRule>
  </conditionalFormatting>
  <conditionalFormatting sqref="B43:I43">
    <cfRule type="expression" dxfId="0" priority="9">
      <formula>MOD(ROW(),2)=1</formula>
    </cfRule>
  </conditionalFormatting>
  <conditionalFormatting sqref="F20:F24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B3:G20">
    <cfRule type="expression" dxfId="0" priority="16">
      <formula>MOD(ROW(),2)=1</formula>
    </cfRule>
  </conditionalFormatting>
  <conditionalFormatting sqref="C21:G21">
    <cfRule type="expression" dxfId="0" priority="17">
      <formula>MOD(ROW(),2)=1</formula>
    </cfRule>
  </conditionalFormatting>
  <conditionalFormatting sqref="B24">
    <cfRule type="expression" dxfId="0" priority="18">
      <formula>MOD(ROW(),2)=1</formula>
    </cfRule>
  </conditionalFormatting>
  <conditionalFormatting sqref="B89:G89">
    <cfRule type="expression" dxfId="0" priority="19">
      <formula>MOD(ROW(),2)=1</formula>
    </cfRule>
  </conditionalFormatting>
  <conditionalFormatting sqref="D32:G33">
    <cfRule type="expression" dxfId="0" priority="20">
      <formula>MOD(ROW(),2)=1</formula>
    </cfRule>
  </conditionalFormatting>
  <conditionalFormatting sqref="B44:E51">
    <cfRule type="expression" dxfId="0" priority="21">
      <formula>MOD(ROW(),2)=1</formula>
    </cfRule>
  </conditionalFormatting>
  <conditionalFormatting sqref="G44:G51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B52:G67">
    <cfRule type="expression" dxfId="0" priority="28">
      <formula>MOD(ROW(),2)=1</formula>
    </cfRule>
  </conditionalFormatting>
  <conditionalFormatting sqref="H44:I73">
    <cfRule type="expression" dxfId="0" priority="29">
      <formula>MOD(ROW(),2)=1</formula>
    </cfRule>
  </conditionalFormatting>
  <conditionalFormatting sqref="B114:G114">
    <cfRule type="expression" dxfId="0" priority="30">
      <formula>MOD(ROW(),2)=1</formula>
    </cfRule>
  </conditionalFormatting>
  <conditionalFormatting sqref="I114">
    <cfRule type="expression" dxfId="0" priority="31">
      <formula>MOD(ROW(),2)=1</formula>
    </cfRule>
  </conditionalFormatting>
  <conditionalFormatting sqref="I3:I12">
    <cfRule type="expression" dxfId="0" priority="32">
      <formula>MOD(ROW(),2)=1</formula>
    </cfRule>
  </conditionalFormatting>
  <conditionalFormatting sqref="H85:H88">
    <cfRule type="expression" dxfId="0" priority="33">
      <formula>MOD(ROW(),2)=1</formula>
    </cfRule>
  </conditionalFormatting>
  <conditionalFormatting sqref="B88:F88">
    <cfRule type="expression" dxfId="0" priority="34">
      <formula>MOD(ROW(),2)=1</formula>
    </cfRule>
  </conditionalFormatting>
  <conditionalFormatting sqref="I14:I15">
    <cfRule type="expression" dxfId="0" priority="35">
      <formula>MOD(ROW(),2)=1</formula>
    </cfRule>
  </conditionalFormatting>
  <conditionalFormatting sqref="B74:H82">
    <cfRule type="expression" dxfId="0" priority="36">
      <formula>MOD(ROW(),2)=1</formula>
    </cfRule>
  </conditionalFormatting>
  <conditionalFormatting sqref="I74:I84">
    <cfRule type="expression" dxfId="0" priority="37">
      <formula>MOD(ROW(),2)=1</formula>
    </cfRule>
  </conditionalFormatting>
  <conditionalFormatting sqref="B34:G37">
    <cfRule type="expression" dxfId="0" priority="38">
      <formula>MOD(ROW(),2)=1</formula>
    </cfRule>
  </conditionalFormatting>
  <conditionalFormatting sqref="H3:H37">
    <cfRule type="expression" dxfId="0" priority="39">
      <formula>MOD(ROW(),2)=1</formula>
    </cfRule>
  </conditionalFormatting>
  <conditionalFormatting sqref="B38:I41">
    <cfRule type="expression" dxfId="0" priority="40">
      <formula>MOD(ROW(),2)=1</formula>
    </cfRule>
  </conditionalFormatting>
  <conditionalFormatting sqref="B108:I113">
    <cfRule type="expression" dxfId="0" priority="41">
      <formula>MOD(ROW(),2)=1</formula>
    </cfRule>
  </conditionalFormatting>
  <conditionalFormatting sqref="B99:G107">
    <cfRule type="expression" dxfId="0" priority="42">
      <formula>MOD(ROW(),2)=1</formula>
    </cfRule>
  </conditionalFormatting>
  <conditionalFormatting sqref="I91:I107">
    <cfRule type="expression" dxfId="0" priority="43">
      <formula>MOD(ROW(),2)=1</formula>
    </cfRule>
  </conditionalFormatting>
  <conditionalFormatting sqref="G100:G108">
    <cfRule type="expression" dxfId="0" priority="44">
      <formula>MOD(ROW(),2)=1</formula>
    </cfRule>
  </conditionalFormatting>
  <conditionalFormatting sqref="H90:H113">
    <cfRule type="expression" dxfId="0" priority="45">
      <formula>MOD(ROW(),2)=1</formula>
    </cfRule>
  </conditionalFormatting>
  <conditionalFormatting sqref="F2:G13">
    <cfRule type="timePeriod" dxfId="1" priority="46" timePeriod="yesterday">
      <formula/>
    </cfRule>
    <cfRule type="timePeriod" dxfId="1" priority="47" timePeriod="today">
      <formula/>
    </cfRule>
    <cfRule type="cellIs" dxfId="2" priority="48" operator="lessThan">
      <formula>_xludf.today()</formula>
    </cfRule>
  </conditionalFormatting>
  <conditionalFormatting sqref="F71:G71">
    <cfRule type="cellIs" dxfId="3" priority="49" operator="lessThan">
      <formula>TODAY()</formula>
    </cfRule>
    <cfRule type="timePeriod" dxfId="1" priority="50" timePeriod="last7Days">
      <formula/>
    </cfRule>
    <cfRule type="timePeriod" dxfId="1" priority="51" timePeriod="yesterday">
      <formula/>
    </cfRule>
    <cfRule type="timePeriod" dxfId="1" priority="52" timePeriod="lastMonth">
      <formula/>
    </cfRule>
    <cfRule type="timePeriod" dxfId="1" priority="53" timePeriod="yesterday">
      <formula/>
    </cfRule>
    <cfRule type="timePeriod" dxfId="1" priority="54" timePeriod="today">
      <formula/>
    </cfRule>
  </conditionalFormatting>
  <conditionalFormatting sqref="F2:G21">
    <cfRule type="cellIs" dxfId="3" priority="55" operator="lessThan">
      <formula>TODAY()</formula>
    </cfRule>
    <cfRule type="timePeriod" dxfId="1" priority="56" timePeriod="last7Days">
      <formula/>
    </cfRule>
    <cfRule type="timePeriod" dxfId="1" priority="57" timePeriod="yesterday">
      <formula/>
    </cfRule>
    <cfRule type="timePeriod" dxfId="1" priority="58" timePeriod="lastMonth">
      <formula/>
    </cfRule>
    <cfRule type="timePeriod" dxfId="1" priority="59" timePeriod="yesterday">
      <formula/>
    </cfRule>
    <cfRule type="timePeriod" dxfId="1" priority="60" timePeriod="today">
      <formula/>
    </cfRule>
  </conditionalFormatting>
  <conditionalFormatting sqref="F89:G89">
    <cfRule type="cellIs" dxfId="3" priority="61" operator="lessThan">
      <formula>TODAY()</formula>
    </cfRule>
    <cfRule type="timePeriod" dxfId="1" priority="62" timePeriod="last7Days">
      <formula/>
    </cfRule>
    <cfRule type="timePeriod" dxfId="1" priority="63" timePeriod="yesterday">
      <formula/>
    </cfRule>
    <cfRule type="timePeriod" dxfId="1" priority="64" timePeriod="lastMonth">
      <formula/>
    </cfRule>
    <cfRule type="timePeriod" dxfId="1" priority="65" timePeriod="yesterday">
      <formula/>
    </cfRule>
    <cfRule type="timePeriod" dxfId="1" priority="66" timePeriod="today">
      <formula/>
    </cfRule>
  </conditionalFormatting>
  <conditionalFormatting sqref="F43:G43">
    <cfRule type="cellIs" dxfId="3" priority="67" operator="lessThan">
      <formula>TODAY()</formula>
    </cfRule>
    <cfRule type="timePeriod" dxfId="1" priority="68" timePeriod="last7Days">
      <formula/>
    </cfRule>
    <cfRule type="timePeriod" dxfId="1" priority="69" timePeriod="yesterday">
      <formula/>
    </cfRule>
    <cfRule type="timePeriod" dxfId="1" priority="70" timePeriod="lastMonth">
      <formula/>
    </cfRule>
    <cfRule type="timePeriod" dxfId="1" priority="71" timePeriod="yesterday">
      <formula/>
    </cfRule>
    <cfRule type="timePeriod" dxfId="1" priority="72" timePeriod="today">
      <formula/>
    </cfRule>
  </conditionalFormatting>
  <conditionalFormatting sqref="F52:G67">
    <cfRule type="cellIs" dxfId="3" priority="73" operator="lessThan">
      <formula>TODAY()</formula>
    </cfRule>
    <cfRule type="timePeriod" dxfId="1" priority="74" timePeriod="last7Days">
      <formula/>
    </cfRule>
    <cfRule type="timePeriod" dxfId="1" priority="75" timePeriod="yesterday">
      <formula/>
    </cfRule>
    <cfRule type="timePeriod" dxfId="1" priority="76" timePeriod="lastMonth">
      <formula/>
    </cfRule>
    <cfRule type="timePeriod" dxfId="1" priority="77" timePeriod="yesterday">
      <formula/>
    </cfRule>
    <cfRule type="timePeriod" dxfId="1" priority="78" timePeriod="today">
      <formula/>
    </cfRule>
  </conditionalFormatting>
  <conditionalFormatting sqref="F88">
    <cfRule type="cellIs" dxfId="3" priority="79" operator="lessThan">
      <formula>TODAY()</formula>
    </cfRule>
    <cfRule type="timePeriod" dxfId="1" priority="80" timePeriod="last7Days">
      <formula/>
    </cfRule>
    <cfRule type="timePeriod" dxfId="1" priority="81" timePeriod="yesterday">
      <formula/>
    </cfRule>
    <cfRule type="timePeriod" dxfId="1" priority="82" timePeriod="lastMonth">
      <formula/>
    </cfRule>
    <cfRule type="timePeriod" dxfId="1" priority="83" timePeriod="yesterday">
      <formula/>
    </cfRule>
    <cfRule type="timePeriod" dxfId="1" priority="84" timePeriod="today">
      <formula/>
    </cfRule>
  </conditionalFormatting>
  <conditionalFormatting sqref="F73:G82">
    <cfRule type="cellIs" dxfId="3" priority="85" operator="lessThan">
      <formula>TODAY()</formula>
    </cfRule>
    <cfRule type="timePeriod" dxfId="1" priority="86" timePeriod="last7Days">
      <formula/>
    </cfRule>
    <cfRule type="timePeriod" dxfId="1" priority="87" timePeriod="yesterday">
      <formula/>
    </cfRule>
    <cfRule type="timePeriod" dxfId="1" priority="88" timePeriod="lastMonth">
      <formula/>
    </cfRule>
    <cfRule type="timePeriod" dxfId="1" priority="89" timePeriod="yesterday">
      <formula/>
    </cfRule>
    <cfRule type="timePeriod" dxfId="1" priority="90" timePeriod="today">
      <formula/>
    </cfRule>
  </conditionalFormatting>
  <conditionalFormatting sqref="F32:G41">
    <cfRule type="cellIs" dxfId="3" priority="91" operator="lessThan">
      <formula>TODAY()</formula>
    </cfRule>
    <cfRule type="timePeriod" dxfId="1" priority="92" timePeriod="last7Days">
      <formula/>
    </cfRule>
    <cfRule type="timePeriod" dxfId="1" priority="93" timePeriod="yesterday">
      <formula/>
    </cfRule>
    <cfRule type="timePeriod" dxfId="1" priority="94" timePeriod="lastMonth">
      <formula/>
    </cfRule>
    <cfRule type="timePeriod" dxfId="1" priority="95" timePeriod="yesterday">
      <formula/>
    </cfRule>
    <cfRule type="timePeriod" dxfId="1" priority="96" timePeriod="today">
      <formula/>
    </cfRule>
  </conditionalFormatting>
  <conditionalFormatting sqref="F92:G114">
    <cfRule type="cellIs" dxfId="3" priority="97" operator="lessThan">
      <formula>TODAY()</formula>
    </cfRule>
    <cfRule type="timePeriod" dxfId="1" priority="98" timePeriod="last7Days">
      <formula/>
    </cfRule>
    <cfRule type="timePeriod" dxfId="1" priority="99" timePeriod="yesterday">
      <formula/>
    </cfRule>
    <cfRule type="timePeriod" dxfId="1" priority="100" timePeriod="lastMonth">
      <formula/>
    </cfRule>
    <cfRule type="timePeriod" dxfId="1" priority="101" timePeriod="yesterday">
      <formula/>
    </cfRule>
    <cfRule type="timePeriod" dxfId="1" priority="102" timePeriod="today">
      <formula/>
    </cfRule>
  </conditionalFormatting>
  <conditionalFormatting sqref="B90:E90">
    <cfRule type="expression" dxfId="0" priority="103">
      <formula>MOD(ROW(),2)=1</formula>
    </cfRule>
  </conditionalFormatting>
  <conditionalFormatting sqref="B91">
    <cfRule type="expression" dxfId="0" priority="104">
      <formula>MOD(ROW(),2)=1</formula>
    </cfRule>
  </conditionalFormatting>
  <conditionalFormatting sqref="I90">
    <cfRule type="expression" dxfId="0" priority="105">
      <formula>MOD(ROW(),2)=1</formula>
    </cfRule>
  </conditionalFormatting>
  <conditionalFormatting sqref="F14:G14">
    <cfRule type="timePeriod" dxfId="1" priority="106" timePeriod="yesterday">
      <formula/>
    </cfRule>
    <cfRule type="timePeriod" dxfId="1" priority="107" timePeriod="today">
      <formula/>
    </cfRule>
    <cfRule type="cellIs" dxfId="2" priority="108" operator="lessThan">
      <formula>_xludf.today()</formula>
    </cfRule>
  </conditionalFormatting>
  <conditionalFormatting sqref="F15:G15">
    <cfRule type="timePeriod" dxfId="1" priority="109" timePeriod="yesterday">
      <formula/>
    </cfRule>
    <cfRule type="timePeriod" dxfId="1" priority="110" timePeriod="today">
      <formula/>
    </cfRule>
    <cfRule type="cellIs" dxfId="2" priority="111" operator="lessThan">
      <formula>_xludf.today()</formula>
    </cfRule>
  </conditionalFormatting>
  <conditionalFormatting sqref="B22:G25">
    <cfRule type="expression" dxfId="0" priority="112">
      <formula>MOD(ROW(),2)=1</formula>
    </cfRule>
  </conditionalFormatting>
  <conditionalFormatting sqref="F22:G25">
    <cfRule type="cellIs" dxfId="3" priority="113" operator="lessThan">
      <formula>TODAY()</formula>
    </cfRule>
    <cfRule type="timePeriod" dxfId="1" priority="114" timePeriod="last7Days">
      <formula/>
    </cfRule>
    <cfRule type="timePeriod" dxfId="1" priority="115" timePeriod="yesterday">
      <formula/>
    </cfRule>
    <cfRule type="timePeriod" dxfId="1" priority="116" timePeriod="lastMonth">
      <formula/>
    </cfRule>
    <cfRule type="timePeriod" dxfId="1" priority="117" timePeriod="yesterday">
      <formula/>
    </cfRule>
    <cfRule type="timePeriod" dxfId="1" priority="118" timePeriod="today">
      <formula/>
    </cfRule>
  </conditionalFormatting>
  <conditionalFormatting sqref="B26:G31">
    <cfRule type="expression" dxfId="0" priority="119">
      <formula>MOD(ROW(),2)=1</formula>
    </cfRule>
  </conditionalFormatting>
  <conditionalFormatting sqref="B32:C33">
    <cfRule type="expression" dxfId="0" priority="120">
      <formula>MOD(ROW(),2)=1</formula>
    </cfRule>
  </conditionalFormatting>
  <conditionalFormatting sqref="F26:G31"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E42:G42">
    <cfRule type="expression" dxfId="0" priority="127">
      <formula>MOD(ROW(),2)=1</formula>
    </cfRule>
  </conditionalFormatting>
  <conditionalFormatting sqref="F42:G42">
    <cfRule type="cellIs" dxfId="3" priority="128" operator="lessThan">
      <formula>TODAY()</formula>
    </cfRule>
    <cfRule type="timePeriod" dxfId="1" priority="129" timePeriod="last7Days">
      <formula/>
    </cfRule>
    <cfRule type="timePeriod" dxfId="1" priority="130" timePeriod="yesterday">
      <formula/>
    </cfRule>
    <cfRule type="timePeriod" dxfId="1" priority="131" timePeriod="lastMonth">
      <formula/>
    </cfRule>
    <cfRule type="timePeriod" dxfId="1" priority="132" timePeriod="yesterday">
      <formula/>
    </cfRule>
    <cfRule type="timePeriod" dxfId="1" priority="133" timePeriod="today">
      <formula/>
    </cfRule>
  </conditionalFormatting>
  <conditionalFormatting sqref="I16:I25">
    <cfRule type="expression" dxfId="0" priority="134">
      <formula>MOD(ROW(),2)=1</formula>
    </cfRule>
  </conditionalFormatting>
  <conditionalFormatting sqref="I42">
    <cfRule type="expression" dxfId="0" priority="135">
      <formula>MOD(ROW(),2)=1</formula>
    </cfRule>
  </conditionalFormatting>
  <conditionalFormatting sqref="B44:E48">
    <cfRule type="expression" dxfId="0" priority="136">
      <formula>MOD(ROW(),2)=1</formula>
    </cfRule>
  </conditionalFormatting>
  <conditionalFormatting sqref="G44:G48">
    <cfRule type="expression" dxfId="0" priority="137">
      <formula>MOD(ROW(),2)=1</formula>
    </cfRule>
  </conditionalFormatting>
  <conditionalFormatting sqref="D43:D48">
    <cfRule type="expression" dxfId="0" priority="138">
      <formula>MOD(ROW(),2)=1</formula>
    </cfRule>
  </conditionalFormatting>
  <conditionalFormatting sqref="B49:E49">
    <cfRule type="expression" dxfId="0" priority="139">
      <formula>MOD(ROW(),2)=1</formula>
    </cfRule>
  </conditionalFormatting>
  <conditionalFormatting sqref="G49">
    <cfRule type="expression" dxfId="0" priority="140">
      <formula>MOD(ROW(),2)=1</formula>
    </cfRule>
  </conditionalFormatting>
  <conditionalFormatting sqref="D49">
    <cfRule type="expression" dxfId="0" priority="141">
      <formula>MOD(ROW(),2)=1</formula>
    </cfRule>
  </conditionalFormatting>
  <conditionalFormatting sqref="B50:E50">
    <cfRule type="expression" dxfId="0" priority="142">
      <formula>MOD(ROW(),2)=1</formula>
    </cfRule>
  </conditionalFormatting>
  <conditionalFormatting sqref="G50">
    <cfRule type="expression" dxfId="0" priority="143">
      <formula>MOD(ROW(),2)=1</formula>
    </cfRule>
  </conditionalFormatting>
  <conditionalFormatting sqref="B50:D50">
    <cfRule type="expression" dxfId="0" priority="144">
      <formula>MOD(ROW(),2)=1</formula>
    </cfRule>
  </conditionalFormatting>
  <conditionalFormatting sqref="D50">
    <cfRule type="expression" dxfId="0" priority="145">
      <formula>MOD(ROW(),2)=1</formula>
    </cfRule>
  </conditionalFormatting>
  <conditionalFormatting sqref="B51:E51">
    <cfRule type="expression" dxfId="0" priority="146">
      <formula>MOD(ROW(),2)=1</formula>
    </cfRule>
    <cfRule type="expression" dxfId="0" priority="147">
      <formula>MOD(ROW(),2)=1</formula>
    </cfRule>
  </conditionalFormatting>
  <conditionalFormatting sqref="G51">
    <cfRule type="expression" dxfId="0" priority="148">
      <formula>MOD(ROW(),2)=1</formula>
    </cfRule>
    <cfRule type="expression" dxfId="0" priority="149">
      <formula>MOD(ROW(),2)=1</formula>
    </cfRule>
  </conditionalFormatting>
  <conditionalFormatting sqref="B52:G55">
    <cfRule type="expression" dxfId="0" priority="150">
      <formula>MOD(ROW(),2)=1</formula>
    </cfRule>
  </conditionalFormatting>
  <conditionalFormatting sqref="E52:G53">
    <cfRule type="expression" dxfId="0" priority="151">
      <formula>MOD(ROW(),2)=1</formula>
    </cfRule>
  </conditionalFormatting>
  <conditionalFormatting sqref="D52:D55">
    <cfRule type="expression" dxfId="0" priority="152">
      <formula>MOD(ROW(),2)=1</formula>
    </cfRule>
  </conditionalFormatting>
  <conditionalFormatting sqref="B52:D52">
    <cfRule type="expression" dxfId="0" priority="153">
      <formula>MOD(ROW(),2)=1</formula>
    </cfRule>
  </conditionalFormatting>
  <conditionalFormatting sqref="B53:D53">
    <cfRule type="expression" dxfId="0" priority="154">
      <formula>MOD(ROW(),2)=1</formula>
    </cfRule>
  </conditionalFormatting>
  <conditionalFormatting sqref="D54:D55">
    <cfRule type="expression" dxfId="0" priority="155">
      <formula>MOD(ROW(),2)=1</formula>
    </cfRule>
  </conditionalFormatting>
  <conditionalFormatting sqref="B54:G55">
    <cfRule type="expression" dxfId="0" priority="156">
      <formula>MOD(ROW(),2)=1</formula>
    </cfRule>
  </conditionalFormatting>
  <conditionalFormatting sqref="F54:G55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B59:G59">
    <cfRule type="expression" dxfId="0" priority="163">
      <formula>MOD(ROW(),2)=1</formula>
    </cfRule>
    <cfRule type="expression" dxfId="0" priority="164">
      <formula>MOD(ROW(),2)=1</formula>
    </cfRule>
  </conditionalFormatting>
  <conditionalFormatting sqref="F56:G58">
    <cfRule type="expression" dxfId="0" priority="165">
      <formula>MOD(ROW(),2)=1</formula>
    </cfRule>
    <cfRule type="cellIs" dxfId="3" priority="166" operator="lessThan">
      <formula>TODAY()</formula>
    </cfRule>
    <cfRule type="timePeriod" dxfId="1" priority="167" timePeriod="last7Days">
      <formula/>
    </cfRule>
    <cfRule type="timePeriod" dxfId="1" priority="168" timePeriod="yesterday">
      <formula/>
    </cfRule>
    <cfRule type="timePeriod" dxfId="1" priority="169" timePeriod="lastMonth">
      <formula/>
    </cfRule>
    <cfRule type="timePeriod" dxfId="1" priority="170" timePeriod="yesterday">
      <formula/>
    </cfRule>
    <cfRule type="timePeriod" dxfId="1" priority="171" timePeriod="today">
      <formula/>
    </cfRule>
  </conditionalFormatting>
  <conditionalFormatting sqref="C56:E58">
    <cfRule type="expression" dxfId="0" priority="172">
      <formula>MOD(ROW(),2)=1</formula>
    </cfRule>
  </conditionalFormatting>
  <conditionalFormatting sqref="B56:B58">
    <cfRule type="expression" dxfId="0" priority="173">
      <formula>MOD(ROW(),2)=1</formula>
    </cfRule>
  </conditionalFormatting>
  <conditionalFormatting sqref="B60:G61">
    <cfRule type="expression" dxfId="0" priority="174">
      <formula>MOD(ROW(),2)=1</formula>
    </cfRule>
  </conditionalFormatting>
  <conditionalFormatting sqref="D60:D61">
    <cfRule type="expression" dxfId="0" priority="175">
      <formula>MOD(ROW(),2)=1</formula>
    </cfRule>
  </conditionalFormatting>
  <conditionalFormatting sqref="E61:G61">
    <cfRule type="expression" dxfId="0" priority="176">
      <formula>MOD(ROW(),2)=1</formula>
    </cfRule>
  </conditionalFormatting>
  <conditionalFormatting sqref="B60:G60">
    <cfRule type="expression" dxfId="0" priority="177">
      <formula>MOD(ROW(),2)=1</formula>
    </cfRule>
  </conditionalFormatting>
  <conditionalFormatting sqref="F60:G60">
    <cfRule type="cellIs" dxfId="3" priority="178" operator="lessThan">
      <formula>TODAY()</formula>
    </cfRule>
    <cfRule type="timePeriod" dxfId="1" priority="179" timePeriod="last7Days">
      <formula/>
    </cfRule>
    <cfRule type="timePeriod" dxfId="1" priority="180" timePeriod="yesterday">
      <formula/>
    </cfRule>
    <cfRule type="timePeriod" dxfId="1" priority="181" timePeriod="lastMonth">
      <formula/>
    </cfRule>
    <cfRule type="timePeriod" dxfId="1" priority="182" timePeriod="yesterday">
      <formula/>
    </cfRule>
    <cfRule type="timePeriod" dxfId="1" priority="183" timePeriod="today">
      <formula/>
    </cfRule>
  </conditionalFormatting>
  <conditionalFormatting sqref="B61:D61">
    <cfRule type="expression" dxfId="0" priority="184">
      <formula>MOD(ROW(),2)=1</formula>
    </cfRule>
  </conditionalFormatting>
  <conditionalFormatting sqref="B62:G62">
    <cfRule type="expression" dxfId="0" priority="185">
      <formula>MOD(ROW(),2)=1</formula>
    </cfRule>
    <cfRule type="expression" dxfId="0" priority="186">
      <formula>MOD(ROW(),2)=1</formula>
    </cfRule>
  </conditionalFormatting>
  <conditionalFormatting sqref="B63:G63">
    <cfRule type="expression" dxfId="0" priority="187">
      <formula>MOD(ROW(),2)=1</formula>
    </cfRule>
    <cfRule type="expression" dxfId="0" priority="188">
      <formula>MOD(ROW(),2)=1</formula>
    </cfRule>
  </conditionalFormatting>
  <conditionalFormatting sqref="B97:B98">
    <cfRule type="expression" dxfId="0" priority="189">
      <formula>MOD(ROW(),2)=1</formula>
    </cfRule>
  </conditionalFormatting>
  <conditionalFormatting sqref="E98">
    <cfRule type="expression" dxfId="0" priority="190">
      <formula>MOD(ROW(),2)=1</formula>
    </cfRule>
  </conditionalFormatting>
  <conditionalFormatting sqref="E97">
    <cfRule type="expression" dxfId="0" priority="191">
      <formula>MOD(ROW(),2)=1</formula>
    </cfRule>
  </conditionalFormatting>
  <conditionalFormatting sqref="F90:G91">
    <cfRule type="expression" dxfId="0" priority="192">
      <formula>MOD(ROW(),2)=1</formula>
    </cfRule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C42:D42">
    <cfRule type="expression" dxfId="0" priority="199">
      <formula>MOD(ROW(),2)=1</formula>
    </cfRule>
  </conditionalFormatting>
  <conditionalFormatting sqref="B42">
    <cfRule type="expression" dxfId="0" priority="200">
      <formula>MOD(ROW(),2)=1</formula>
    </cfRule>
  </conditionalFormatting>
  <conditionalFormatting sqref="B68:G70">
    <cfRule type="expression" dxfId="0" priority="201">
      <formula>MOD(ROW(),2)=1</formula>
    </cfRule>
  </conditionalFormatting>
  <conditionalFormatting sqref="F68:G70">
    <cfRule type="cellIs" dxfId="3" priority="202" operator="lessThan">
      <formula>TODAY()</formula>
    </cfRule>
    <cfRule type="timePeriod" dxfId="1" priority="203" timePeriod="last7Days">
      <formula/>
    </cfRule>
    <cfRule type="timePeriod" dxfId="1" priority="204" timePeriod="yesterday">
      <formula/>
    </cfRule>
    <cfRule type="timePeriod" dxfId="1" priority="205" timePeriod="lastMonth">
      <formula/>
    </cfRule>
    <cfRule type="timePeriod" dxfId="1" priority="206" timePeriod="yesterday">
      <formula/>
    </cfRule>
    <cfRule type="timePeriod" dxfId="1" priority="207" timePeriod="today">
      <formula/>
    </cfRule>
  </conditionalFormatting>
  <conditionalFormatting sqref="B72:G72">
    <cfRule type="expression" dxfId="0" priority="208">
      <formula>MOD(ROW(),2)=1</formula>
    </cfRule>
  </conditionalFormatting>
  <conditionalFormatting sqref="D72:G72">
    <cfRule type="expression" dxfId="0" priority="209">
      <formula>MOD(ROW(),2)=1</formula>
    </cfRule>
  </conditionalFormatting>
  <conditionalFormatting sqref="B72:D72">
    <cfRule type="expression" dxfId="0" priority="210">
      <formula>MOD(ROW(),2)=1</formula>
    </cfRule>
  </conditionalFormatting>
  <conditionalFormatting sqref="F15:F16">
    <cfRule type="timePeriod" dxfId="1" priority="211" timePeriod="yesterday">
      <formula/>
    </cfRule>
    <cfRule type="timePeriod" dxfId="1" priority="212" timePeriod="today">
      <formula/>
    </cfRule>
    <cfRule type="cellIs" dxfId="2" priority="213" operator="lessThan">
      <formula>_xludf.today()</formula>
    </cfRule>
  </conditionalFormatting>
  <conditionalFormatting sqref="F17">
    <cfRule type="timePeriod" dxfId="1" priority="214" timePeriod="yesterday">
      <formula/>
    </cfRule>
    <cfRule type="timePeriod" dxfId="1" priority="215" timePeriod="today">
      <formula/>
    </cfRule>
    <cfRule type="cellIs" dxfId="2" priority="216" operator="lessThan">
      <formula>_xludf.today()</formula>
    </cfRule>
  </conditionalFormatting>
  <conditionalFormatting sqref="F20">
    <cfRule type="timePeriod" dxfId="1" priority="217" timePeriod="yesterday">
      <formula/>
    </cfRule>
    <cfRule type="timePeriod" dxfId="1" priority="218" timePeriod="today">
      <formula/>
    </cfRule>
    <cfRule type="cellIs" dxfId="2" priority="219" operator="lessThan">
      <formula>_xludf.today()</formula>
    </cfRule>
  </conditionalFormatting>
  <conditionalFormatting sqref="B21">
    <cfRule type="expression" dxfId="0" priority="220">
      <formula>MOD(ROW(),2)=1</formula>
    </cfRule>
    <cfRule type="expression" dxfId="0" priority="221">
      <formula>MOD(ROW(),2)=1</formula>
    </cfRule>
  </conditionalFormatting>
  <conditionalFormatting sqref="B22:B23">
    <cfRule type="expression" dxfId="0" priority="222">
      <formula>MOD(ROW(),2)=1</formula>
    </cfRule>
  </conditionalFormatting>
  <conditionalFormatting sqref="I88:I89">
    <cfRule type="expression" dxfId="0" priority="223">
      <formula>MOD(ROW(),2)=1</formula>
    </cfRule>
    <cfRule type="expression" dxfId="0" priority="224">
      <formula>MOD(ROW(),2)=1</formula>
    </cfRule>
  </conditionalFormatting>
  <conditionalFormatting sqref="I85:I87">
    <cfRule type="expression" dxfId="0" priority="225">
      <formula>MOD(ROW(),2)=1</formula>
    </cfRule>
    <cfRule type="expression" dxfId="0" priority="226">
      <formula>MOD(ROW(),2)=1</formula>
    </cfRule>
  </conditionalFormatting>
  <conditionalFormatting sqref="E86:F87">
    <cfRule type="expression" dxfId="0" priority="227">
      <formula>MOD(ROW(),2)=1</formula>
    </cfRule>
    <cfRule type="cellIs" dxfId="3" priority="228" operator="lessThan">
      <formula>TODAY()</formula>
    </cfRule>
    <cfRule type="timePeriod" dxfId="1" priority="229" timePeriod="last7Days">
      <formula/>
    </cfRule>
    <cfRule type="timePeriod" dxfId="1" priority="230" timePeriod="yesterday">
      <formula/>
    </cfRule>
    <cfRule type="timePeriod" dxfId="1" priority="231" timePeriod="lastMonth">
      <formula/>
    </cfRule>
    <cfRule type="timePeriod" dxfId="1" priority="232" timePeriod="yesterday">
      <formula/>
    </cfRule>
    <cfRule type="timePeriod" dxfId="1" priority="233" timePeriod="today">
      <formula/>
    </cfRule>
  </conditionalFormatting>
  <conditionalFormatting sqref="F85">
    <cfRule type="expression" dxfId="0" priority="234">
      <formula>MOD(ROW(),2)=1</formula>
    </cfRule>
    <cfRule type="cellIs" dxfId="3" priority="235" operator="lessThan">
      <formula>TODAY()</formula>
    </cfRule>
    <cfRule type="timePeriod" dxfId="1" priority="236" timePeriod="last7Days">
      <formula/>
    </cfRule>
    <cfRule type="timePeriod" dxfId="1" priority="237" timePeriod="yesterday">
      <formula/>
    </cfRule>
    <cfRule type="timePeriod" dxfId="1" priority="238" timePeriod="lastMonth">
      <formula/>
    </cfRule>
    <cfRule type="timePeriod" dxfId="1" priority="239" timePeriod="yesterday">
      <formula/>
    </cfRule>
    <cfRule type="timePeriod" dxfId="1" priority="240" timePeriod="today">
      <formula/>
    </cfRule>
  </conditionalFormatting>
  <conditionalFormatting sqref="B85:B87">
    <cfRule type="expression" dxfId="0" priority="241">
      <formula>MOD(ROW(),2)=1</formula>
    </cfRule>
  </conditionalFormatting>
  <conditionalFormatting sqref="B83:F84">
    <cfRule type="expression" dxfId="0" priority="242">
      <formula>MOD(ROW(),2)=1</formula>
    </cfRule>
  </conditionalFormatting>
  <conditionalFormatting sqref="H83:H84">
    <cfRule type="expression" dxfId="0" priority="243">
      <formula>MOD(ROW(),2)=1</formula>
    </cfRule>
  </conditionalFormatting>
  <conditionalFormatting sqref="F83:F84">
    <cfRule type="cellIs" dxfId="3" priority="244" operator="lessThan">
      <formula>TODAY()</formula>
    </cfRule>
    <cfRule type="timePeriod" dxfId="1" priority="245" timePeriod="last7Days">
      <formula/>
    </cfRule>
    <cfRule type="timePeriod" dxfId="1" priority="246" timePeriod="yesterday">
      <formula/>
    </cfRule>
    <cfRule type="timePeriod" dxfId="1" priority="247" timePeriod="lastMonth">
      <formula/>
    </cfRule>
    <cfRule type="timePeriod" dxfId="1" priority="248" timePeriod="yesterday">
      <formula/>
    </cfRule>
    <cfRule type="timePeriod" dxfId="1" priority="249" timePeriod="today">
      <formula/>
    </cfRule>
  </conditionalFormatting>
  <conditionalFormatting sqref="F44:F51">
    <cfRule type="expression" dxfId="0" priority="250">
      <formula>MOD(ROW(),2)=1</formula>
    </cfRule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54:F55">
    <cfRule type="expression" dxfId="0" priority="257">
      <formula>MOD(ROW(),2)=1</formula>
    </cfRule>
  </conditionalFormatting>
  <conditionalFormatting sqref="H42">
    <cfRule type="expression" dxfId="0" priority="258">
      <formula>MOD(ROW(),2)=1</formula>
    </cfRule>
  </conditionalFormatting>
  <conditionalFormatting sqref="H89">
    <cfRule type="expression" dxfId="0" priority="259">
      <formula>MOD(ROW(),2)=1</formula>
    </cfRule>
  </conditionalFormatting>
  <conditionalFormatting sqref="H114">
    <cfRule type="expression" dxfId="0" priority="260">
      <formula>MOD(ROW(),2)=1</formula>
    </cfRule>
  </conditionalFormatting>
  <conditionalFormatting sqref="G83:G88">
    <cfRule type="expression" dxfId="0" priority="261">
      <formula>MOD(ROW(),2)=1</formula>
    </cfRule>
    <cfRule type="cellIs" dxfId="3" priority="262" operator="lessThan">
      <formula>TODAY()</formula>
    </cfRule>
    <cfRule type="timePeriod" dxfId="1" priority="263" timePeriod="last7Days">
      <formula/>
    </cfRule>
    <cfRule type="timePeriod" dxfId="1" priority="264" timePeriod="yesterday">
      <formula/>
    </cfRule>
    <cfRule type="timePeriod" dxfId="1" priority="265" timePeriod="lastMonth">
      <formula/>
    </cfRule>
    <cfRule type="timePeriod" dxfId="1" priority="266" timePeriod="yesterday">
      <formula/>
    </cfRule>
    <cfRule type="timePeriod" dxfId="1" priority="267" timePeriod="today">
      <formula/>
    </cfRule>
  </conditionalFormatting>
  <conditionalFormatting sqref="D85:D87">
    <cfRule type="expression" dxfId="0" priority="268">
      <formula>MOD(ROW(),2)=1</formula>
    </cfRule>
  </conditionalFormatting>
  <conditionalFormatting sqref="C85:C87">
    <cfRule type="expression" dxfId="0" priority="269">
      <formula>MOD(ROW(),2)=1</formula>
    </cfRule>
  </conditionalFormatting>
  <conditionalFormatting sqref="E85">
    <cfRule type="expression" dxfId="0" priority="270">
      <formula>MOD(ROW(),2)=1</formula>
    </cfRule>
  </conditionalFormatting>
  <conditionalFormatting sqref="I26:I30">
    <cfRule type="expression" dxfId="0" priority="271">
      <formula>MOD(ROW(),2)=1</formula>
    </cfRule>
  </conditionalFormatting>
  <conditionalFormatting sqref="I31">
    <cfRule type="expression" dxfId="0" priority="272">
      <formula>MOD(ROW(),2)=1</formula>
    </cfRule>
  </conditionalFormatting>
  <conditionalFormatting sqref="I13">
    <cfRule type="expression" dxfId="0" priority="273">
      <formula>MOD(ROW(),2)=1</formula>
    </cfRule>
  </conditionalFormatting>
  <conditionalFormatting sqref="I32:I37">
    <cfRule type="expression" dxfId="0" priority="274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1"/>
  <sheetViews>
    <sheetView tabSelected="0" workbookViewId="0" zoomScale="85" zoomScaleNormal="85" showGridLines="true" showRowColHeaders="1">
      <pane ySplit="1" topLeftCell="A74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 t="s">
        <v>147</v>
      </c>
      <c r="C2" s="12" t="s">
        <v>612</v>
      </c>
      <c r="D2" s="13">
        <v>-346.5</v>
      </c>
      <c r="E2" s="335" t="s">
        <v>498</v>
      </c>
      <c r="F2" s="336">
        <v>44666</v>
      </c>
      <c r="G2" s="337">
        <v>-346.5</v>
      </c>
      <c r="H2" s="338" t="str">
        <f>D2-G2</f>
        <v>0</v>
      </c>
      <c r="I2" s="339"/>
    </row>
    <row r="3" spans="1:1024" customHeight="1" ht="18.6">
      <c r="A3" s="265"/>
      <c r="B3" s="11" t="s">
        <v>147</v>
      </c>
      <c r="C3" s="12" t="s">
        <v>613</v>
      </c>
      <c r="D3" s="268">
        <v>13075.05</v>
      </c>
      <c r="E3" s="335" t="s">
        <v>253</v>
      </c>
      <c r="F3" s="340">
        <v>44666</v>
      </c>
      <c r="G3" s="341">
        <v>13075.05</v>
      </c>
      <c r="H3" s="342" t="str">
        <f>D3-G3</f>
        <v>0</v>
      </c>
      <c r="I3" s="339"/>
    </row>
    <row r="4" spans="1:1024" customHeight="1" ht="18.6">
      <c r="A4" s="265"/>
      <c r="B4" s="11" t="s">
        <v>394</v>
      </c>
      <c r="C4" s="12" t="s">
        <v>614</v>
      </c>
      <c r="D4" s="268">
        <v>90</v>
      </c>
      <c r="E4" s="335" t="s">
        <v>253</v>
      </c>
      <c r="F4" s="340">
        <v>44671</v>
      </c>
      <c r="G4" s="341">
        <v>90</v>
      </c>
      <c r="H4" s="342" t="str">
        <f>D4-G4</f>
        <v>0</v>
      </c>
      <c r="I4" s="339"/>
      <c r="K4" s="18"/>
    </row>
    <row r="5" spans="1:1024" customHeight="1" ht="18.6">
      <c r="A5" s="265"/>
      <c r="B5" s="11" t="s">
        <v>394</v>
      </c>
      <c r="C5" s="12" t="s">
        <v>615</v>
      </c>
      <c r="D5" s="268">
        <v>418.21</v>
      </c>
      <c r="E5" s="335" t="s">
        <v>253</v>
      </c>
      <c r="F5" s="340">
        <v>44671</v>
      </c>
      <c r="G5" s="341">
        <v>418.21</v>
      </c>
      <c r="H5" s="342" t="str">
        <f>D5-G5</f>
        <v>0</v>
      </c>
      <c r="I5" s="339"/>
      <c r="K5" s="19"/>
    </row>
    <row r="6" spans="1:1024" customHeight="1" ht="18.6">
      <c r="A6" s="265"/>
      <c r="B6" s="11" t="s">
        <v>394</v>
      </c>
      <c r="C6" s="12" t="s">
        <v>616</v>
      </c>
      <c r="D6" s="268">
        <v>90</v>
      </c>
      <c r="E6" s="335" t="s">
        <v>253</v>
      </c>
      <c r="F6" s="340">
        <v>44671</v>
      </c>
      <c r="G6" s="341">
        <v>90</v>
      </c>
      <c r="H6" s="342" t="str">
        <f>D6-G6</f>
        <v>0</v>
      </c>
      <c r="I6" s="339"/>
      <c r="K6" s="19" t="s">
        <v>506</v>
      </c>
    </row>
    <row r="7" spans="1:1024" customHeight="1" ht="18.6">
      <c r="A7" s="265"/>
      <c r="B7" s="11" t="s">
        <v>394</v>
      </c>
      <c r="C7" s="12" t="s">
        <v>617</v>
      </c>
      <c r="D7" s="268">
        <v>90</v>
      </c>
      <c r="E7" s="335" t="s">
        <v>253</v>
      </c>
      <c r="F7" s="340">
        <v>44671</v>
      </c>
      <c r="G7" s="341">
        <v>90</v>
      </c>
      <c r="H7" s="342" t="str">
        <f>D7-G7</f>
        <v>0</v>
      </c>
      <c r="I7" s="339"/>
      <c r="K7" s="19"/>
    </row>
    <row r="8" spans="1:1024" customHeight="1" ht="18.6">
      <c r="A8" s="265"/>
      <c r="B8" s="343" t="s">
        <v>394</v>
      </c>
      <c r="C8" s="12" t="s">
        <v>618</v>
      </c>
      <c r="D8" s="268">
        <v>2556.37</v>
      </c>
      <c r="E8" s="335" t="s">
        <v>253</v>
      </c>
      <c r="F8" s="340">
        <v>44671</v>
      </c>
      <c r="G8" s="341">
        <v>2556.37</v>
      </c>
      <c r="H8" s="342" t="str">
        <f>D8-G8</f>
        <v>0</v>
      </c>
      <c r="I8" s="339"/>
      <c r="K8" s="20" t="str">
        <f>D109</f>
        <v>0</v>
      </c>
      <c r="L8" s="20"/>
    </row>
    <row r="9" spans="1:1024" customHeight="1" ht="18.6">
      <c r="A9" s="265"/>
      <c r="B9" s="11" t="s">
        <v>394</v>
      </c>
      <c r="C9" s="12" t="s">
        <v>619</v>
      </c>
      <c r="D9" s="268">
        <v>300</v>
      </c>
      <c r="E9" s="335" t="s">
        <v>253</v>
      </c>
      <c r="F9" s="340">
        <v>44671</v>
      </c>
      <c r="G9" s="341">
        <v>300</v>
      </c>
      <c r="H9" s="342" t="str">
        <f>D9-G9</f>
        <v>0</v>
      </c>
      <c r="I9" s="339"/>
      <c r="K9" s="19"/>
    </row>
    <row r="10" spans="1:1024" customHeight="1" ht="18.6">
      <c r="A10" s="265"/>
      <c r="B10" s="11" t="s">
        <v>620</v>
      </c>
      <c r="C10" s="12" t="s">
        <v>621</v>
      </c>
      <c r="D10" s="268">
        <v>1273.96</v>
      </c>
      <c r="E10" s="335" t="s">
        <v>253</v>
      </c>
      <c r="F10" s="340">
        <v>44671</v>
      </c>
      <c r="G10" s="341">
        <v>1273.96</v>
      </c>
      <c r="H10" s="342" t="str">
        <f>D10-G10</f>
        <v>0</v>
      </c>
      <c r="I10" s="344"/>
      <c r="K10" s="20" t="str">
        <f>D37</f>
        <v>0</v>
      </c>
      <c r="L10" s="20"/>
    </row>
    <row r="11" spans="1:1024" customHeight="1" ht="18.6">
      <c r="A11" s="265"/>
      <c r="B11" s="11" t="s">
        <v>620</v>
      </c>
      <c r="C11" s="12" t="s">
        <v>622</v>
      </c>
      <c r="D11" s="268">
        <v>2034.65</v>
      </c>
      <c r="E11" s="335" t="s">
        <v>253</v>
      </c>
      <c r="F11" s="340">
        <v>44671</v>
      </c>
      <c r="G11" s="341">
        <v>2034.65</v>
      </c>
      <c r="H11" s="342" t="str">
        <f>D11-G11</f>
        <v>0</v>
      </c>
      <c r="I11" s="344"/>
    </row>
    <row r="12" spans="1:1024" customHeight="1" ht="18.6">
      <c r="A12" s="265"/>
      <c r="B12" s="11" t="s">
        <v>273</v>
      </c>
      <c r="C12" s="12" t="s">
        <v>623</v>
      </c>
      <c r="D12" s="268">
        <v>515.29</v>
      </c>
      <c r="E12" s="335"/>
      <c r="F12" s="340">
        <v>44681</v>
      </c>
      <c r="G12" s="341">
        <v>515.29</v>
      </c>
      <c r="H12" s="342" t="str">
        <f>D12-G12</f>
        <v>0</v>
      </c>
      <c r="I12" s="344"/>
      <c r="K12" s="20" t="str">
        <f>+D109</f>
        <v>0</v>
      </c>
      <c r="L12" s="20"/>
    </row>
    <row r="13" spans="1:1024" customHeight="1" ht="18.6">
      <c r="A13" s="265"/>
      <c r="B13" s="11" t="s">
        <v>284</v>
      </c>
      <c r="C13" s="12" t="s">
        <v>624</v>
      </c>
      <c r="D13" s="268">
        <v>4340.2</v>
      </c>
      <c r="E13" s="335" t="s">
        <v>625</v>
      </c>
      <c r="F13" s="340">
        <v>44681</v>
      </c>
      <c r="G13" s="345">
        <v>4340.2</v>
      </c>
      <c r="H13" s="342" t="str">
        <f>D13-G13</f>
        <v>0</v>
      </c>
      <c r="I13" s="344"/>
    </row>
    <row r="14" spans="1:1024" customHeight="1" ht="18.6">
      <c r="A14" s="265"/>
      <c r="B14" s="11" t="s">
        <v>284</v>
      </c>
      <c r="C14" s="12" t="s">
        <v>626</v>
      </c>
      <c r="D14" s="268">
        <v>5299.24</v>
      </c>
      <c r="E14" s="335" t="s">
        <v>286</v>
      </c>
      <c r="F14" s="340">
        <v>44681</v>
      </c>
      <c r="G14" s="345">
        <v>5299.24</v>
      </c>
      <c r="H14" s="342" t="str">
        <f>D14-G14</f>
        <v>0</v>
      </c>
      <c r="I14" s="344"/>
      <c r="K14" s="19" t="s">
        <v>521</v>
      </c>
    </row>
    <row r="15" spans="1:1024" customHeight="1" ht="18.6">
      <c r="A15" s="265"/>
      <c r="B15" s="11" t="s">
        <v>422</v>
      </c>
      <c r="C15" s="12" t="s">
        <v>627</v>
      </c>
      <c r="D15" s="268">
        <v>339.45</v>
      </c>
      <c r="E15" s="335" t="s">
        <v>253</v>
      </c>
      <c r="F15" s="346">
        <v>44681</v>
      </c>
      <c r="G15" s="345">
        <v>339.45</v>
      </c>
      <c r="H15" s="342" t="str">
        <f>D15-G15</f>
        <v>0</v>
      </c>
      <c r="I15" s="344"/>
      <c r="K15" s="21" t="str">
        <f>K10+K8</f>
        <v>0</v>
      </c>
      <c r="L15" s="21"/>
      <c r="M15" s="21"/>
    </row>
    <row r="16" spans="1:1024" customHeight="1" ht="18.6">
      <c r="A16" s="265"/>
      <c r="B16" s="11" t="s">
        <v>422</v>
      </c>
      <c r="C16" s="12" t="s">
        <v>628</v>
      </c>
      <c r="D16" s="268">
        <v>563.88</v>
      </c>
      <c r="E16" s="335" t="s">
        <v>515</v>
      </c>
      <c r="F16" s="346">
        <v>44681</v>
      </c>
      <c r="G16" s="345">
        <v>563.88</v>
      </c>
      <c r="H16" s="342" t="str">
        <f>D16-G16</f>
        <v>0</v>
      </c>
      <c r="I16" s="344"/>
    </row>
    <row r="17" spans="1:1024" customHeight="1" ht="18.6">
      <c r="A17" s="265"/>
      <c r="B17" s="11" t="s">
        <v>422</v>
      </c>
      <c r="C17" s="12" t="s">
        <v>629</v>
      </c>
      <c r="D17" s="268">
        <v>201.19</v>
      </c>
      <c r="E17" s="335" t="s">
        <v>630</v>
      </c>
      <c r="F17" s="340">
        <v>44681</v>
      </c>
      <c r="G17" s="345">
        <v>201.19</v>
      </c>
      <c r="H17" s="342" t="str">
        <f>D17-G17</f>
        <v>0</v>
      </c>
      <c r="I17" s="344"/>
    </row>
    <row r="18" spans="1:1024" customHeight="1" ht="18.6">
      <c r="A18" s="265"/>
      <c r="B18" s="11" t="s">
        <v>422</v>
      </c>
      <c r="C18" s="12" t="s">
        <v>631</v>
      </c>
      <c r="D18" s="268">
        <v>1462.29</v>
      </c>
      <c r="E18" s="335" t="s">
        <v>280</v>
      </c>
      <c r="F18" s="346">
        <v>44681</v>
      </c>
      <c r="G18" s="345">
        <v>1462.29</v>
      </c>
      <c r="H18" s="342" t="str">
        <f>D18-G18</f>
        <v>0</v>
      </c>
      <c r="I18" s="344"/>
    </row>
    <row r="19" spans="1:1024" customHeight="1" ht="18.6">
      <c r="A19" s="265"/>
      <c r="B19" s="11" t="s">
        <v>422</v>
      </c>
      <c r="C19" s="12" t="s">
        <v>632</v>
      </c>
      <c r="D19" s="268">
        <v>27.02</v>
      </c>
      <c r="E19" s="335" t="s">
        <v>633</v>
      </c>
      <c r="F19" s="346">
        <v>44681</v>
      </c>
      <c r="G19" s="345">
        <v>27.02</v>
      </c>
      <c r="H19" s="342" t="str">
        <f>D19-G19</f>
        <v>0</v>
      </c>
      <c r="I19" s="344"/>
    </row>
    <row r="20" spans="1:1024" customHeight="1" ht="18.6">
      <c r="A20" s="265"/>
      <c r="B20" s="11" t="s">
        <v>166</v>
      </c>
      <c r="C20" s="12" t="s">
        <v>634</v>
      </c>
      <c r="D20" s="268">
        <v>1008.54</v>
      </c>
      <c r="E20" s="335"/>
      <c r="F20" s="346">
        <v>44681</v>
      </c>
      <c r="G20" s="345">
        <v>1008.54</v>
      </c>
      <c r="H20" s="342" t="str">
        <f>D20-G20</f>
        <v>0</v>
      </c>
      <c r="I20" s="344"/>
    </row>
    <row r="21" spans="1:1024" customHeight="1" ht="18.6">
      <c r="A21" s="265"/>
      <c r="B21" s="11" t="s">
        <v>166</v>
      </c>
      <c r="C21" s="12" t="s">
        <v>635</v>
      </c>
      <c r="D21" s="13">
        <v>-69</v>
      </c>
      <c r="E21" s="347"/>
      <c r="F21" s="346">
        <v>44681</v>
      </c>
      <c r="G21" s="345">
        <v>-69</v>
      </c>
      <c r="H21" s="342" t="str">
        <f>D21-G21</f>
        <v>0</v>
      </c>
      <c r="I21" s="344"/>
    </row>
    <row r="22" spans="1:1024" customHeight="1" ht="18.6">
      <c r="A22" s="265"/>
      <c r="B22" s="11" t="s">
        <v>291</v>
      </c>
      <c r="C22" s="12" t="s">
        <v>636</v>
      </c>
      <c r="D22" s="268">
        <v>688.54</v>
      </c>
      <c r="E22" s="335" t="s">
        <v>625</v>
      </c>
      <c r="F22" s="346">
        <v>44681</v>
      </c>
      <c r="G22" s="345">
        <v>688.54</v>
      </c>
      <c r="H22" s="342" t="str">
        <f>D22-G22</f>
        <v>0</v>
      </c>
      <c r="I22" s="344"/>
    </row>
    <row r="23" spans="1:1024" customHeight="1" ht="18.6">
      <c r="A23" s="265"/>
      <c r="B23" s="11" t="s">
        <v>291</v>
      </c>
      <c r="C23" s="12" t="s">
        <v>637</v>
      </c>
      <c r="D23" s="268">
        <v>2613.22</v>
      </c>
      <c r="E23" s="335" t="s">
        <v>280</v>
      </c>
      <c r="F23" s="346">
        <v>44681</v>
      </c>
      <c r="G23" s="348">
        <v>2613.22</v>
      </c>
      <c r="H23" s="342" t="str">
        <f>D23-G23</f>
        <v>0</v>
      </c>
      <c r="I23" s="344"/>
    </row>
    <row r="24" spans="1:1024" customHeight="1" ht="18.6">
      <c r="A24" s="265"/>
      <c r="B24" s="11" t="s">
        <v>291</v>
      </c>
      <c r="C24" s="12" t="s">
        <v>638</v>
      </c>
      <c r="D24" s="268">
        <v>155.94</v>
      </c>
      <c r="E24" s="335" t="s">
        <v>294</v>
      </c>
      <c r="F24" s="346">
        <v>44681</v>
      </c>
      <c r="G24" s="348">
        <v>155.94</v>
      </c>
      <c r="H24" s="342" t="str">
        <f>D24-G24</f>
        <v>0</v>
      </c>
      <c r="I24" s="344"/>
    </row>
    <row r="25" spans="1:1024" customHeight="1" ht="18.6">
      <c r="A25" s="265"/>
      <c r="B25" s="11" t="s">
        <v>291</v>
      </c>
      <c r="C25" s="12" t="s">
        <v>639</v>
      </c>
      <c r="D25" s="268">
        <v>13821.95</v>
      </c>
      <c r="E25" s="335" t="s">
        <v>253</v>
      </c>
      <c r="F25" s="346">
        <v>44681</v>
      </c>
      <c r="G25" s="348">
        <v>13821.95</v>
      </c>
      <c r="H25" s="342" t="str">
        <f>D25-G25</f>
        <v>0</v>
      </c>
      <c r="I25" s="344"/>
    </row>
    <row r="26" spans="1:1024" customHeight="1" ht="18.6">
      <c r="A26" s="265"/>
      <c r="B26" s="11" t="s">
        <v>291</v>
      </c>
      <c r="C26" s="12" t="s">
        <v>640</v>
      </c>
      <c r="D26" s="268">
        <v>159.95</v>
      </c>
      <c r="E26" s="335" t="s">
        <v>641</v>
      </c>
      <c r="F26" s="346">
        <v>44681</v>
      </c>
      <c r="G26" s="348">
        <v>159.95</v>
      </c>
      <c r="H26" s="342" t="str">
        <f>D26-G26</f>
        <v>0</v>
      </c>
      <c r="I26" s="344"/>
    </row>
    <row r="27" spans="1:1024" customHeight="1" ht="18.6">
      <c r="A27" s="265"/>
      <c r="B27" s="11" t="s">
        <v>291</v>
      </c>
      <c r="C27" s="12" t="s">
        <v>642</v>
      </c>
      <c r="D27" s="268">
        <v>756.59</v>
      </c>
      <c r="E27" s="335" t="s">
        <v>643</v>
      </c>
      <c r="F27" s="346">
        <v>44681</v>
      </c>
      <c r="G27" s="348">
        <v>756.59</v>
      </c>
      <c r="H27" s="342" t="str">
        <f>D27-G27</f>
        <v>0</v>
      </c>
      <c r="I27" s="344"/>
    </row>
    <row r="28" spans="1:1024" customHeight="1" ht="18.6">
      <c r="A28" s="265"/>
      <c r="B28" s="11" t="s">
        <v>644</v>
      </c>
      <c r="C28" s="12" t="s">
        <v>645</v>
      </c>
      <c r="D28" s="268">
        <v>1408.56</v>
      </c>
      <c r="E28" s="335" t="s">
        <v>646</v>
      </c>
      <c r="F28" s="346">
        <v>44681</v>
      </c>
      <c r="G28" s="348">
        <v>1408.56</v>
      </c>
      <c r="H28" s="342" t="str">
        <f>D28-G28</f>
        <v>0</v>
      </c>
      <c r="I28" s="344"/>
    </row>
    <row r="29" spans="1:1024" customHeight="1" ht="18.6">
      <c r="A29" s="273"/>
      <c r="B29" s="11" t="s">
        <v>644</v>
      </c>
      <c r="C29" s="12" t="s">
        <v>647</v>
      </c>
      <c r="D29" s="274">
        <v>27751.68</v>
      </c>
      <c r="E29" s="349" t="s">
        <v>253</v>
      </c>
      <c r="F29" s="350">
        <v>44681</v>
      </c>
      <c r="G29" s="351">
        <v>27751.68</v>
      </c>
      <c r="H29" s="342" t="str">
        <f>D29-G29</f>
        <v>0</v>
      </c>
      <c r="I29" s="344"/>
    </row>
    <row r="30" spans="1:1024" customHeight="1" ht="18.6">
      <c r="A30" s="273"/>
      <c r="B30" s="11" t="s">
        <v>644</v>
      </c>
      <c r="C30" s="12" t="s">
        <v>648</v>
      </c>
      <c r="D30" s="274">
        <v>7864.68</v>
      </c>
      <c r="E30" s="349" t="s">
        <v>280</v>
      </c>
      <c r="F30" s="350">
        <v>44681</v>
      </c>
      <c r="G30" s="351">
        <v>7864.68</v>
      </c>
      <c r="H30" s="342" t="str">
        <f>D30-G30</f>
        <v>0</v>
      </c>
      <c r="I30" s="344"/>
    </row>
    <row r="31" spans="1:1024" customHeight="1" ht="18.6">
      <c r="A31" s="273"/>
      <c r="B31" s="11" t="s">
        <v>644</v>
      </c>
      <c r="C31" s="12" t="s">
        <v>649</v>
      </c>
      <c r="D31" s="274">
        <v>2734.8</v>
      </c>
      <c r="E31" s="349" t="s">
        <v>407</v>
      </c>
      <c r="F31" s="350">
        <v>44681</v>
      </c>
      <c r="G31" s="351">
        <v>2734.8</v>
      </c>
      <c r="H31" s="342" t="str">
        <f>D31-G31</f>
        <v>0</v>
      </c>
      <c r="I31" s="344"/>
    </row>
    <row r="32" spans="1:1024" customHeight="1" ht="18.6">
      <c r="A32" s="273"/>
      <c r="B32" s="11" t="s">
        <v>644</v>
      </c>
      <c r="C32" s="12" t="s">
        <v>650</v>
      </c>
      <c r="D32" s="274">
        <v>4089.96</v>
      </c>
      <c r="E32" s="349" t="s">
        <v>625</v>
      </c>
      <c r="F32" s="350">
        <v>44681</v>
      </c>
      <c r="G32" s="351">
        <v>4089.96</v>
      </c>
      <c r="H32" s="342" t="str">
        <f>D32-G32</f>
        <v>0</v>
      </c>
      <c r="I32" s="344"/>
    </row>
    <row r="33" spans="1:1024" customHeight="1" ht="18.6">
      <c r="A33" s="273"/>
      <c r="B33" s="11" t="s">
        <v>644</v>
      </c>
      <c r="C33" s="12" t="s">
        <v>651</v>
      </c>
      <c r="D33" s="274">
        <v>818.88</v>
      </c>
      <c r="E33" s="349" t="s">
        <v>407</v>
      </c>
      <c r="F33" s="350">
        <v>44681</v>
      </c>
      <c r="G33" s="351">
        <v>818.88</v>
      </c>
      <c r="H33" s="342" t="str">
        <f>D33-G33</f>
        <v>0</v>
      </c>
      <c r="I33" s="344"/>
    </row>
    <row r="34" spans="1:1024" customHeight="1" ht="18.6">
      <c r="A34" s="273"/>
      <c r="B34" s="11" t="s">
        <v>644</v>
      </c>
      <c r="C34" s="12" t="s">
        <v>652</v>
      </c>
      <c r="D34" s="274">
        <v>1706.52</v>
      </c>
      <c r="E34" s="349" t="s">
        <v>653</v>
      </c>
      <c r="F34" s="350">
        <v>44681</v>
      </c>
      <c r="G34" s="351">
        <v>1706.52</v>
      </c>
      <c r="H34" s="342" t="str">
        <f>D34-G34</f>
        <v>0</v>
      </c>
      <c r="I34" s="344"/>
    </row>
    <row r="35" spans="1:1024" customHeight="1" ht="18.6">
      <c r="A35" s="273"/>
      <c r="B35" s="11" t="s">
        <v>644</v>
      </c>
      <c r="C35" s="12" t="s">
        <v>654</v>
      </c>
      <c r="D35" s="268">
        <v>906.6</v>
      </c>
      <c r="E35" s="335" t="s">
        <v>655</v>
      </c>
      <c r="F35" s="346">
        <v>44681</v>
      </c>
      <c r="G35" s="348">
        <v>906.6</v>
      </c>
      <c r="H35" s="342" t="str">
        <f>D35-G35</f>
        <v>0</v>
      </c>
      <c r="I35" s="344"/>
    </row>
    <row r="36" spans="1:1024" customHeight="1" ht="18.6">
      <c r="A36" s="273"/>
      <c r="B36" s="11" t="s">
        <v>644</v>
      </c>
      <c r="C36" s="12" t="s">
        <v>656</v>
      </c>
      <c r="D36" s="268">
        <v>806.64</v>
      </c>
      <c r="E36" s="335" t="s">
        <v>657</v>
      </c>
      <c r="F36" s="346">
        <v>44681</v>
      </c>
      <c r="G36" s="348">
        <v>806.64</v>
      </c>
      <c r="H36" s="342" t="str">
        <f>D36-G36</f>
        <v>0</v>
      </c>
      <c r="I36" s="344"/>
    </row>
    <row r="37" spans="1:1024" customHeight="1" ht="18.6">
      <c r="A37" s="273"/>
      <c r="B37" s="28" t="s">
        <v>35</v>
      </c>
      <c r="C37" s="22"/>
      <c r="D37" s="29" t="str">
        <f>+SUM(D2:D36)</f>
        <v>0</v>
      </c>
      <c r="E37" s="352"/>
      <c r="F37" s="353"/>
      <c r="G37" s="354"/>
      <c r="H37" s="355" t="str">
        <f>+SUM(H2:H36)</f>
        <v>0</v>
      </c>
      <c r="I37" s="356"/>
    </row>
    <row r="38" spans="1:1024" customHeight="1" ht="18.6">
      <c r="A38" s="357" t="s">
        <v>299</v>
      </c>
      <c r="B38" s="11" t="s">
        <v>658</v>
      </c>
      <c r="C38" s="12" t="s">
        <v>659</v>
      </c>
      <c r="D38" s="274">
        <v>891.47</v>
      </c>
      <c r="E38" s="349"/>
      <c r="F38" s="350">
        <v>44652</v>
      </c>
      <c r="G38" s="351">
        <v>891.47</v>
      </c>
      <c r="H38" s="342" t="str">
        <f>D38-G38</f>
        <v>0</v>
      </c>
      <c r="I38" s="344"/>
    </row>
    <row r="39" spans="1:1024" customHeight="1" ht="18.6">
      <c r="A39" s="357"/>
      <c r="B39" s="11" t="s">
        <v>311</v>
      </c>
      <c r="C39" s="12"/>
      <c r="D39" s="268">
        <v>19.38</v>
      </c>
      <c r="E39" s="335"/>
      <c r="F39" s="346">
        <v>44655</v>
      </c>
      <c r="G39" s="348">
        <v>19.38</v>
      </c>
      <c r="H39" s="342" t="str">
        <f>D39-G39</f>
        <v>0</v>
      </c>
      <c r="I39" s="344"/>
    </row>
    <row r="40" spans="1:1024" customHeight="1" ht="18.6">
      <c r="A40" s="357"/>
      <c r="B40" s="11" t="s">
        <v>308</v>
      </c>
      <c r="C40" s="12"/>
      <c r="D40" s="268">
        <v>3203.09</v>
      </c>
      <c r="E40" s="335" t="s">
        <v>439</v>
      </c>
      <c r="F40" s="346">
        <v>44656</v>
      </c>
      <c r="G40" s="348">
        <v>3203.09</v>
      </c>
      <c r="H40" s="342" t="str">
        <f>D40-G40</f>
        <v>0</v>
      </c>
      <c r="I40" s="344"/>
    </row>
    <row r="41" spans="1:1024" customHeight="1" ht="18.6">
      <c r="A41" s="357"/>
      <c r="B41" s="11" t="s">
        <v>300</v>
      </c>
      <c r="C41" s="12" t="s">
        <v>303</v>
      </c>
      <c r="D41" s="268">
        <v>127.11</v>
      </c>
      <c r="E41" s="335" t="s">
        <v>302</v>
      </c>
      <c r="F41" s="346">
        <v>44656</v>
      </c>
      <c r="G41" s="348">
        <v>127.11</v>
      </c>
      <c r="H41" s="342" t="str">
        <f>D41-G41</f>
        <v>0</v>
      </c>
      <c r="I41" s="344"/>
    </row>
    <row r="42" spans="1:1024" customHeight="1" ht="18.6">
      <c r="A42" s="357"/>
      <c r="B42" s="11" t="s">
        <v>300</v>
      </c>
      <c r="C42" s="12" t="s">
        <v>304</v>
      </c>
      <c r="D42" s="274">
        <v>100.82</v>
      </c>
      <c r="E42" s="349"/>
      <c r="F42" s="350">
        <v>44656</v>
      </c>
      <c r="G42" s="351">
        <v>100.82</v>
      </c>
      <c r="H42" s="342" t="str">
        <f>D42-G42</f>
        <v>0</v>
      </c>
      <c r="I42" s="344"/>
    </row>
    <row r="43" spans="1:1024" customHeight="1" ht="18.6">
      <c r="A43" s="357"/>
      <c r="B43" s="11" t="s">
        <v>300</v>
      </c>
      <c r="C43" s="12" t="s">
        <v>305</v>
      </c>
      <c r="D43" s="268">
        <v>104.12</v>
      </c>
      <c r="E43" s="335"/>
      <c r="F43" s="346">
        <v>44656</v>
      </c>
      <c r="G43" s="348">
        <v>104.12</v>
      </c>
      <c r="H43" s="342" t="str">
        <f>D43-G43</f>
        <v>0</v>
      </c>
      <c r="I43" s="344"/>
    </row>
    <row r="44" spans="1:1024" customHeight="1" ht="18.6">
      <c r="A44" s="357"/>
      <c r="B44" s="11" t="s">
        <v>300</v>
      </c>
      <c r="C44" s="12" t="s">
        <v>306</v>
      </c>
      <c r="D44" s="268">
        <v>71.32</v>
      </c>
      <c r="E44" s="335"/>
      <c r="F44" s="346">
        <v>44656</v>
      </c>
      <c r="G44" s="348">
        <v>71.32</v>
      </c>
      <c r="H44" s="342" t="str">
        <f>D44-G44</f>
        <v>0</v>
      </c>
      <c r="I44" s="344"/>
    </row>
    <row r="45" spans="1:1024" customHeight="1" ht="18.6">
      <c r="A45" s="357"/>
      <c r="B45" s="11" t="s">
        <v>300</v>
      </c>
      <c r="C45" s="12" t="s">
        <v>307</v>
      </c>
      <c r="D45" s="268">
        <v>89.4</v>
      </c>
      <c r="E45" s="335"/>
      <c r="F45" s="346">
        <v>44656</v>
      </c>
      <c r="G45" s="348">
        <v>89.4</v>
      </c>
      <c r="H45" s="342" t="str">
        <f>D45-G45</f>
        <v>0</v>
      </c>
      <c r="I45" s="344"/>
    </row>
    <row r="46" spans="1:1024" customHeight="1" ht="18.6">
      <c r="A46" s="357"/>
      <c r="B46" s="11" t="s">
        <v>300</v>
      </c>
      <c r="C46" s="12" t="s">
        <v>301</v>
      </c>
      <c r="D46" s="274">
        <v>99.97</v>
      </c>
      <c r="E46" s="349" t="s">
        <v>302</v>
      </c>
      <c r="F46" s="350">
        <v>44656</v>
      </c>
      <c r="G46" s="351">
        <v>99.97</v>
      </c>
      <c r="H46" s="342" t="str">
        <f>D46-G46</f>
        <v>0</v>
      </c>
      <c r="I46" s="344"/>
    </row>
    <row r="47" spans="1:1024" customHeight="1" ht="18.6">
      <c r="A47" s="357"/>
      <c r="B47" s="11" t="s">
        <v>551</v>
      </c>
      <c r="C47" s="12"/>
      <c r="D47" s="268">
        <v>53.88</v>
      </c>
      <c r="E47" s="335"/>
      <c r="F47" s="346">
        <v>44656</v>
      </c>
      <c r="G47" s="348">
        <v>53.88</v>
      </c>
      <c r="H47" s="342" t="str">
        <f>D47-G47</f>
        <v>0</v>
      </c>
      <c r="I47" s="344"/>
    </row>
    <row r="48" spans="1:1024" customHeight="1" ht="18.6">
      <c r="A48" s="357"/>
      <c r="B48" s="11" t="s">
        <v>314</v>
      </c>
      <c r="C48" s="12"/>
      <c r="D48" s="268">
        <v>50</v>
      </c>
      <c r="E48" s="335" t="s">
        <v>315</v>
      </c>
      <c r="F48" s="346">
        <v>44657</v>
      </c>
      <c r="G48" s="348">
        <v>50</v>
      </c>
      <c r="H48" s="342" t="str">
        <f>D48-G48</f>
        <v>0</v>
      </c>
      <c r="I48" s="344"/>
    </row>
    <row r="49" spans="1:1024" customHeight="1" ht="18.6">
      <c r="A49" s="357"/>
      <c r="B49" s="11" t="s">
        <v>314</v>
      </c>
      <c r="C49" s="12"/>
      <c r="D49" s="268">
        <v>38</v>
      </c>
      <c r="E49" s="335"/>
      <c r="F49" s="346">
        <v>44657</v>
      </c>
      <c r="G49" s="348">
        <v>38</v>
      </c>
      <c r="H49" s="342" t="str">
        <f>D49-G49</f>
        <v>0</v>
      </c>
      <c r="I49" s="344"/>
    </row>
    <row r="50" spans="1:1024" customHeight="1" ht="18.6">
      <c r="A50" s="357"/>
      <c r="B50" s="11" t="s">
        <v>566</v>
      </c>
      <c r="C50" s="12" t="s">
        <v>567</v>
      </c>
      <c r="D50" s="274">
        <v>284.59</v>
      </c>
      <c r="E50" s="349" t="s">
        <v>280</v>
      </c>
      <c r="F50" s="350">
        <v>44661</v>
      </c>
      <c r="G50" s="351">
        <v>284.59</v>
      </c>
      <c r="H50" s="342" t="str">
        <f>D50-G50</f>
        <v>0</v>
      </c>
      <c r="I50" s="344"/>
    </row>
    <row r="51" spans="1:1024" customHeight="1" ht="18.6">
      <c r="A51" s="357"/>
      <c r="B51" s="11" t="s">
        <v>35</v>
      </c>
      <c r="C51" s="12" t="s">
        <v>660</v>
      </c>
      <c r="D51" s="268">
        <v>3143.33</v>
      </c>
      <c r="E51" s="335"/>
      <c r="F51" s="346">
        <v>44661</v>
      </c>
      <c r="G51" s="348">
        <v>3143.33</v>
      </c>
      <c r="H51" s="342" t="str">
        <f>D51-G51</f>
        <v>0</v>
      </c>
      <c r="I51" s="344"/>
    </row>
    <row r="52" spans="1:1024" customHeight="1" ht="18.6">
      <c r="A52" s="357"/>
      <c r="B52" s="11" t="s">
        <v>316</v>
      </c>
      <c r="C52" s="12" t="s">
        <v>550</v>
      </c>
      <c r="D52" s="268" t="str">
        <f>15.95*2</f>
        <v>0</v>
      </c>
      <c r="E52" s="335" t="s">
        <v>661</v>
      </c>
      <c r="F52" s="346">
        <v>44661</v>
      </c>
      <c r="G52" s="348">
        <v>31.9</v>
      </c>
      <c r="H52" s="342" t="str">
        <f>D52-G52</f>
        <v>0</v>
      </c>
      <c r="I52" s="344">
        <v>44671</v>
      </c>
    </row>
    <row r="53" spans="1:1024" customHeight="1" ht="18.6">
      <c r="A53" s="357"/>
      <c r="B53" s="11" t="s">
        <v>100</v>
      </c>
      <c r="C53" s="12"/>
      <c r="D53" s="268">
        <v>14.14</v>
      </c>
      <c r="E53" s="335"/>
      <c r="F53" s="346">
        <v>44662</v>
      </c>
      <c r="G53" s="348">
        <v>14.14</v>
      </c>
      <c r="H53" s="342" t="str">
        <f>D53-G53</f>
        <v>0</v>
      </c>
      <c r="I53" s="344"/>
    </row>
    <row r="54" spans="1:1024" customHeight="1" ht="18.6">
      <c r="A54" s="357"/>
      <c r="B54" s="11" t="s">
        <v>561</v>
      </c>
      <c r="C54" s="12"/>
      <c r="D54" s="274">
        <v>16.99</v>
      </c>
      <c r="E54" s="349" t="s">
        <v>562</v>
      </c>
      <c r="F54" s="350">
        <v>44662</v>
      </c>
      <c r="G54" s="351">
        <v>16.99</v>
      </c>
      <c r="H54" s="342" t="str">
        <f>D54-G54</f>
        <v>0</v>
      </c>
      <c r="I54" s="344"/>
    </row>
    <row r="55" spans="1:1024" customHeight="1" ht="18.6">
      <c r="A55" s="357"/>
      <c r="B55" s="11" t="s">
        <v>437</v>
      </c>
      <c r="C55" s="12" t="s">
        <v>564</v>
      </c>
      <c r="D55" s="268">
        <v>277.96</v>
      </c>
      <c r="E55" s="335" t="s">
        <v>565</v>
      </c>
      <c r="F55" s="346">
        <v>44662</v>
      </c>
      <c r="G55" s="348">
        <v>277.96</v>
      </c>
      <c r="H55" s="342" t="str">
        <f>D55-G55</f>
        <v>0</v>
      </c>
      <c r="I55" s="344"/>
    </row>
    <row r="56" spans="1:1024" customHeight="1" ht="18.6">
      <c r="A56" s="357"/>
      <c r="B56" s="343" t="s">
        <v>322</v>
      </c>
      <c r="C56" s="358"/>
      <c r="D56" s="359">
        <v>11213</v>
      </c>
      <c r="E56" s="360" t="s">
        <v>323</v>
      </c>
      <c r="F56" s="361">
        <v>44666</v>
      </c>
      <c r="G56" s="362">
        <v>11213</v>
      </c>
      <c r="H56" s="363" t="str">
        <f>D56-G56</f>
        <v>0</v>
      </c>
      <c r="I56" s="364"/>
    </row>
    <row r="57" spans="1:1024" customHeight="1" ht="18.6">
      <c r="A57" s="357"/>
      <c r="B57" s="343" t="s">
        <v>92</v>
      </c>
      <c r="C57" s="358" t="s">
        <v>662</v>
      </c>
      <c r="D57" s="359">
        <v>2210.28</v>
      </c>
      <c r="E57" s="360" t="s">
        <v>662</v>
      </c>
      <c r="F57" s="361">
        <v>44666</v>
      </c>
      <c r="G57" s="362">
        <v>2210.28</v>
      </c>
      <c r="H57" s="363" t="str">
        <f>D57-G57</f>
        <v>0</v>
      </c>
      <c r="I57" s="344"/>
    </row>
    <row r="58" spans="1:1024" customHeight="1" ht="18.6">
      <c r="A58" s="357"/>
      <c r="B58" s="11" t="s">
        <v>300</v>
      </c>
      <c r="C58" s="12" t="s">
        <v>320</v>
      </c>
      <c r="D58" s="274">
        <v>15.24</v>
      </c>
      <c r="E58" s="349" t="s">
        <v>321</v>
      </c>
      <c r="F58" s="350">
        <v>44670</v>
      </c>
      <c r="G58" s="351">
        <v>15.24</v>
      </c>
      <c r="H58" s="342" t="str">
        <f>D58-G58</f>
        <v>0</v>
      </c>
      <c r="I58" s="344"/>
    </row>
    <row r="59" spans="1:1024" customHeight="1" ht="18.6">
      <c r="A59" s="357"/>
      <c r="B59" s="11" t="s">
        <v>300</v>
      </c>
      <c r="C59" s="12" t="s">
        <v>324</v>
      </c>
      <c r="D59" s="268">
        <v>93.87</v>
      </c>
      <c r="E59" s="335"/>
      <c r="F59" s="346">
        <v>44670</v>
      </c>
      <c r="G59" s="348">
        <v>93.87</v>
      </c>
      <c r="H59" s="342" t="str">
        <f>D59-G59</f>
        <v>0</v>
      </c>
      <c r="I59" s="344"/>
    </row>
    <row r="60" spans="1:1024" customHeight="1" ht="18.6">
      <c r="A60" s="357"/>
      <c r="B60" s="11" t="s">
        <v>330</v>
      </c>
      <c r="C60" s="12" t="s">
        <v>663</v>
      </c>
      <c r="D60" s="268">
        <v>77.3</v>
      </c>
      <c r="E60" s="335" t="s">
        <v>664</v>
      </c>
      <c r="F60" s="346">
        <v>44671</v>
      </c>
      <c r="G60" s="348">
        <v>77.3</v>
      </c>
      <c r="H60" s="342" t="str">
        <f>D60-G60</f>
        <v>0</v>
      </c>
      <c r="I60" s="344"/>
    </row>
    <row r="61" spans="1:1024" customHeight="1" ht="18.6">
      <c r="A61" s="357"/>
      <c r="B61" s="11" t="s">
        <v>573</v>
      </c>
      <c r="C61" s="12" t="s">
        <v>574</v>
      </c>
      <c r="D61" s="268">
        <v>498</v>
      </c>
      <c r="E61" s="335" t="s">
        <v>665</v>
      </c>
      <c r="F61" s="346">
        <v>44671</v>
      </c>
      <c r="G61" s="348">
        <v>498</v>
      </c>
      <c r="H61" s="342" t="str">
        <f>D61-G61</f>
        <v>0</v>
      </c>
      <c r="I61" s="344">
        <v>44671</v>
      </c>
    </row>
    <row r="62" spans="1:1024" customHeight="1" ht="18.6">
      <c r="A62" s="357"/>
      <c r="B62" s="343" t="s">
        <v>327</v>
      </c>
      <c r="C62" s="12" t="s">
        <v>328</v>
      </c>
      <c r="D62" s="365">
        <v>6024</v>
      </c>
      <c r="E62" s="366" t="s">
        <v>666</v>
      </c>
      <c r="F62" s="367">
        <v>44672</v>
      </c>
      <c r="G62" s="368">
        <v>6024</v>
      </c>
      <c r="H62" s="363" t="str">
        <f>D62-G62</f>
        <v>0</v>
      </c>
      <c r="I62" s="364"/>
    </row>
    <row r="63" spans="1:1024" customHeight="1" ht="18.6">
      <c r="A63" s="357"/>
      <c r="B63" s="343" t="s">
        <v>337</v>
      </c>
      <c r="C63" s="358"/>
      <c r="D63" s="359">
        <v>1799.9</v>
      </c>
      <c r="E63" s="360"/>
      <c r="F63" s="361">
        <v>44672</v>
      </c>
      <c r="G63" s="362">
        <v>1799.9</v>
      </c>
      <c r="H63" s="363" t="str">
        <f>D63-G63</f>
        <v>0</v>
      </c>
      <c r="I63" s="364">
        <v>44671</v>
      </c>
    </row>
    <row r="64" spans="1:1024" customHeight="1" ht="18.6">
      <c r="A64" s="357"/>
      <c r="B64" s="11" t="s">
        <v>314</v>
      </c>
      <c r="C64" s="12"/>
      <c r="D64" s="268">
        <v>31</v>
      </c>
      <c r="E64" s="335"/>
      <c r="F64" s="346">
        <v>44672</v>
      </c>
      <c r="G64" s="348">
        <v>31</v>
      </c>
      <c r="H64" s="342" t="str">
        <f>D64-G64</f>
        <v>0</v>
      </c>
      <c r="I64" s="344"/>
    </row>
    <row r="65" spans="1:1024" customHeight="1" ht="18.6">
      <c r="A65" s="357"/>
      <c r="B65" s="11" t="s">
        <v>314</v>
      </c>
      <c r="C65" s="12"/>
      <c r="D65" s="268">
        <v>31</v>
      </c>
      <c r="E65" s="335"/>
      <c r="F65" s="346">
        <v>44672</v>
      </c>
      <c r="G65" s="348">
        <v>31</v>
      </c>
      <c r="H65" s="342" t="str">
        <f>D65-G65</f>
        <v>0</v>
      </c>
      <c r="I65" s="344"/>
    </row>
    <row r="66" spans="1:1024" customHeight="1" ht="18.6">
      <c r="A66" s="357"/>
      <c r="B66" s="11" t="s">
        <v>314</v>
      </c>
      <c r="C66" s="12" t="s">
        <v>325</v>
      </c>
      <c r="D66" s="274">
        <v>31</v>
      </c>
      <c r="E66" s="349" t="s">
        <v>326</v>
      </c>
      <c r="F66" s="350">
        <v>44672</v>
      </c>
      <c r="G66" s="351">
        <v>31</v>
      </c>
      <c r="H66" s="342" t="str">
        <f>D66-G66</f>
        <v>0</v>
      </c>
      <c r="I66" s="344"/>
    </row>
    <row r="67" spans="1:1024" customHeight="1" ht="18.6">
      <c r="A67" s="357"/>
      <c r="B67" s="11" t="s">
        <v>35</v>
      </c>
      <c r="C67" s="12" t="s">
        <v>572</v>
      </c>
      <c r="D67" s="268">
        <v>2219.29</v>
      </c>
      <c r="E67" s="335"/>
      <c r="F67" s="346">
        <v>44676</v>
      </c>
      <c r="G67" s="348">
        <v>2219.29</v>
      </c>
      <c r="H67" s="342" t="str">
        <f>D67-G67</f>
        <v>0</v>
      </c>
      <c r="I67" s="344"/>
    </row>
    <row r="68" spans="1:1024" customHeight="1" ht="18.6">
      <c r="A68" s="357"/>
      <c r="B68" s="343" t="s">
        <v>329</v>
      </c>
      <c r="C68" s="12"/>
      <c r="D68" s="359">
        <v>2159.14</v>
      </c>
      <c r="E68" s="360" t="s">
        <v>667</v>
      </c>
      <c r="F68" s="361">
        <v>44676</v>
      </c>
      <c r="G68" s="362">
        <v>2159.14</v>
      </c>
      <c r="H68" s="363" t="str">
        <f>D68-G68</f>
        <v>0</v>
      </c>
      <c r="I68" s="364"/>
    </row>
    <row r="69" spans="1:1024" customHeight="1" ht="18.6">
      <c r="A69" s="357"/>
      <c r="B69" s="11" t="s">
        <v>448</v>
      </c>
      <c r="C69" s="12" t="s">
        <v>449</v>
      </c>
      <c r="D69" s="274">
        <v>1188</v>
      </c>
      <c r="E69" s="349" t="s">
        <v>450</v>
      </c>
      <c r="F69" s="350">
        <v>44676</v>
      </c>
      <c r="G69" s="351">
        <v>1188</v>
      </c>
      <c r="H69" s="342" t="str">
        <f>D69-G69</f>
        <v>0</v>
      </c>
      <c r="I69" s="344">
        <v>44677</v>
      </c>
    </row>
    <row r="70" spans="1:1024" customHeight="1" ht="18.6">
      <c r="A70" s="357"/>
      <c r="B70" s="11" t="s">
        <v>668</v>
      </c>
      <c r="C70" s="12" t="s">
        <v>669</v>
      </c>
      <c r="D70" s="268">
        <v>34.43</v>
      </c>
      <c r="E70" s="335" t="s">
        <v>670</v>
      </c>
      <c r="F70" s="346">
        <v>44676</v>
      </c>
      <c r="G70" s="348">
        <v>34.43</v>
      </c>
      <c r="H70" s="342" t="str">
        <f>D70-G70</f>
        <v>0</v>
      </c>
      <c r="I70" s="364">
        <v>44676</v>
      </c>
    </row>
    <row r="71" spans="1:1024" customHeight="1" ht="18.6">
      <c r="A71" s="357"/>
      <c r="B71" s="11" t="s">
        <v>338</v>
      </c>
      <c r="C71" s="12" t="s">
        <v>339</v>
      </c>
      <c r="D71" s="268">
        <v>5283.09</v>
      </c>
      <c r="E71" s="335"/>
      <c r="F71" s="346">
        <v>44677</v>
      </c>
      <c r="G71" s="348">
        <v>5283.09</v>
      </c>
      <c r="H71" s="342" t="str">
        <f>D71-G71</f>
        <v>0</v>
      </c>
      <c r="I71" s="344"/>
    </row>
    <row r="72" spans="1:1024" customHeight="1" ht="18.6">
      <c r="A72" s="357"/>
      <c r="B72" s="11" t="s">
        <v>437</v>
      </c>
      <c r="C72" s="12" t="s">
        <v>671</v>
      </c>
      <c r="D72" s="274">
        <v>58.93</v>
      </c>
      <c r="E72" s="349" t="s">
        <v>672</v>
      </c>
      <c r="F72" s="346">
        <v>44677</v>
      </c>
      <c r="G72" s="351">
        <v>58.93</v>
      </c>
      <c r="H72" s="342" t="str">
        <f>D72-G72</f>
        <v>0</v>
      </c>
      <c r="I72" s="344"/>
    </row>
    <row r="73" spans="1:1024" customHeight="1" ht="18.6">
      <c r="A73" s="357"/>
      <c r="B73" s="11" t="s">
        <v>297</v>
      </c>
      <c r="C73" s="12" t="s">
        <v>673</v>
      </c>
      <c r="D73" s="268">
        <v>186.777</v>
      </c>
      <c r="E73" s="335" t="s">
        <v>674</v>
      </c>
      <c r="F73" s="346">
        <v>44681</v>
      </c>
      <c r="G73" s="348">
        <v>186.78</v>
      </c>
      <c r="H73" s="342" t="str">
        <f>D73-G73</f>
        <v>0</v>
      </c>
      <c r="I73" s="344"/>
    </row>
    <row r="74" spans="1:1024" customHeight="1" ht="18.6">
      <c r="A74" s="357"/>
      <c r="B74" s="11" t="s">
        <v>297</v>
      </c>
      <c r="C74" s="12" t="s">
        <v>675</v>
      </c>
      <c r="D74" s="274">
        <v>186.77</v>
      </c>
      <c r="E74" s="349" t="s">
        <v>674</v>
      </c>
      <c r="F74" s="350">
        <v>44681</v>
      </c>
      <c r="G74" s="351">
        <v>186.77</v>
      </c>
      <c r="H74" s="342" t="str">
        <f>D74-G74</f>
        <v>0</v>
      </c>
      <c r="I74" s="344"/>
    </row>
    <row r="75" spans="1:1024" customHeight="1" ht="18.6">
      <c r="A75" s="357"/>
      <c r="B75" s="11" t="s">
        <v>297</v>
      </c>
      <c r="C75" s="12" t="s">
        <v>676</v>
      </c>
      <c r="D75" s="274">
        <v>1293.37</v>
      </c>
      <c r="E75" s="349" t="s">
        <v>677</v>
      </c>
      <c r="F75" s="350">
        <v>44681</v>
      </c>
      <c r="G75" s="351">
        <v>1293.37</v>
      </c>
      <c r="H75" s="342" t="str">
        <f>D75-G75</f>
        <v>0</v>
      </c>
      <c r="I75" s="344"/>
    </row>
    <row r="76" spans="1:1024" customHeight="1" ht="18.6">
      <c r="A76" s="357"/>
      <c r="B76" s="280" t="s">
        <v>678</v>
      </c>
      <c r="C76" s="12" t="s">
        <v>679</v>
      </c>
      <c r="D76" s="369">
        <v>2363.02</v>
      </c>
      <c r="E76" s="349" t="s">
        <v>258</v>
      </c>
      <c r="F76" s="350">
        <v>44681</v>
      </c>
      <c r="G76" s="351">
        <v>2363.02</v>
      </c>
      <c r="H76" s="370" t="str">
        <f>D76-G76</f>
        <v>0</v>
      </c>
      <c r="I76" s="371"/>
    </row>
    <row r="77" spans="1:1024" customHeight="1" ht="18.6">
      <c r="A77" s="357"/>
      <c r="B77" s="280" t="s">
        <v>678</v>
      </c>
      <c r="C77" s="12" t="s">
        <v>680</v>
      </c>
      <c r="D77" s="369">
        <v>366.58</v>
      </c>
      <c r="E77" s="349" t="s">
        <v>258</v>
      </c>
      <c r="F77" s="350">
        <v>44681</v>
      </c>
      <c r="G77" s="351">
        <v>366.58</v>
      </c>
      <c r="H77" s="370" t="str">
        <f>D77-G77</f>
        <v>0</v>
      </c>
      <c r="I77" s="372"/>
    </row>
    <row r="78" spans="1:1024" customHeight="1" ht="18.6">
      <c r="A78" s="357"/>
      <c r="B78" s="373" t="s">
        <v>566</v>
      </c>
      <c r="C78" s="12" t="s">
        <v>681</v>
      </c>
      <c r="D78" s="369">
        <v>284.59</v>
      </c>
      <c r="E78" s="349" t="s">
        <v>352</v>
      </c>
      <c r="F78" s="350">
        <v>44681</v>
      </c>
      <c r="G78" s="351">
        <v>284.59</v>
      </c>
      <c r="H78" s="370" t="str">
        <f>D78-G78</f>
        <v>0</v>
      </c>
      <c r="I78" s="372"/>
    </row>
    <row r="79" spans="1:1024" customHeight="1" ht="18.6">
      <c r="A79" s="357"/>
      <c r="B79" s="22" t="s">
        <v>445</v>
      </c>
      <c r="C79" s="23"/>
      <c r="D79" s="23">
        <v>1102.38</v>
      </c>
      <c r="E79" s="352" t="s">
        <v>682</v>
      </c>
      <c r="F79" s="353">
        <v>44680</v>
      </c>
      <c r="G79" s="354">
        <v>1102.38</v>
      </c>
      <c r="H79" s="374" t="str">
        <f>D79-G79</f>
        <v>0</v>
      </c>
      <c r="I79" s="375"/>
    </row>
    <row r="80" spans="1:1024" customHeight="1" ht="18.6">
      <c r="A80" s="357"/>
      <c r="B80" s="28" t="s">
        <v>35</v>
      </c>
      <c r="C80" s="22"/>
      <c r="D80" s="29" t="str">
        <f>SUM(D38:D78)</f>
        <v>0</v>
      </c>
      <c r="E80" s="352"/>
      <c r="F80" s="353"/>
      <c r="G80" s="354"/>
      <c r="H80" s="355" t="str">
        <f>+SUM(H38:H75)</f>
        <v>0</v>
      </c>
      <c r="I80" s="356"/>
    </row>
    <row r="81" spans="1:1024" customHeight="1" ht="18.6">
      <c r="A81" s="376" t="s">
        <v>341</v>
      </c>
      <c r="B81" s="318" t="s">
        <v>683</v>
      </c>
      <c r="C81" s="279" t="s">
        <v>684</v>
      </c>
      <c r="D81" s="319">
        <v>1739.99</v>
      </c>
      <c r="E81" s="349" t="s">
        <v>685</v>
      </c>
      <c r="F81" s="377">
        <v>44653</v>
      </c>
      <c r="G81" s="351">
        <v>1739.99</v>
      </c>
      <c r="H81" s="378" t="str">
        <f>D81-G81</f>
        <v>0</v>
      </c>
      <c r="I81" s="379"/>
    </row>
    <row r="82" spans="1:1024" customHeight="1" ht="18.6">
      <c r="A82" s="376"/>
      <c r="B82" s="322" t="s">
        <v>552</v>
      </c>
      <c r="C82" s="12"/>
      <c r="D82" s="268">
        <v>590</v>
      </c>
      <c r="E82" s="335" t="s">
        <v>553</v>
      </c>
      <c r="F82" s="346">
        <v>44657</v>
      </c>
      <c r="G82" s="345">
        <v>590</v>
      </c>
      <c r="H82" s="342" t="str">
        <f>D82-G82</f>
        <v>0</v>
      </c>
      <c r="I82" s="339"/>
    </row>
    <row r="83" spans="1:1024" customHeight="1" ht="18.6">
      <c r="A83" s="376"/>
      <c r="B83" s="380" t="s">
        <v>554</v>
      </c>
      <c r="C83" s="381"/>
      <c r="D83" s="382">
        <v>1100</v>
      </c>
      <c r="E83" s="383" t="s">
        <v>555</v>
      </c>
      <c r="F83" s="346">
        <v>44657</v>
      </c>
      <c r="G83" s="384">
        <v>1100</v>
      </c>
      <c r="H83" s="385" t="str">
        <f>D83-G83</f>
        <v>0</v>
      </c>
      <c r="I83" s="386"/>
    </row>
    <row r="84" spans="1:1024" customHeight="1" ht="18.6">
      <c r="A84" s="376"/>
      <c r="B84" s="387" t="s">
        <v>559</v>
      </c>
      <c r="C84" s="388"/>
      <c r="D84" s="382">
        <v>500</v>
      </c>
      <c r="E84" s="383" t="s">
        <v>462</v>
      </c>
      <c r="F84" s="346">
        <v>44657</v>
      </c>
      <c r="G84" s="389">
        <v>500</v>
      </c>
      <c r="H84" s="385" t="str">
        <f>D84-G84</f>
        <v>0</v>
      </c>
      <c r="I84" s="390"/>
    </row>
    <row r="85" spans="1:1024" customHeight="1" ht="18.6">
      <c r="A85" s="376"/>
      <c r="B85" s="391" t="s">
        <v>686</v>
      </c>
      <c r="C85" s="392" t="s">
        <v>687</v>
      </c>
      <c r="D85" s="266">
        <v>2100</v>
      </c>
      <c r="E85" s="393" t="s">
        <v>688</v>
      </c>
      <c r="F85" s="394">
        <v>44657</v>
      </c>
      <c r="G85" s="395">
        <v>2100</v>
      </c>
      <c r="H85" s="396" t="str">
        <f>D85-G85</f>
        <v>0</v>
      </c>
      <c r="I85" s="397"/>
    </row>
    <row r="86" spans="1:1024" customHeight="1" ht="18.6">
      <c r="A86" s="376"/>
      <c r="B86" s="391" t="s">
        <v>689</v>
      </c>
      <c r="C86" s="398" t="s">
        <v>690</v>
      </c>
      <c r="D86" s="266">
        <v>650</v>
      </c>
      <c r="E86" s="393" t="s">
        <v>258</v>
      </c>
      <c r="F86" s="394">
        <v>44661</v>
      </c>
      <c r="G86" s="395">
        <v>650</v>
      </c>
      <c r="H86" s="396" t="str">
        <f>D86-G86</f>
        <v>0</v>
      </c>
      <c r="I86" s="399"/>
    </row>
    <row r="87" spans="1:1024" customHeight="1" ht="18.6">
      <c r="A87" s="376"/>
      <c r="B87" s="391" t="s">
        <v>691</v>
      </c>
      <c r="C87" s="400" t="s">
        <v>692</v>
      </c>
      <c r="D87" s="401">
        <v>360</v>
      </c>
      <c r="E87" s="393" t="s">
        <v>693</v>
      </c>
      <c r="F87" s="394">
        <v>44663</v>
      </c>
      <c r="G87" s="402">
        <v>360</v>
      </c>
      <c r="H87" s="396" t="str">
        <f>D87-G87</f>
        <v>0</v>
      </c>
      <c r="I87" s="397"/>
    </row>
    <row r="88" spans="1:1024" customHeight="1" ht="18.6">
      <c r="A88" s="376"/>
      <c r="B88" s="403" t="s">
        <v>196</v>
      </c>
      <c r="C88" s="400" t="s">
        <v>694</v>
      </c>
      <c r="D88" s="266">
        <v>1393.52</v>
      </c>
      <c r="E88" s="393" t="s">
        <v>695</v>
      </c>
      <c r="F88" s="394">
        <v>44663</v>
      </c>
      <c r="G88" s="404">
        <v>1393.52</v>
      </c>
      <c r="H88" s="396" t="str">
        <f>D88-G88</f>
        <v>0</v>
      </c>
      <c r="I88" s="405">
        <v>44663</v>
      </c>
    </row>
    <row r="89" spans="1:1024" customHeight="1" ht="18.6">
      <c r="A89" s="376"/>
      <c r="B89" s="297" t="s">
        <v>489</v>
      </c>
      <c r="C89" s="12" t="s">
        <v>696</v>
      </c>
      <c r="D89" s="268">
        <v>43155.07</v>
      </c>
      <c r="E89" s="335" t="s">
        <v>697</v>
      </c>
      <c r="F89" s="346">
        <v>44666</v>
      </c>
      <c r="G89" s="345">
        <v>43155.07</v>
      </c>
      <c r="H89" s="342" t="str">
        <f>D89-G89</f>
        <v>0</v>
      </c>
      <c r="I89" s="339"/>
    </row>
    <row r="90" spans="1:1024" customHeight="1" ht="18.6">
      <c r="A90" s="376"/>
      <c r="B90" s="403" t="s">
        <v>698</v>
      </c>
      <c r="C90" s="400" t="s">
        <v>699</v>
      </c>
      <c r="D90" s="266">
        <v>25534.74</v>
      </c>
      <c r="E90" s="393" t="s">
        <v>258</v>
      </c>
      <c r="F90" s="394">
        <v>44681</v>
      </c>
      <c r="G90" s="404">
        <v>25534.74</v>
      </c>
      <c r="H90" s="396" t="str">
        <f>D90-G90</f>
        <v>0</v>
      </c>
      <c r="I90" s="406"/>
    </row>
    <row r="91" spans="1:1024" customHeight="1" ht="18.6">
      <c r="A91" s="376"/>
      <c r="B91" s="403" t="s">
        <v>361</v>
      </c>
      <c r="C91" s="400" t="s">
        <v>700</v>
      </c>
      <c r="D91" s="266">
        <v>3513.12</v>
      </c>
      <c r="E91" s="393" t="s">
        <v>258</v>
      </c>
      <c r="F91" s="394">
        <v>44681</v>
      </c>
      <c r="G91" s="404">
        <v>3513.12</v>
      </c>
      <c r="H91" s="396" t="str">
        <f>D91-G91</f>
        <v>0</v>
      </c>
      <c r="I91" s="406"/>
    </row>
    <row r="92" spans="1:1024" customHeight="1" ht="18.6">
      <c r="A92" s="376"/>
      <c r="B92" s="391" t="s">
        <v>361</v>
      </c>
      <c r="C92" s="392" t="s">
        <v>701</v>
      </c>
      <c r="D92" s="266">
        <v>4101.12</v>
      </c>
      <c r="E92" s="393" t="s">
        <v>702</v>
      </c>
      <c r="F92" s="407">
        <v>44681</v>
      </c>
      <c r="G92" s="408">
        <v>4101.12</v>
      </c>
      <c r="H92" s="396" t="str">
        <f>D92-G92</f>
        <v>0</v>
      </c>
      <c r="I92" s="397"/>
    </row>
    <row r="93" spans="1:1024" customHeight="1" ht="18.6">
      <c r="A93" s="376"/>
      <c r="B93" s="391" t="s">
        <v>361</v>
      </c>
      <c r="C93" s="392" t="s">
        <v>703</v>
      </c>
      <c r="D93" s="266">
        <v>26635.04</v>
      </c>
      <c r="E93" s="393" t="s">
        <v>258</v>
      </c>
      <c r="F93" s="407">
        <v>44681</v>
      </c>
      <c r="G93" s="408"/>
      <c r="H93" s="396" t="str">
        <f>D93-G93</f>
        <v>0</v>
      </c>
      <c r="I93" s="397"/>
    </row>
    <row r="94" spans="1:1024" customHeight="1" ht="18.6">
      <c r="A94" s="376"/>
      <c r="B94" s="322" t="s">
        <v>179</v>
      </c>
      <c r="C94" s="323" t="s">
        <v>704</v>
      </c>
      <c r="D94" s="268">
        <v>2477.6</v>
      </c>
      <c r="E94" s="335" t="s">
        <v>258</v>
      </c>
      <c r="F94" s="409">
        <v>44681</v>
      </c>
      <c r="G94" s="345">
        <v>2477.6</v>
      </c>
      <c r="H94" s="342" t="str">
        <f>D94-G94</f>
        <v>0</v>
      </c>
      <c r="I94" s="410"/>
    </row>
    <row r="95" spans="1:1024" customHeight="1" ht="18.6">
      <c r="A95" s="376"/>
      <c r="B95" s="322" t="s">
        <v>179</v>
      </c>
      <c r="C95" s="323"/>
      <c r="D95" s="268">
        <v>-1078.73</v>
      </c>
      <c r="E95" s="335" t="s">
        <v>258</v>
      </c>
      <c r="F95" s="409">
        <v>44681</v>
      </c>
      <c r="G95" s="345">
        <v>-1078.73</v>
      </c>
      <c r="H95" s="342" t="str">
        <f>D95-G95</f>
        <v>0</v>
      </c>
      <c r="I95" s="410"/>
    </row>
    <row r="96" spans="1:1024" customHeight="1" ht="20.25">
      <c r="A96" s="376"/>
      <c r="B96" s="322" t="s">
        <v>179</v>
      </c>
      <c r="C96" s="323"/>
      <c r="D96" s="268">
        <v>-145.99</v>
      </c>
      <c r="E96" s="335" t="s">
        <v>258</v>
      </c>
      <c r="F96" s="409">
        <v>44681</v>
      </c>
      <c r="G96" s="345">
        <v>-145.99</v>
      </c>
      <c r="H96" s="342" t="str">
        <f>D96-G96</f>
        <v>0</v>
      </c>
      <c r="I96" s="410"/>
    </row>
    <row r="97" spans="1:1024" customHeight="1" ht="20.25">
      <c r="A97" s="376"/>
      <c r="B97" s="322" t="s">
        <v>179</v>
      </c>
      <c r="C97" s="323" t="s">
        <v>705</v>
      </c>
      <c r="D97" s="268">
        <v>840</v>
      </c>
      <c r="E97" s="335" t="s">
        <v>258</v>
      </c>
      <c r="F97" s="409">
        <v>44681</v>
      </c>
      <c r="G97" s="345">
        <v>840</v>
      </c>
      <c r="H97" s="342" t="str">
        <f>D97-G97</f>
        <v>0</v>
      </c>
      <c r="I97" s="410"/>
    </row>
    <row r="98" spans="1:1024" customHeight="1" ht="20.25">
      <c r="A98" s="376"/>
      <c r="B98" s="322" t="s">
        <v>179</v>
      </c>
      <c r="C98" s="323" t="s">
        <v>706</v>
      </c>
      <c r="D98" s="268">
        <v>420</v>
      </c>
      <c r="E98" s="335" t="s">
        <v>258</v>
      </c>
      <c r="F98" s="409">
        <v>44681</v>
      </c>
      <c r="G98" s="345">
        <v>420</v>
      </c>
      <c r="H98" s="342" t="str">
        <f>D98-G98</f>
        <v>0</v>
      </c>
      <c r="I98" s="410"/>
    </row>
    <row r="99" spans="1:1024" customHeight="1" ht="20.25">
      <c r="A99" s="376"/>
      <c r="B99" s="297" t="s">
        <v>179</v>
      </c>
      <c r="C99" s="12" t="s">
        <v>707</v>
      </c>
      <c r="D99" s="268">
        <v>2937.12</v>
      </c>
      <c r="E99" s="335" t="s">
        <v>258</v>
      </c>
      <c r="F99" s="346">
        <v>44681</v>
      </c>
      <c r="G99" s="348">
        <v>2937.12</v>
      </c>
      <c r="H99" s="342" t="str">
        <f>D99-G99</f>
        <v>0</v>
      </c>
      <c r="I99" s="339"/>
    </row>
    <row r="100" spans="1:1024" customHeight="1" ht="20.25">
      <c r="A100" s="376"/>
      <c r="B100" s="322" t="s">
        <v>708</v>
      </c>
      <c r="C100" s="323" t="s">
        <v>709</v>
      </c>
      <c r="D100" s="268">
        <v>1170</v>
      </c>
      <c r="E100" s="335" t="s">
        <v>396</v>
      </c>
      <c r="F100" s="409">
        <v>44681</v>
      </c>
      <c r="G100" s="345">
        <v>1170</v>
      </c>
      <c r="H100" s="342" t="str">
        <f>D100-G100</f>
        <v>0</v>
      </c>
      <c r="I100" s="410"/>
    </row>
    <row r="101" spans="1:1024" customHeight="1" ht="20.25">
      <c r="A101" s="376"/>
      <c r="B101" s="322" t="s">
        <v>710</v>
      </c>
      <c r="C101" s="323" t="s">
        <v>711</v>
      </c>
      <c r="D101" s="268">
        <v>3000</v>
      </c>
      <c r="E101" s="335" t="s">
        <v>258</v>
      </c>
      <c r="F101" s="409">
        <v>44681</v>
      </c>
      <c r="G101" s="348">
        <v>3000</v>
      </c>
      <c r="H101" s="342" t="str">
        <f>D101-G101</f>
        <v>0</v>
      </c>
      <c r="I101" s="371">
        <v>44719</v>
      </c>
    </row>
    <row r="102" spans="1:1024" customHeight="1" ht="20.25">
      <c r="A102" s="376"/>
      <c r="B102" s="322" t="s">
        <v>712</v>
      </c>
      <c r="C102" s="323" t="s">
        <v>713</v>
      </c>
      <c r="D102" s="268">
        <v>5060</v>
      </c>
      <c r="E102" s="335" t="s">
        <v>258</v>
      </c>
      <c r="F102" s="409">
        <v>44681</v>
      </c>
      <c r="G102" s="348">
        <v>5060</v>
      </c>
      <c r="H102" s="342" t="str">
        <f>D102-G102</f>
        <v>0</v>
      </c>
      <c r="I102" s="371">
        <v>44719</v>
      </c>
    </row>
    <row r="103" spans="1:1024" customHeight="1" ht="20.25">
      <c r="A103" s="376"/>
      <c r="B103" s="322" t="s">
        <v>349</v>
      </c>
      <c r="C103" s="323" t="s">
        <v>714</v>
      </c>
      <c r="D103" s="268">
        <v>8638.36</v>
      </c>
      <c r="E103" s="335" t="s">
        <v>253</v>
      </c>
      <c r="F103" s="409">
        <v>44681</v>
      </c>
      <c r="G103" s="348">
        <v>8638.36</v>
      </c>
      <c r="H103" s="342" t="str">
        <f>D103-G103</f>
        <v>0</v>
      </c>
      <c r="I103" s="371"/>
    </row>
    <row r="104" spans="1:1024" customHeight="1" ht="20.25">
      <c r="A104" s="376"/>
      <c r="B104" s="322" t="s">
        <v>349</v>
      </c>
      <c r="C104" s="323" t="s">
        <v>715</v>
      </c>
      <c r="D104" s="268">
        <v>163.72</v>
      </c>
      <c r="E104" s="411" t="s">
        <v>280</v>
      </c>
      <c r="F104" s="409">
        <v>44681</v>
      </c>
      <c r="G104" s="348">
        <v>163.72</v>
      </c>
      <c r="H104" s="342" t="str">
        <f>D104-G104</f>
        <v>0</v>
      </c>
      <c r="I104" s="371"/>
    </row>
    <row r="105" spans="1:1024" customHeight="1" ht="20.25">
      <c r="A105" s="376"/>
      <c r="B105" s="322" t="s">
        <v>148</v>
      </c>
      <c r="C105" s="323" t="s">
        <v>716</v>
      </c>
      <c r="D105" s="268">
        <v>237.6</v>
      </c>
      <c r="E105" s="412"/>
      <c r="F105" s="409">
        <v>44681</v>
      </c>
      <c r="G105" s="348">
        <v>237.6</v>
      </c>
      <c r="H105" s="342" t="str">
        <f>D105-G105</f>
        <v>0</v>
      </c>
      <c r="I105" s="371"/>
    </row>
    <row r="106" spans="1:1024" customHeight="1" ht="20.25">
      <c r="A106" s="376"/>
      <c r="B106" s="322"/>
      <c r="C106" s="323"/>
      <c r="D106" s="268"/>
      <c r="E106" s="411"/>
      <c r="F106" s="409"/>
      <c r="G106" s="348"/>
      <c r="H106" s="342" t="str">
        <f>D106-G106</f>
        <v>0</v>
      </c>
      <c r="I106" s="410"/>
    </row>
    <row r="107" spans="1:1024" customHeight="1" ht="18.6">
      <c r="A107" s="376"/>
      <c r="B107" s="322"/>
      <c r="C107" s="323"/>
      <c r="D107" s="268"/>
      <c r="E107" s="411"/>
      <c r="F107" s="409"/>
      <c r="G107" s="348"/>
      <c r="H107" s="342" t="str">
        <f>D107-G107</f>
        <v>0</v>
      </c>
      <c r="I107" s="410"/>
    </row>
    <row r="108" spans="1:1024" customHeight="1" ht="21">
      <c r="A108" s="331"/>
      <c r="B108" s="322"/>
      <c r="C108" s="323"/>
      <c r="D108" s="268"/>
      <c r="E108" s="411"/>
      <c r="F108" s="409"/>
      <c r="G108" s="348"/>
      <c r="H108" s="342" t="str">
        <f>D108-G108</f>
        <v>0</v>
      </c>
      <c r="I108" s="410"/>
    </row>
    <row r="109" spans="1:1024" customHeight="1" ht="21">
      <c r="A109" s="332" t="s">
        <v>388</v>
      </c>
      <c r="B109" s="311" t="s">
        <v>35</v>
      </c>
      <c r="C109" s="312"/>
      <c r="D109" s="313" t="str">
        <f>SUM(D81:D108)</f>
        <v>0</v>
      </c>
      <c r="E109" s="413"/>
      <c r="F109" s="414"/>
      <c r="G109" s="415"/>
      <c r="H109" s="416" t="str">
        <f>+SUM(H81:H108)</f>
        <v>0</v>
      </c>
      <c r="I109" s="417"/>
    </row>
    <row r="110" spans="1:1024" customHeight="1" ht="21">
      <c r="B110" s="31"/>
      <c r="C110" s="32"/>
      <c r="D110" s="33"/>
      <c r="E110" s="34"/>
    </row>
    <row r="111" spans="1:1024" customHeight="1" ht="21">
      <c r="B111" s="35"/>
      <c r="C111" s="333"/>
      <c r="D111" s="334" t="str">
        <f>+SUM(D109+D80+D37)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8"/>
    <mergeCell ref="K8:L8"/>
    <mergeCell ref="K10:L10"/>
    <mergeCell ref="K12:L12"/>
    <mergeCell ref="K15:M15"/>
    <mergeCell ref="A38:A80"/>
    <mergeCell ref="A81:A107"/>
  </mergeCells>
  <conditionalFormatting sqref="D81">
    <cfRule type="expression" dxfId="0" priority="1">
      <formula>MOD(ROW(),2)=1</formula>
    </cfRule>
  </conditionalFormatting>
  <conditionalFormatting sqref="C82:E82">
    <cfRule type="expression" dxfId="0" priority="2">
      <formula>MOD(ROW(),2)=1</formula>
    </cfRule>
  </conditionalFormatting>
  <conditionalFormatting sqref="C86:D87">
    <cfRule type="expression" dxfId="0" priority="3">
      <formula>MOD(ROW(),2)=1</formula>
    </cfRule>
  </conditionalFormatting>
  <conditionalFormatting sqref="C18:E18">
    <cfRule type="expression" dxfId="0" priority="4">
      <formula>MOD(ROW(),2)=1</formula>
    </cfRule>
  </conditionalFormatting>
  <conditionalFormatting sqref="D28:G34">
    <cfRule type="expression" dxfId="0" priority="5">
      <formula>MOD(ROW(),2)=1</formula>
    </cfRule>
  </conditionalFormatting>
  <conditionalFormatting sqref="B2:I2">
    <cfRule type="expression" dxfId="0" priority="6">
      <formula>MOD(ROW(),2)=1</formula>
    </cfRule>
  </conditionalFormatting>
  <conditionalFormatting sqref="B85:D85">
    <cfRule type="expression" dxfId="0" priority="7">
      <formula>MOD(ROW(),2)=1</formula>
    </cfRule>
  </conditionalFormatting>
  <conditionalFormatting sqref="B88:D88">
    <cfRule type="expression" dxfId="0" priority="8">
      <formula>MOD(ROW(),2)=1</formula>
    </cfRule>
  </conditionalFormatting>
  <conditionalFormatting sqref="B51:G52">
    <cfRule type="expression" dxfId="0" priority="9">
      <formula>MOD(ROW(),2)=1</formula>
    </cfRule>
  </conditionalFormatting>
  <conditionalFormatting sqref="B83:G84">
    <cfRule type="expression" dxfId="0" priority="10">
      <formula>MOD(ROW(),2)=1</formula>
    </cfRule>
  </conditionalFormatting>
  <conditionalFormatting sqref="H38:H55">
    <cfRule type="expression" dxfId="0" priority="11">
      <formula>MOD(ROW(),2)=1</formula>
    </cfRule>
  </conditionalFormatting>
  <conditionalFormatting sqref="B67:G67">
    <cfRule type="expression" dxfId="0" priority="12">
      <formula>MOD(ROW(),2)=1</formula>
    </cfRule>
  </conditionalFormatting>
  <conditionalFormatting sqref="B73:G76">
    <cfRule type="expression" dxfId="0" priority="13">
      <formula>MOD(ROW(),2)=1</formula>
    </cfRule>
  </conditionalFormatting>
  <conditionalFormatting sqref="B77:C77">
    <cfRule type="expression" dxfId="0" priority="14">
      <formula>MOD(ROW(),2)=1</formula>
    </cfRule>
  </conditionalFormatting>
  <conditionalFormatting sqref="B80:G80">
    <cfRule type="expression" dxfId="0" priority="15">
      <formula>MOD(ROW(),2)=1</formula>
    </cfRule>
  </conditionalFormatting>
  <conditionalFormatting sqref="D77:H78">
    <cfRule type="expression" dxfId="0" priority="16">
      <formula>MOD(ROW(),2)=1</formula>
    </cfRule>
  </conditionalFormatting>
  <conditionalFormatting sqref="I73:I78">
    <cfRule type="expression" dxfId="0" priority="17">
      <formula>MOD(ROW(),2)=1</formula>
    </cfRule>
  </conditionalFormatting>
  <conditionalFormatting sqref="C75:C78">
    <cfRule type="expression" dxfId="0" priority="18">
      <formula>MOD(ROW(),2)=1</formula>
    </cfRule>
  </conditionalFormatting>
  <conditionalFormatting sqref="B78">
    <cfRule type="expression" dxfId="0" priority="19">
      <formula>MOD(ROW(),2)=1</formula>
    </cfRule>
  </conditionalFormatting>
  <conditionalFormatting sqref="B79:I79">
    <cfRule type="expression" dxfId="0" priority="20">
      <formula>MOD(ROW(),2)=1</formula>
    </cfRule>
  </conditionalFormatting>
  <conditionalFormatting sqref="I3:I10">
    <cfRule type="expression" dxfId="0" priority="21">
      <formula>MOD(ROW(),2)=1</formula>
    </cfRule>
  </conditionalFormatting>
  <conditionalFormatting sqref="B3:H11">
    <cfRule type="expression" dxfId="0" priority="22">
      <formula>MOD(ROW(),2)=1</formula>
    </cfRule>
  </conditionalFormatting>
  <conditionalFormatting sqref="B19:G20">
    <cfRule type="expression" dxfId="0" priority="23">
      <formula>MOD(ROW(),2)=1</formula>
    </cfRule>
  </conditionalFormatting>
  <conditionalFormatting sqref="I12:I21">
    <cfRule type="expression" dxfId="0" priority="24">
      <formula>MOD(ROW(),2)=1</formula>
    </cfRule>
  </conditionalFormatting>
  <conditionalFormatting sqref="H12:H36">
    <cfRule type="expression" dxfId="0" priority="25">
      <formula>MOD(ROW(),2)=1</formula>
    </cfRule>
  </conditionalFormatting>
  <conditionalFormatting sqref="F12:F19">
    <cfRule type="expression" dxfId="0" priority="26">
      <formula>MOD(ROW(),2)=1</formula>
    </cfRule>
  </conditionalFormatting>
  <conditionalFormatting sqref="B12:E17">
    <cfRule type="expression" dxfId="0" priority="27">
      <formula>MOD(ROW(),2)=1</formula>
    </cfRule>
  </conditionalFormatting>
  <conditionalFormatting sqref="G12:G18">
    <cfRule type="expression" dxfId="0" priority="28">
      <formula>MOD(ROW(),2)=1</formula>
    </cfRule>
  </conditionalFormatting>
  <conditionalFormatting sqref="H57:H76">
    <cfRule type="expression" dxfId="0" priority="29">
      <formula>MOD(ROW(),2)=1</formula>
    </cfRule>
  </conditionalFormatting>
  <conditionalFormatting sqref="B70:G70">
    <cfRule type="expression" dxfId="0" priority="30">
      <formula>MOD(ROW(),2)=1</formula>
    </cfRule>
  </conditionalFormatting>
  <conditionalFormatting sqref="B94:I98">
    <cfRule type="expression" dxfId="0" priority="31">
      <formula>MOD(ROW(),2)=1</formula>
    </cfRule>
  </conditionalFormatting>
  <conditionalFormatting sqref="H100:H108">
    <cfRule type="expression" dxfId="0" priority="32">
      <formula>MOD(ROW(),2)=1</formula>
    </cfRule>
  </conditionalFormatting>
  <conditionalFormatting sqref="I100:I109">
    <cfRule type="expression" dxfId="0" priority="33">
      <formula>MOD(ROW(),2)=1</formula>
    </cfRule>
  </conditionalFormatting>
  <conditionalFormatting sqref="B100:G109">
    <cfRule type="expression" dxfId="0" priority="34">
      <formula>MOD(ROW(),2)=1</formula>
    </cfRule>
  </conditionalFormatting>
  <conditionalFormatting sqref="F84:F85">
    <cfRule type="expression" dxfId="0" priority="35">
      <formula>MOD(ROW(),2)=1</formula>
    </cfRule>
  </conditionalFormatting>
  <conditionalFormatting sqref="F85:G88">
    <cfRule type="expression" dxfId="0" priority="36">
      <formula>MOD(ROW(),2)=1</formula>
    </cfRule>
  </conditionalFormatting>
  <conditionalFormatting sqref="I82:I88">
    <cfRule type="expression" dxfId="0" priority="37">
      <formula>MOD(ROW(),2)=1</formula>
    </cfRule>
  </conditionalFormatting>
  <conditionalFormatting sqref="H81:H88">
    <cfRule type="expression" dxfId="0" priority="38">
      <formula>MOD(ROW(),2)=1</formula>
    </cfRule>
  </conditionalFormatting>
  <conditionalFormatting sqref="E85:E86">
    <cfRule type="expression" dxfId="0" priority="39">
      <formula>MOD(ROW(),2)=1</formula>
    </cfRule>
  </conditionalFormatting>
  <conditionalFormatting sqref="B89:I91">
    <cfRule type="expression" dxfId="0" priority="40">
      <formula>MOD(ROW(),2)=1</formula>
    </cfRule>
  </conditionalFormatting>
  <conditionalFormatting sqref="F2:G11">
    <cfRule type="timePeriod" dxfId="1" priority="41" timePeriod="yesterday">
      <formula/>
    </cfRule>
    <cfRule type="timePeriod" dxfId="1" priority="42" timePeriod="today">
      <formula/>
    </cfRule>
    <cfRule type="cellIs" dxfId="2" priority="43" operator="lessThan">
      <formula>_xludf.today()</formula>
    </cfRule>
  </conditionalFormatting>
  <conditionalFormatting sqref="F28:G34">
    <cfRule type="cellIs" dxfId="3" priority="44" operator="lessThan">
      <formula>TODAY()</formula>
    </cfRule>
    <cfRule type="timePeriod" dxfId="1" priority="45" timePeriod="last7Days">
      <formula/>
    </cfRule>
    <cfRule type="timePeriod" dxfId="1" priority="46" timePeriod="yesterday">
      <formula/>
    </cfRule>
    <cfRule type="timePeriod" dxfId="1" priority="47" timePeriod="lastMonth">
      <formula/>
    </cfRule>
    <cfRule type="timePeriod" dxfId="1" priority="48" timePeriod="yesterday">
      <formula/>
    </cfRule>
    <cfRule type="timePeriod" dxfId="1" priority="49" timePeriod="today">
      <formula/>
    </cfRule>
  </conditionalFormatting>
  <conditionalFormatting sqref="F51:G52">
    <cfRule type="cellIs" dxfId="3" priority="50" operator="lessThan">
      <formula>TODAY()</formula>
    </cfRule>
    <cfRule type="timePeriod" dxfId="1" priority="51" timePeriod="last7Days">
      <formula/>
    </cfRule>
    <cfRule type="timePeriod" dxfId="1" priority="52" timePeriod="yesterday">
      <formula/>
    </cfRule>
    <cfRule type="timePeriod" dxfId="1" priority="53" timePeriod="lastMonth">
      <formula/>
    </cfRule>
    <cfRule type="timePeriod" dxfId="1" priority="54" timePeriod="yesterday">
      <formula/>
    </cfRule>
    <cfRule type="timePeriod" dxfId="1" priority="55" timePeriod="today">
      <formula/>
    </cfRule>
  </conditionalFormatting>
  <conditionalFormatting sqref="F67:G67">
    <cfRule type="cellIs" dxfId="3" priority="56" operator="lessThan">
      <formula>TODAY()</formula>
    </cfRule>
    <cfRule type="timePeriod" dxfId="1" priority="57" timePeriod="last7Days">
      <formula/>
    </cfRule>
    <cfRule type="timePeriod" dxfId="1" priority="58" timePeriod="yesterday">
      <formula/>
    </cfRule>
    <cfRule type="timePeriod" dxfId="1" priority="59" timePeriod="lastMonth">
      <formula/>
    </cfRule>
    <cfRule type="timePeriod" dxfId="1" priority="60" timePeriod="yesterday">
      <formula/>
    </cfRule>
    <cfRule type="timePeriod" dxfId="1" priority="61" timePeriod="today">
      <formula/>
    </cfRule>
  </conditionalFormatting>
  <conditionalFormatting sqref="F2:G21">
    <cfRule type="cellIs" dxfId="3" priority="62" operator="lessThan">
      <formula>TODAY()</formula>
    </cfRule>
    <cfRule type="timePeriod" dxfId="1" priority="63" timePeriod="last7Days">
      <formula/>
    </cfRule>
    <cfRule type="timePeriod" dxfId="1" priority="64" timePeriod="yesterday">
      <formula/>
    </cfRule>
    <cfRule type="timePeriod" dxfId="1" priority="65" timePeriod="lastMonth">
      <formula/>
    </cfRule>
    <cfRule type="timePeriod" dxfId="1" priority="66" timePeriod="yesterday">
      <formula/>
    </cfRule>
    <cfRule type="timePeriod" dxfId="1" priority="67" timePeriod="today">
      <formula/>
    </cfRule>
  </conditionalFormatting>
  <conditionalFormatting sqref="F70:G70">
    <cfRule type="cellIs" dxfId="3" priority="68" operator="lessThan">
      <formula>TODAY()</formula>
    </cfRule>
    <cfRule type="timePeriod" dxfId="1" priority="69" timePeriod="last7Days">
      <formula/>
    </cfRule>
    <cfRule type="timePeriod" dxfId="1" priority="70" timePeriod="yesterday">
      <formula/>
    </cfRule>
    <cfRule type="timePeriod" dxfId="1" priority="71" timePeriod="lastMonth">
      <formula/>
    </cfRule>
    <cfRule type="timePeriod" dxfId="1" priority="72" timePeriod="yesterday">
      <formula/>
    </cfRule>
    <cfRule type="timePeriod" dxfId="1" priority="73" timePeriod="today">
      <formula/>
    </cfRule>
  </conditionalFormatting>
  <conditionalFormatting sqref="F73:G80">
    <cfRule type="cellIs" dxfId="3" priority="74" operator="lessThan">
      <formula>TODAY()</formula>
    </cfRule>
    <cfRule type="timePeriod" dxfId="1" priority="75" timePeriod="last7Days">
      <formula/>
    </cfRule>
    <cfRule type="timePeriod" dxfId="1" priority="76" timePeriod="yesterday">
      <formula/>
    </cfRule>
    <cfRule type="timePeriod" dxfId="1" priority="77" timePeriod="lastMonth">
      <formula/>
    </cfRule>
    <cfRule type="timePeriod" dxfId="1" priority="78" timePeriod="yesterday">
      <formula/>
    </cfRule>
    <cfRule type="timePeriod" dxfId="1" priority="79" timePeriod="today">
      <formula/>
    </cfRule>
  </conditionalFormatting>
  <conditionalFormatting sqref="F94:G98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F100:G109"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F83:G91">
    <cfRule type="cellIs" dxfId="3" priority="92" operator="lessThan">
      <formula>TODAY()</formula>
    </cfRule>
    <cfRule type="timePeriod" dxfId="1" priority="93" timePeriod="last7Days">
      <formula/>
    </cfRule>
    <cfRule type="timePeriod" dxfId="1" priority="94" timePeriod="yesterday">
      <formula/>
    </cfRule>
    <cfRule type="timePeriod" dxfId="1" priority="95" timePeriod="lastMonth">
      <formula/>
    </cfRule>
    <cfRule type="timePeriod" dxfId="1" priority="96" timePeriod="yesterday">
      <formula/>
    </cfRule>
    <cfRule type="timePeriod" dxfId="1" priority="97" timePeriod="today">
      <formula/>
    </cfRule>
  </conditionalFormatting>
  <conditionalFormatting sqref="B81:E81">
    <cfRule type="expression" dxfId="0" priority="98">
      <formula>MOD(ROW(),2)=1</formula>
    </cfRule>
  </conditionalFormatting>
  <conditionalFormatting sqref="B82">
    <cfRule type="expression" dxfId="0" priority="99">
      <formula>MOD(ROW(),2)=1</formula>
    </cfRule>
  </conditionalFormatting>
  <conditionalFormatting sqref="I81">
    <cfRule type="expression" dxfId="0" priority="100">
      <formula>MOD(ROW(),2)=1</formula>
    </cfRule>
  </conditionalFormatting>
  <conditionalFormatting sqref="F12:G12">
    <cfRule type="timePeriod" dxfId="1" priority="101" timePeriod="yesterday">
      <formula/>
    </cfRule>
    <cfRule type="timePeriod" dxfId="1" priority="102" timePeriod="today">
      <formula/>
    </cfRule>
    <cfRule type="cellIs" dxfId="2" priority="103" operator="lessThan">
      <formula>_xludf.today()</formula>
    </cfRule>
  </conditionalFormatting>
  <conditionalFormatting sqref="B21:C21">
    <cfRule type="expression" dxfId="0" priority="104">
      <formula>MOD(ROW(),2)=1</formula>
    </cfRule>
  </conditionalFormatting>
  <conditionalFormatting sqref="F21:G21">
    <cfRule type="expression" dxfId="0" priority="105">
      <formula>MOD(ROW(),2)=1</formula>
    </cfRule>
  </conditionalFormatting>
  <conditionalFormatting sqref="B22:G27">
    <cfRule type="expression" dxfId="0" priority="106">
      <formula>MOD(ROW(),2)=1</formula>
    </cfRule>
  </conditionalFormatting>
  <conditionalFormatting sqref="B28:C36">
    <cfRule type="expression" dxfId="0" priority="107">
      <formula>MOD(ROW(),2)=1</formula>
    </cfRule>
  </conditionalFormatting>
  <conditionalFormatting sqref="F22:G27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B86:B87">
    <cfRule type="expression" dxfId="0" priority="114">
      <formula>MOD(ROW(),2)=1</formula>
    </cfRule>
  </conditionalFormatting>
  <conditionalFormatting sqref="E87">
    <cfRule type="expression" dxfId="0" priority="115">
      <formula>MOD(ROW(),2)=1</formula>
    </cfRule>
  </conditionalFormatting>
  <conditionalFormatting sqref="F81:G82">
    <cfRule type="expression" dxfId="0" priority="116">
      <formula>MOD(ROW(),2)=1</formula>
    </cfRule>
    <cfRule type="cellIs" dxfId="3" priority="117" operator="lessThan">
      <formula>TODAY()</formula>
    </cfRule>
    <cfRule type="timePeriod" dxfId="1" priority="118" timePeriod="last7Days">
      <formula/>
    </cfRule>
    <cfRule type="timePeriod" dxfId="1" priority="119" timePeriod="yesterday">
      <formula/>
    </cfRule>
    <cfRule type="timePeriod" dxfId="1" priority="120" timePeriod="lastMonth">
      <formula/>
    </cfRule>
    <cfRule type="timePeriod" dxfId="1" priority="121" timePeriod="yesterday">
      <formula/>
    </cfRule>
    <cfRule type="timePeriod" dxfId="1" priority="122" timePeriod="today">
      <formula/>
    </cfRule>
  </conditionalFormatting>
  <conditionalFormatting sqref="F12:F13">
    <cfRule type="timePeriod" dxfId="1" priority="123" timePeriod="yesterday">
      <formula/>
    </cfRule>
    <cfRule type="timePeriod" dxfId="1" priority="124" timePeriod="today">
      <formula/>
    </cfRule>
    <cfRule type="cellIs" dxfId="2" priority="125" operator="lessThan">
      <formula>_xludf.today()</formula>
    </cfRule>
  </conditionalFormatting>
  <conditionalFormatting sqref="F14">
    <cfRule type="timePeriod" dxfId="1" priority="126" timePeriod="yesterday">
      <formula/>
    </cfRule>
    <cfRule type="timePeriod" dxfId="1" priority="127" timePeriod="today">
      <formula/>
    </cfRule>
    <cfRule type="cellIs" dxfId="2" priority="128" operator="lessThan">
      <formula>_xludf.today()</formula>
    </cfRule>
  </conditionalFormatting>
  <conditionalFormatting sqref="F17"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18">
    <cfRule type="expression" dxfId="0" priority="132">
      <formula>MOD(ROW(),2)=1</formula>
    </cfRule>
    <cfRule type="expression" dxfId="0" priority="133">
      <formula>MOD(ROW(),2)=1</formula>
    </cfRule>
  </conditionalFormatting>
  <conditionalFormatting sqref="B19">
    <cfRule type="expression" dxfId="0" priority="134">
      <formula>MOD(ROW(),2)=1</formula>
    </cfRule>
  </conditionalFormatting>
  <conditionalFormatting sqref="I80">
    <cfRule type="expression" dxfId="0" priority="135">
      <formula>MOD(ROW(),2)=1</formula>
    </cfRule>
    <cfRule type="expression" dxfId="0" priority="136">
      <formula>MOD(ROW(),2)=1</formula>
    </cfRule>
  </conditionalFormatting>
  <conditionalFormatting sqref="H80">
    <cfRule type="expression" dxfId="0" priority="137">
      <formula>MOD(ROW(),2)=1</formula>
    </cfRule>
  </conditionalFormatting>
  <conditionalFormatting sqref="H109">
    <cfRule type="expression" dxfId="0" priority="138">
      <formula>MOD(ROW(),2)=1</formula>
    </cfRule>
  </conditionalFormatting>
  <conditionalFormatting sqref="I22:I26">
    <cfRule type="expression" dxfId="0" priority="139">
      <formula>MOD(ROW(),2)=1</formula>
    </cfRule>
  </conditionalFormatting>
  <conditionalFormatting sqref="I27">
    <cfRule type="expression" dxfId="0" priority="140">
      <formula>MOD(ROW(),2)=1</formula>
    </cfRule>
  </conditionalFormatting>
  <conditionalFormatting sqref="I11">
    <cfRule type="expression" dxfId="0" priority="141">
      <formula>MOD(ROW(),2)=1</formula>
    </cfRule>
  </conditionalFormatting>
  <conditionalFormatting sqref="I28:I34">
    <cfRule type="expression" dxfId="0" priority="142">
      <formula>MOD(ROW(),2)=1</formula>
    </cfRule>
  </conditionalFormatting>
  <conditionalFormatting sqref="D35:G36">
    <cfRule type="expression" dxfId="0" priority="143">
      <formula>MOD(ROW(),2)=1</formula>
    </cfRule>
  </conditionalFormatting>
  <conditionalFormatting sqref="F35:G36">
    <cfRule type="cellIs" dxfId="3" priority="144" operator="lessThan">
      <formula>TODAY()</formula>
    </cfRule>
    <cfRule type="timePeriod" dxfId="1" priority="145" timePeriod="last7Days">
      <formula/>
    </cfRule>
    <cfRule type="timePeriod" dxfId="1" priority="146" timePeriod="yesterday">
      <formula/>
    </cfRule>
    <cfRule type="timePeriod" dxfId="1" priority="147" timePeriod="lastMonth">
      <formula/>
    </cfRule>
    <cfRule type="timePeriod" dxfId="1" priority="148" timePeriod="yesterday">
      <formula/>
    </cfRule>
    <cfRule type="timePeriod" dxfId="1" priority="149" timePeriod="today">
      <formula/>
    </cfRule>
  </conditionalFormatting>
  <conditionalFormatting sqref="I35">
    <cfRule type="expression" dxfId="0" priority="150">
      <formula>MOD(ROW(),2)=1</formula>
    </cfRule>
  </conditionalFormatting>
  <conditionalFormatting sqref="I36">
    <cfRule type="expression" dxfId="0" priority="151">
      <formula>MOD(ROW(),2)=1</formula>
    </cfRule>
  </conditionalFormatting>
  <conditionalFormatting sqref="D38:G38">
    <cfRule type="expression" dxfId="0" priority="152">
      <formula>MOD(ROW(),2)=1</formula>
    </cfRule>
  </conditionalFormatting>
  <conditionalFormatting sqref="D41:G42">
    <cfRule type="expression" dxfId="0" priority="153">
      <formula>MOD(ROW(),2)=1</formula>
    </cfRule>
  </conditionalFormatting>
  <conditionalFormatting sqref="D45:G46">
    <cfRule type="expression" dxfId="0" priority="154">
      <formula>MOD(ROW(),2)=1</formula>
    </cfRule>
  </conditionalFormatting>
  <conditionalFormatting sqref="D49:G50">
    <cfRule type="expression" dxfId="0" priority="155">
      <formula>MOD(ROW(),2)=1</formula>
    </cfRule>
  </conditionalFormatting>
  <conditionalFormatting sqref="D53:G54">
    <cfRule type="expression" dxfId="0" priority="156">
      <formula>MOD(ROW(),2)=1</formula>
    </cfRule>
  </conditionalFormatting>
  <conditionalFormatting sqref="D57:G58">
    <cfRule type="expression" dxfId="0" priority="157">
      <formula>MOD(ROW(),2)=1</formula>
    </cfRule>
  </conditionalFormatting>
  <conditionalFormatting sqref="D61:G62">
    <cfRule type="expression" dxfId="0" priority="158">
      <formula>MOD(ROW(),2)=1</formula>
    </cfRule>
  </conditionalFormatting>
  <conditionalFormatting sqref="D65:G66">
    <cfRule type="expression" dxfId="0" priority="159">
      <formula>MOD(ROW(),2)=1</formula>
    </cfRule>
  </conditionalFormatting>
  <conditionalFormatting sqref="D68:G69">
    <cfRule type="expression" dxfId="0" priority="160">
      <formula>MOD(ROW(),2)=1</formula>
    </cfRule>
  </conditionalFormatting>
  <conditionalFormatting sqref="D71:G71">
    <cfRule type="expression" dxfId="0" priority="161">
      <formula>MOD(ROW(),2)=1</formula>
    </cfRule>
  </conditionalFormatting>
  <conditionalFormatting sqref="D72:E72">
    <cfRule type="expression" dxfId="0" priority="162">
      <formula>MOD(ROW(),2)=1</formula>
    </cfRule>
  </conditionalFormatting>
  <conditionalFormatting sqref="G72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F38:G38">
    <cfRule type="cellIs" dxfId="3" priority="169" operator="lessThan">
      <formula>TODAY()</formula>
    </cfRule>
    <cfRule type="timePeriod" dxfId="1" priority="170" timePeriod="last7Days">
      <formula/>
    </cfRule>
    <cfRule type="timePeriod" dxfId="1" priority="171" timePeriod="yesterday">
      <formula/>
    </cfRule>
    <cfRule type="timePeriod" dxfId="1" priority="172" timePeriod="lastMonth">
      <formula/>
    </cfRule>
    <cfRule type="timePeriod" dxfId="1" priority="173" timePeriod="yesterday">
      <formula/>
    </cfRule>
    <cfRule type="timePeriod" dxfId="1" priority="174" timePeriod="today">
      <formula/>
    </cfRule>
  </conditionalFormatting>
  <conditionalFormatting sqref="F41:G42"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F45:G46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F49:G50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53:G54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F57:G58">
    <cfRule type="cellIs" dxfId="3" priority="199" operator="lessThan">
      <formula>TODAY()</formula>
    </cfRule>
    <cfRule type="timePeriod" dxfId="1" priority="200" timePeriod="last7Days">
      <formula/>
    </cfRule>
    <cfRule type="timePeriod" dxfId="1" priority="201" timePeriod="yesterday">
      <formula/>
    </cfRule>
    <cfRule type="timePeriod" dxfId="1" priority="202" timePeriod="lastMonth">
      <formula/>
    </cfRule>
    <cfRule type="timePeriod" dxfId="1" priority="203" timePeriod="yesterday">
      <formula/>
    </cfRule>
    <cfRule type="timePeriod" dxfId="1" priority="204" timePeriod="today">
      <formula/>
    </cfRule>
  </conditionalFormatting>
  <conditionalFormatting sqref="F61:G62">
    <cfRule type="cellIs" dxfId="3" priority="205" operator="lessThan">
      <formula>TODAY()</formula>
    </cfRule>
    <cfRule type="timePeriod" dxfId="1" priority="206" timePeriod="last7Days">
      <formula/>
    </cfRule>
    <cfRule type="timePeriod" dxfId="1" priority="207" timePeriod="yesterday">
      <formula/>
    </cfRule>
    <cfRule type="timePeriod" dxfId="1" priority="208" timePeriod="lastMonth">
      <formula/>
    </cfRule>
    <cfRule type="timePeriod" dxfId="1" priority="209" timePeriod="yesterday">
      <formula/>
    </cfRule>
    <cfRule type="timePeriod" dxfId="1" priority="210" timePeriod="today">
      <formula/>
    </cfRule>
  </conditionalFormatting>
  <conditionalFormatting sqref="F65:G66">
    <cfRule type="cellIs" dxfId="3" priority="211" operator="lessThan">
      <formula>TODAY()</formula>
    </cfRule>
    <cfRule type="timePeriod" dxfId="1" priority="212" timePeriod="last7Days">
      <formula/>
    </cfRule>
    <cfRule type="timePeriod" dxfId="1" priority="213" timePeriod="yesterday">
      <formula/>
    </cfRule>
    <cfRule type="timePeriod" dxfId="1" priority="214" timePeriod="lastMonth">
      <formula/>
    </cfRule>
    <cfRule type="timePeriod" dxfId="1" priority="215" timePeriod="yesterday">
      <formula/>
    </cfRule>
    <cfRule type="timePeriod" dxfId="1" priority="216" timePeriod="today">
      <formula/>
    </cfRule>
  </conditionalFormatting>
  <conditionalFormatting sqref="F68:G69">
    <cfRule type="cellIs" dxfId="3" priority="217" operator="lessThan">
      <formula>TODAY()</formula>
    </cfRule>
    <cfRule type="timePeriod" dxfId="1" priority="218" timePeriod="last7Days">
      <formula/>
    </cfRule>
    <cfRule type="timePeriod" dxfId="1" priority="219" timePeriod="yesterday">
      <formula/>
    </cfRule>
    <cfRule type="timePeriod" dxfId="1" priority="220" timePeriod="lastMonth">
      <formula/>
    </cfRule>
    <cfRule type="timePeriod" dxfId="1" priority="221" timePeriod="yesterday">
      <formula/>
    </cfRule>
    <cfRule type="timePeriod" dxfId="1" priority="222" timePeriod="today">
      <formula/>
    </cfRule>
  </conditionalFormatting>
  <conditionalFormatting sqref="F71:G71">
    <cfRule type="cellIs" dxfId="3" priority="223" operator="lessThan">
      <formula>TODAY()</formula>
    </cfRule>
    <cfRule type="timePeriod" dxfId="1" priority="224" timePeriod="last7Days">
      <formula/>
    </cfRule>
    <cfRule type="timePeriod" dxfId="1" priority="225" timePeriod="yesterday">
      <formula/>
    </cfRule>
    <cfRule type="timePeriod" dxfId="1" priority="226" timePeriod="lastMonth">
      <formula/>
    </cfRule>
    <cfRule type="timePeriod" dxfId="1" priority="227" timePeriod="yesterday">
      <formula/>
    </cfRule>
    <cfRule type="timePeriod" dxfId="1" priority="228" timePeriod="today">
      <formula/>
    </cfRule>
  </conditionalFormatting>
  <conditionalFormatting sqref="B39:G40">
    <cfRule type="expression" dxfId="0" priority="229">
      <formula>MOD(ROW(),2)=1</formula>
    </cfRule>
  </conditionalFormatting>
  <conditionalFormatting sqref="B43:G44">
    <cfRule type="expression" dxfId="0" priority="230">
      <formula>MOD(ROW(),2)=1</formula>
    </cfRule>
  </conditionalFormatting>
  <conditionalFormatting sqref="B47:G48">
    <cfRule type="expression" dxfId="0" priority="231">
      <formula>MOD(ROW(),2)=1</formula>
    </cfRule>
  </conditionalFormatting>
  <conditionalFormatting sqref="B55:G55">
    <cfRule type="expression" dxfId="0" priority="232">
      <formula>MOD(ROW(),2)=1</formula>
    </cfRule>
  </conditionalFormatting>
  <conditionalFormatting sqref="B59:G60">
    <cfRule type="expression" dxfId="0" priority="233">
      <formula>MOD(ROW(),2)=1</formula>
    </cfRule>
  </conditionalFormatting>
  <conditionalFormatting sqref="B63:G64">
    <cfRule type="expression" dxfId="0" priority="234">
      <formula>MOD(ROW(),2)=1</formula>
    </cfRule>
  </conditionalFormatting>
  <conditionalFormatting sqref="B38:C38">
    <cfRule type="expression" dxfId="0" priority="235">
      <formula>MOD(ROW(),2)=1</formula>
    </cfRule>
  </conditionalFormatting>
  <conditionalFormatting sqref="B41:C42">
    <cfRule type="expression" dxfId="0" priority="236">
      <formula>MOD(ROW(),2)=1</formula>
    </cfRule>
  </conditionalFormatting>
  <conditionalFormatting sqref="B45:C46">
    <cfRule type="expression" dxfId="0" priority="237">
      <formula>MOD(ROW(),2)=1</formula>
    </cfRule>
  </conditionalFormatting>
  <conditionalFormatting sqref="B49:C50">
    <cfRule type="expression" dxfId="0" priority="238">
      <formula>MOD(ROW(),2)=1</formula>
    </cfRule>
  </conditionalFormatting>
  <conditionalFormatting sqref="B53:C54">
    <cfRule type="expression" dxfId="0" priority="239">
      <formula>MOD(ROW(),2)=1</formula>
    </cfRule>
  </conditionalFormatting>
  <conditionalFormatting sqref="B57:C58">
    <cfRule type="expression" dxfId="0" priority="240">
      <formula>MOD(ROW(),2)=1</formula>
    </cfRule>
  </conditionalFormatting>
  <conditionalFormatting sqref="B65:C66">
    <cfRule type="expression" dxfId="0" priority="241">
      <formula>MOD(ROW(),2)=1</formula>
    </cfRule>
  </conditionalFormatting>
  <conditionalFormatting sqref="B68:C69">
    <cfRule type="expression" dxfId="0" priority="242">
      <formula>MOD(ROW(),2)=1</formula>
    </cfRule>
  </conditionalFormatting>
  <conditionalFormatting sqref="B71:C72">
    <cfRule type="expression" dxfId="0" priority="243">
      <formula>MOD(ROW(),2)=1</formula>
    </cfRule>
  </conditionalFormatting>
  <conditionalFormatting sqref="B61:C62">
    <cfRule type="expression" dxfId="0" priority="244">
      <formula>MOD(ROW(),2)=1</formula>
    </cfRule>
  </conditionalFormatting>
  <conditionalFormatting sqref="F39:G40"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43:G44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47:G48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F55:G55">
    <cfRule type="cellIs" dxfId="3" priority="263" operator="lessThan">
      <formula>TODAY()</formula>
    </cfRule>
    <cfRule type="timePeriod" dxfId="1" priority="264" timePeriod="last7Days">
      <formula/>
    </cfRule>
    <cfRule type="timePeriod" dxfId="1" priority="265" timePeriod="yesterday">
      <formula/>
    </cfRule>
    <cfRule type="timePeriod" dxfId="1" priority="266" timePeriod="lastMonth">
      <formula/>
    </cfRule>
    <cfRule type="timePeriod" dxfId="1" priority="267" timePeriod="yesterday">
      <formula/>
    </cfRule>
    <cfRule type="timePeriod" dxfId="1" priority="268" timePeriod="today">
      <formula/>
    </cfRule>
  </conditionalFormatting>
  <conditionalFormatting sqref="F59:G60">
    <cfRule type="cellIs" dxfId="3" priority="269" operator="lessThan">
      <formula>TODAY()</formula>
    </cfRule>
    <cfRule type="timePeriod" dxfId="1" priority="270" timePeriod="last7Days">
      <formula/>
    </cfRule>
    <cfRule type="timePeriod" dxfId="1" priority="271" timePeriod="yesterday">
      <formula/>
    </cfRule>
    <cfRule type="timePeriod" dxfId="1" priority="272" timePeriod="lastMonth">
      <formula/>
    </cfRule>
    <cfRule type="timePeriod" dxfId="1" priority="273" timePeriod="yesterday">
      <formula/>
    </cfRule>
    <cfRule type="timePeriod" dxfId="1" priority="274" timePeriod="today">
      <formula/>
    </cfRule>
  </conditionalFormatting>
  <conditionalFormatting sqref="F63:G64">
    <cfRule type="cellIs" dxfId="3" priority="275" operator="lessThan">
      <formula>TODAY()</formula>
    </cfRule>
    <cfRule type="timePeriod" dxfId="1" priority="276" timePeriod="last7Days">
      <formula/>
    </cfRule>
    <cfRule type="timePeriod" dxfId="1" priority="277" timePeriod="yesterday">
      <formula/>
    </cfRule>
    <cfRule type="timePeriod" dxfId="1" priority="278" timePeriod="lastMonth">
      <formula/>
    </cfRule>
    <cfRule type="timePeriod" dxfId="1" priority="279" timePeriod="yesterday">
      <formula/>
    </cfRule>
    <cfRule type="timePeriod" dxfId="1" priority="280" timePeriod="today">
      <formula/>
    </cfRule>
  </conditionalFormatting>
  <conditionalFormatting sqref="I39">
    <cfRule type="expression" dxfId="0" priority="281">
      <formula>MOD(ROW(),2)=1</formula>
    </cfRule>
  </conditionalFormatting>
  <conditionalFormatting sqref="I43">
    <cfRule type="expression" dxfId="0" priority="282">
      <formula>MOD(ROW(),2)=1</formula>
    </cfRule>
  </conditionalFormatting>
  <conditionalFormatting sqref="I47">
    <cfRule type="expression" dxfId="0" priority="283">
      <formula>MOD(ROW(),2)=1</formula>
    </cfRule>
  </conditionalFormatting>
  <conditionalFormatting sqref="I51">
    <cfRule type="expression" dxfId="0" priority="284">
      <formula>MOD(ROW(),2)=1</formula>
    </cfRule>
  </conditionalFormatting>
  <conditionalFormatting sqref="I55">
    <cfRule type="expression" dxfId="0" priority="285">
      <formula>MOD(ROW(),2)=1</formula>
    </cfRule>
  </conditionalFormatting>
  <conditionalFormatting sqref="I59">
    <cfRule type="expression" dxfId="0" priority="286">
      <formula>MOD(ROW(),2)=1</formula>
    </cfRule>
  </conditionalFormatting>
  <conditionalFormatting sqref="I63">
    <cfRule type="expression" dxfId="0" priority="287">
      <formula>MOD(ROW(),2)=1</formula>
    </cfRule>
  </conditionalFormatting>
  <conditionalFormatting sqref="I40">
    <cfRule type="expression" dxfId="0" priority="288">
      <formula>MOD(ROW(),2)=1</formula>
    </cfRule>
  </conditionalFormatting>
  <conditionalFormatting sqref="I44">
    <cfRule type="expression" dxfId="0" priority="289">
      <formula>MOD(ROW(),2)=1</formula>
    </cfRule>
  </conditionalFormatting>
  <conditionalFormatting sqref="I48">
    <cfRule type="expression" dxfId="0" priority="290">
      <formula>MOD(ROW(),2)=1</formula>
    </cfRule>
  </conditionalFormatting>
  <conditionalFormatting sqref="I52">
    <cfRule type="expression" dxfId="0" priority="291">
      <formula>MOD(ROW(),2)=1</formula>
    </cfRule>
  </conditionalFormatting>
  <conditionalFormatting sqref="I56">
    <cfRule type="expression" dxfId="0" priority="292">
      <formula>MOD(ROW(),2)=1</formula>
    </cfRule>
  </conditionalFormatting>
  <conditionalFormatting sqref="I60">
    <cfRule type="expression" dxfId="0" priority="293">
      <formula>MOD(ROW(),2)=1</formula>
    </cfRule>
  </conditionalFormatting>
  <conditionalFormatting sqref="I64">
    <cfRule type="expression" dxfId="0" priority="294">
      <formula>MOD(ROW(),2)=1</formula>
    </cfRule>
  </conditionalFormatting>
  <conditionalFormatting sqref="I67">
    <cfRule type="expression" dxfId="0" priority="295">
      <formula>MOD(ROW(),2)=1</formula>
    </cfRule>
  </conditionalFormatting>
  <conditionalFormatting sqref="I70">
    <cfRule type="expression" dxfId="0" priority="296">
      <formula>MOD(ROW(),2)=1</formula>
    </cfRule>
  </conditionalFormatting>
  <conditionalFormatting sqref="I38">
    <cfRule type="expression" dxfId="0" priority="297">
      <formula>MOD(ROW(),2)=1</formula>
    </cfRule>
  </conditionalFormatting>
  <conditionalFormatting sqref="I41:I42">
    <cfRule type="expression" dxfId="0" priority="298">
      <formula>MOD(ROW(),2)=1</formula>
    </cfRule>
  </conditionalFormatting>
  <conditionalFormatting sqref="I45:I46">
    <cfRule type="expression" dxfId="0" priority="299">
      <formula>MOD(ROW(),2)=1</formula>
    </cfRule>
  </conditionalFormatting>
  <conditionalFormatting sqref="I49:I50">
    <cfRule type="expression" dxfId="0" priority="300">
      <formula>MOD(ROW(),2)=1</formula>
    </cfRule>
  </conditionalFormatting>
  <conditionalFormatting sqref="I53:I54">
    <cfRule type="expression" dxfId="0" priority="301">
      <formula>MOD(ROW(),2)=1</formula>
    </cfRule>
  </conditionalFormatting>
  <conditionalFormatting sqref="I57:I58">
    <cfRule type="expression" dxfId="0" priority="302">
      <formula>MOD(ROW(),2)=1</formula>
    </cfRule>
  </conditionalFormatting>
  <conditionalFormatting sqref="I61:I62">
    <cfRule type="expression" dxfId="0" priority="303">
      <formula>MOD(ROW(),2)=1</formula>
    </cfRule>
  </conditionalFormatting>
  <conditionalFormatting sqref="I65:I66">
    <cfRule type="expression" dxfId="0" priority="304">
      <formula>MOD(ROW(),2)=1</formula>
    </cfRule>
  </conditionalFormatting>
  <conditionalFormatting sqref="I68:I69">
    <cfRule type="expression" dxfId="0" priority="305">
      <formula>MOD(ROW(),2)=1</formula>
    </cfRule>
  </conditionalFormatting>
  <conditionalFormatting sqref="I71:I72">
    <cfRule type="expression" dxfId="0" priority="306">
      <formula>MOD(ROW(),2)=1</formula>
    </cfRule>
  </conditionalFormatting>
  <conditionalFormatting sqref="E88">
    <cfRule type="expression" dxfId="0" priority="307">
      <formula>MOD(ROW(),2)=1</formula>
    </cfRule>
  </conditionalFormatting>
  <conditionalFormatting sqref="D21">
    <cfRule type="expression" dxfId="0" priority="308">
      <formula>MOD(ROW(),2)=1</formula>
    </cfRule>
  </conditionalFormatting>
  <conditionalFormatting sqref="E21">
    <cfRule type="expression" dxfId="0" priority="309">
      <formula>MOD(ROW(),2)=1</formula>
    </cfRule>
  </conditionalFormatting>
  <conditionalFormatting sqref="H56">
    <cfRule type="expression" dxfId="0" priority="310">
      <formula>MOD(ROW(),2)=1</formula>
    </cfRule>
  </conditionalFormatting>
  <conditionalFormatting sqref="B56:G56">
    <cfRule type="expression" dxfId="0" priority="311">
      <formula>MOD(ROW(),2)=1</formula>
    </cfRule>
  </conditionalFormatting>
  <conditionalFormatting sqref="F56:G56">
    <cfRule type="cellIs" dxfId="3" priority="312" operator="lessThan">
      <formula>TODAY()</formula>
    </cfRule>
    <cfRule type="timePeriod" dxfId="1" priority="313" timePeriod="last7Days">
      <formula/>
    </cfRule>
    <cfRule type="timePeriod" dxfId="1" priority="314" timePeriod="yesterday">
      <formula/>
    </cfRule>
    <cfRule type="timePeriod" dxfId="1" priority="315" timePeriod="lastMonth">
      <formula/>
    </cfRule>
    <cfRule type="timePeriod" dxfId="1" priority="316" timePeriod="yesterday">
      <formula/>
    </cfRule>
    <cfRule type="timePeriod" dxfId="1" priority="317" timePeriod="today">
      <formula/>
    </cfRule>
  </conditionalFormatting>
  <conditionalFormatting sqref="F72">
    <cfRule type="expression" dxfId="0" priority="318">
      <formula>MOD(ROW(),2)=1</formula>
    </cfRule>
    <cfRule type="cellIs" dxfId="3" priority="319" operator="lessThan">
      <formula>TODAY()</formula>
    </cfRule>
    <cfRule type="timePeriod" dxfId="1" priority="320" timePeriod="last7Days">
      <formula/>
    </cfRule>
    <cfRule type="timePeriod" dxfId="1" priority="321" timePeriod="yesterday">
      <formula/>
    </cfRule>
    <cfRule type="timePeriod" dxfId="1" priority="322" timePeriod="lastMonth">
      <formula/>
    </cfRule>
    <cfRule type="timePeriod" dxfId="1" priority="323" timePeriod="yesterday">
      <formula/>
    </cfRule>
    <cfRule type="timePeriod" dxfId="1" priority="324" timePeriod="today">
      <formula/>
    </cfRule>
  </conditionalFormatting>
  <conditionalFormatting sqref="B37:G37">
    <cfRule type="expression" dxfId="0" priority="325">
      <formula>MOD(ROW(),2)=1</formula>
    </cfRule>
  </conditionalFormatting>
  <conditionalFormatting sqref="F37:G37">
    <cfRule type="cellIs" dxfId="3" priority="326" operator="lessThan">
      <formula>TODAY()</formula>
    </cfRule>
    <cfRule type="timePeriod" dxfId="1" priority="327" timePeriod="last7Days">
      <formula/>
    </cfRule>
    <cfRule type="timePeriod" dxfId="1" priority="328" timePeriod="yesterday">
      <formula/>
    </cfRule>
    <cfRule type="timePeriod" dxfId="1" priority="329" timePeriod="lastMonth">
      <formula/>
    </cfRule>
    <cfRule type="timePeriod" dxfId="1" priority="330" timePeriod="yesterday">
      <formula/>
    </cfRule>
    <cfRule type="timePeriod" dxfId="1" priority="331" timePeriod="today">
      <formula/>
    </cfRule>
  </conditionalFormatting>
  <conditionalFormatting sqref="I37">
    <cfRule type="expression" dxfId="0" priority="332">
      <formula>MOD(ROW(),2)=1</formula>
    </cfRule>
    <cfRule type="expression" dxfId="0" priority="333">
      <formula>MOD(ROW(),2)=1</formula>
    </cfRule>
  </conditionalFormatting>
  <conditionalFormatting sqref="H37">
    <cfRule type="expression" dxfId="0" priority="334">
      <formula>MOD(ROW(),2)=1</formula>
    </cfRule>
  </conditionalFormatting>
  <conditionalFormatting sqref="B92:D93">
    <cfRule type="expression" dxfId="0" priority="335">
      <formula>MOD(ROW(),2)=1</formula>
    </cfRule>
  </conditionalFormatting>
  <conditionalFormatting sqref="F92:I93">
    <cfRule type="expression" dxfId="0" priority="336">
      <formula>MOD(ROW(),2)=1</formula>
    </cfRule>
  </conditionalFormatting>
  <conditionalFormatting sqref="F92:G93">
    <cfRule type="cellIs" dxfId="3" priority="337" operator="lessThan">
      <formula>TODAY()</formula>
    </cfRule>
    <cfRule type="timePeriod" dxfId="1" priority="338" timePeriod="last7Days">
      <formula/>
    </cfRule>
    <cfRule type="timePeriod" dxfId="1" priority="339" timePeriod="yesterday">
      <formula/>
    </cfRule>
    <cfRule type="timePeriod" dxfId="1" priority="340" timePeriod="lastMonth">
      <formula/>
    </cfRule>
    <cfRule type="timePeriod" dxfId="1" priority="341" timePeriod="yesterday">
      <formula/>
    </cfRule>
    <cfRule type="timePeriod" dxfId="1" priority="342" timePeriod="today">
      <formula/>
    </cfRule>
  </conditionalFormatting>
  <conditionalFormatting sqref="E92:E93">
    <cfRule type="expression" dxfId="0" priority="343">
      <formula>MOD(ROW(),2)=1</formula>
    </cfRule>
  </conditionalFormatting>
  <conditionalFormatting sqref="B99:I99">
    <cfRule type="expression" dxfId="0" priority="344">
      <formula>MOD(ROW(),2)=1</formula>
    </cfRule>
  </conditionalFormatting>
  <conditionalFormatting sqref="F99:G99">
    <cfRule type="cellIs" dxfId="3" priority="345" operator="lessThan">
      <formula>TODAY()</formula>
    </cfRule>
    <cfRule type="timePeriod" dxfId="1" priority="346" timePeriod="last7Days">
      <formula/>
    </cfRule>
    <cfRule type="timePeriod" dxfId="1" priority="347" timePeriod="yesterday">
      <formula/>
    </cfRule>
    <cfRule type="timePeriod" dxfId="1" priority="348" timePeriod="lastMonth">
      <formula/>
    </cfRule>
    <cfRule type="timePeriod" dxfId="1" priority="349" timePeriod="yesterday">
      <formula/>
    </cfRule>
    <cfRule type="timePeriod" dxfId="1" priority="350" timePeriod="today">
      <formula/>
    </cfRule>
  </conditionalFormatting>
  <conditionalFormatting sqref="I99">
    <cfRule type="expression" dxfId="0" priority="351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2"/>
  <sheetViews>
    <sheetView tabSelected="0" workbookViewId="0" zoomScale="85" zoomScaleNormal="85" showGridLines="true" showRowColHeaders="1">
      <pane ySplit="1" topLeftCell="A74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9.99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418" t="s">
        <v>717</v>
      </c>
      <c r="B2" s="231" t="s">
        <v>147</v>
      </c>
      <c r="C2" s="198" t="s">
        <v>718</v>
      </c>
      <c r="D2" s="419">
        <v>7951.31</v>
      </c>
      <c r="E2" s="201" t="s">
        <v>253</v>
      </c>
      <c r="F2" s="202">
        <v>44696</v>
      </c>
      <c r="G2" s="16">
        <v>7951.31</v>
      </c>
      <c r="H2" s="17" t="str">
        <f>D2-G2</f>
        <v>0</v>
      </c>
      <c r="I2" s="267"/>
      <c r="K2" s="19"/>
    </row>
    <row r="3" spans="1:1024" customHeight="1" ht="18.6">
      <c r="A3" s="418"/>
      <c r="B3" s="231" t="s">
        <v>147</v>
      </c>
      <c r="C3" s="210" t="s">
        <v>719</v>
      </c>
      <c r="D3" s="420">
        <v>-735.71</v>
      </c>
      <c r="E3" s="14" t="s">
        <v>253</v>
      </c>
      <c r="F3" s="202">
        <v>44696</v>
      </c>
      <c r="G3" s="16">
        <v>-735.71</v>
      </c>
      <c r="H3" s="17" t="str">
        <f>D3-G3</f>
        <v>0</v>
      </c>
      <c r="I3" s="267"/>
      <c r="K3" s="20" t="str">
        <f>D100</f>
        <v>0</v>
      </c>
      <c r="L3" s="20"/>
    </row>
    <row r="4" spans="1:1024" customHeight="1" ht="18.6">
      <c r="A4" s="418"/>
      <c r="B4" s="231" t="s">
        <v>181</v>
      </c>
      <c r="C4" s="210" t="s">
        <v>720</v>
      </c>
      <c r="D4" s="421">
        <v>729.6</v>
      </c>
      <c r="E4" s="422" t="s">
        <v>253</v>
      </c>
      <c r="F4" s="211">
        <v>44712</v>
      </c>
      <c r="G4" s="16">
        <v>729.6</v>
      </c>
      <c r="H4" s="17" t="str">
        <f>D4-G4</f>
        <v>0</v>
      </c>
      <c r="I4" s="269"/>
      <c r="K4" s="20" t="str">
        <f>D36</f>
        <v>0</v>
      </c>
      <c r="L4" s="20"/>
    </row>
    <row r="5" spans="1:1024" customHeight="1" ht="18.6">
      <c r="A5" s="418"/>
      <c r="B5" s="231" t="s">
        <v>397</v>
      </c>
      <c r="C5" s="210" t="s">
        <v>721</v>
      </c>
      <c r="D5" s="421">
        <v>5869.68</v>
      </c>
      <c r="E5" s="422" t="s">
        <v>430</v>
      </c>
      <c r="F5" s="211">
        <v>44712</v>
      </c>
      <c r="G5" s="16">
        <v>5869.68</v>
      </c>
      <c r="H5" s="17" t="str">
        <f>D5-G5</f>
        <v>0</v>
      </c>
      <c r="I5" s="269"/>
    </row>
    <row r="6" spans="1:1024" customHeight="1" ht="18.6">
      <c r="A6" s="418"/>
      <c r="B6" s="239" t="s">
        <v>397</v>
      </c>
      <c r="C6" s="210" t="s">
        <v>722</v>
      </c>
      <c r="D6" s="421">
        <v>32.99</v>
      </c>
      <c r="E6" s="14" t="s">
        <v>268</v>
      </c>
      <c r="F6" s="211">
        <v>44712</v>
      </c>
      <c r="G6" s="16">
        <v>32.99</v>
      </c>
      <c r="H6" s="17" t="str">
        <f>D6-G6</f>
        <v>0</v>
      </c>
      <c r="I6" s="269"/>
      <c r="K6" s="19" t="s">
        <v>517</v>
      </c>
    </row>
    <row r="7" spans="1:1024" customHeight="1" ht="18.6">
      <c r="A7" s="418"/>
      <c r="B7" s="239" t="s">
        <v>397</v>
      </c>
      <c r="C7" s="210" t="s">
        <v>722</v>
      </c>
      <c r="D7" s="421">
        <v>375.55</v>
      </c>
      <c r="E7" s="14"/>
      <c r="F7" s="211">
        <v>44712</v>
      </c>
      <c r="G7" s="16">
        <v>375.55</v>
      </c>
      <c r="H7" s="17" t="str">
        <f>D7-G7</f>
        <v>0</v>
      </c>
      <c r="I7" s="269"/>
      <c r="K7" s="20" t="str">
        <f>+D100</f>
        <v>0</v>
      </c>
      <c r="L7" s="20"/>
    </row>
    <row r="8" spans="1:1024" customHeight="1" ht="18.6">
      <c r="A8" s="418"/>
      <c r="B8" s="298" t="s">
        <v>264</v>
      </c>
      <c r="C8" s="423" t="s">
        <v>723</v>
      </c>
      <c r="D8" s="424">
        <v>-673.2</v>
      </c>
      <c r="E8" s="425"/>
      <c r="F8" s="302">
        <v>44712</v>
      </c>
      <c r="G8" s="270"/>
      <c r="H8" s="17" t="str">
        <f>D8-G8</f>
        <v>0</v>
      </c>
      <c r="I8" s="269"/>
    </row>
    <row r="9" spans="1:1024" customHeight="1" ht="18.6">
      <c r="A9" s="418"/>
      <c r="B9" s="239" t="s">
        <v>164</v>
      </c>
      <c r="C9" s="210" t="s">
        <v>724</v>
      </c>
      <c r="D9" s="421">
        <v>451.3</v>
      </c>
      <c r="E9" s="14"/>
      <c r="F9" s="211">
        <v>44712</v>
      </c>
      <c r="G9" s="270">
        <v>451.3</v>
      </c>
      <c r="H9" s="17" t="str">
        <f>D9-G9</f>
        <v>0</v>
      </c>
      <c r="I9" s="269"/>
      <c r="K9" s="19" t="s">
        <v>521</v>
      </c>
    </row>
    <row r="10" spans="1:1024" customHeight="1" ht="18.6">
      <c r="A10" s="418"/>
      <c r="B10" s="239" t="s">
        <v>273</v>
      </c>
      <c r="C10" s="210" t="s">
        <v>725</v>
      </c>
      <c r="D10" s="421">
        <v>822.05</v>
      </c>
      <c r="E10" s="14"/>
      <c r="F10" s="211">
        <v>44712</v>
      </c>
      <c r="G10" s="270">
        <v>822.05</v>
      </c>
      <c r="H10" s="17" t="str">
        <f>D10-G10</f>
        <v>0</v>
      </c>
      <c r="I10" s="269"/>
      <c r="K10" s="21" t="str">
        <f>K4+K3</f>
        <v>0</v>
      </c>
      <c r="L10" s="21"/>
      <c r="M10" s="21"/>
    </row>
    <row r="11" spans="1:1024" customHeight="1" ht="18.6">
      <c r="A11" s="418"/>
      <c r="B11" s="239" t="s">
        <v>284</v>
      </c>
      <c r="C11" s="210" t="s">
        <v>726</v>
      </c>
      <c r="D11" s="426">
        <v>2911.96</v>
      </c>
      <c r="E11" s="427" t="s">
        <v>280</v>
      </c>
      <c r="F11" s="211">
        <v>44712</v>
      </c>
      <c r="G11" s="270">
        <v>2911.96</v>
      </c>
      <c r="H11" s="17" t="str">
        <f>D11-G11</f>
        <v>0</v>
      </c>
      <c r="I11" s="269"/>
    </row>
    <row r="12" spans="1:1024" customHeight="1" ht="18.6">
      <c r="A12" s="418"/>
      <c r="B12" s="239" t="s">
        <v>284</v>
      </c>
      <c r="C12" s="210" t="s">
        <v>727</v>
      </c>
      <c r="D12" s="421">
        <v>5699.74</v>
      </c>
      <c r="E12" s="14" t="s">
        <v>625</v>
      </c>
      <c r="F12" s="211">
        <v>44712</v>
      </c>
      <c r="G12" s="270">
        <v>5699.74</v>
      </c>
      <c r="H12" s="17" t="str">
        <f>D12-G12</f>
        <v>0</v>
      </c>
      <c r="I12" s="269"/>
    </row>
    <row r="13" spans="1:1024" customHeight="1" ht="18.6">
      <c r="A13" s="418"/>
      <c r="B13" s="239" t="s">
        <v>291</v>
      </c>
      <c r="C13" s="210" t="s">
        <v>728</v>
      </c>
      <c r="D13" s="421">
        <v>6695.69</v>
      </c>
      <c r="E13" s="14" t="s">
        <v>280</v>
      </c>
      <c r="F13" s="211">
        <v>44712</v>
      </c>
      <c r="G13" s="270">
        <v>6695.69</v>
      </c>
      <c r="H13" s="17" t="str">
        <f>D13-G13</f>
        <v>0</v>
      </c>
      <c r="I13" s="269"/>
    </row>
    <row r="14" spans="1:1024" customHeight="1" ht="18.6">
      <c r="A14" s="418"/>
      <c r="B14" s="239" t="s">
        <v>291</v>
      </c>
      <c r="C14" s="210" t="s">
        <v>729</v>
      </c>
      <c r="D14" s="421">
        <v>629.7</v>
      </c>
      <c r="E14" s="428"/>
      <c r="F14" s="211">
        <v>44712</v>
      </c>
      <c r="G14" s="270">
        <v>629.7</v>
      </c>
      <c r="H14" s="17" t="str">
        <f>D14-G14</f>
        <v>0</v>
      </c>
      <c r="I14" s="269"/>
    </row>
    <row r="15" spans="1:1024" customHeight="1" ht="18.6">
      <c r="A15" s="418"/>
      <c r="B15" s="239" t="s">
        <v>291</v>
      </c>
      <c r="C15" s="210" t="s">
        <v>730</v>
      </c>
      <c r="D15" s="421">
        <v>5610.32</v>
      </c>
      <c r="E15" s="14" t="s">
        <v>253</v>
      </c>
      <c r="F15" s="211">
        <v>44712</v>
      </c>
      <c r="G15" s="270">
        <v>5610.32</v>
      </c>
      <c r="H15" s="17" t="str">
        <f>D15-G15</f>
        <v>0</v>
      </c>
      <c r="I15" s="269"/>
    </row>
    <row r="16" spans="1:1024" customHeight="1" ht="18.6">
      <c r="A16" s="418"/>
      <c r="B16" s="239" t="s">
        <v>291</v>
      </c>
      <c r="C16" s="210" t="s">
        <v>731</v>
      </c>
      <c r="D16" s="421">
        <v>1430.53</v>
      </c>
      <c r="E16" s="428" t="s">
        <v>283</v>
      </c>
      <c r="F16" s="211">
        <v>44712</v>
      </c>
      <c r="G16" s="270">
        <v>1430.53</v>
      </c>
      <c r="H16" s="17" t="str">
        <f>D16-G16</f>
        <v>0</v>
      </c>
      <c r="I16" s="269"/>
    </row>
    <row r="17" spans="1:1024" customHeight="1" ht="18.6">
      <c r="A17" s="418"/>
      <c r="B17" s="239" t="s">
        <v>291</v>
      </c>
      <c r="C17" s="210"/>
      <c r="D17" s="421">
        <v>-646.8</v>
      </c>
      <c r="E17" s="428" t="s">
        <v>498</v>
      </c>
      <c r="F17" s="211">
        <v>44712</v>
      </c>
      <c r="G17" s="270">
        <v>-646.8</v>
      </c>
      <c r="H17" s="17" t="str">
        <f>D17-G17</f>
        <v>0</v>
      </c>
      <c r="I17" s="269"/>
    </row>
    <row r="18" spans="1:1024" customHeight="1" ht="18.6">
      <c r="A18" s="418"/>
      <c r="B18" s="11" t="s">
        <v>620</v>
      </c>
      <c r="C18" s="12" t="s">
        <v>732</v>
      </c>
      <c r="D18" s="268">
        <v>2034.65</v>
      </c>
      <c r="E18" s="14" t="s">
        <v>253</v>
      </c>
      <c r="F18" s="271">
        <v>44711</v>
      </c>
      <c r="G18" s="272">
        <v>2034.65</v>
      </c>
      <c r="H18" s="17" t="str">
        <f>D18-G18</f>
        <v>0</v>
      </c>
      <c r="I18" s="269"/>
    </row>
    <row r="19" spans="1:1024" customHeight="1" ht="18.6">
      <c r="A19" s="418"/>
      <c r="B19" s="11" t="s">
        <v>620</v>
      </c>
      <c r="C19" s="12" t="s">
        <v>733</v>
      </c>
      <c r="D19" s="268">
        <v>466.25</v>
      </c>
      <c r="E19" s="14" t="s">
        <v>253</v>
      </c>
      <c r="F19" s="271">
        <v>44711</v>
      </c>
      <c r="G19" s="272">
        <v>466.25</v>
      </c>
      <c r="H19" s="17" t="str">
        <f>D19-G19</f>
        <v>0</v>
      </c>
      <c r="I19" s="269"/>
    </row>
    <row r="20" spans="1:1024" customHeight="1" ht="18.6">
      <c r="A20" s="418"/>
      <c r="B20" s="11" t="s">
        <v>644</v>
      </c>
      <c r="C20" s="12" t="s">
        <v>734</v>
      </c>
      <c r="D20" s="268">
        <v>906.6</v>
      </c>
      <c r="E20" s="14"/>
      <c r="F20" s="271">
        <v>44712</v>
      </c>
      <c r="G20" s="272">
        <v>906.6</v>
      </c>
      <c r="H20" s="17" t="str">
        <f>D20-G20</f>
        <v>0</v>
      </c>
      <c r="I20" s="269"/>
    </row>
    <row r="21" spans="1:1024" customHeight="1" ht="18.6">
      <c r="A21" s="418"/>
      <c r="B21" s="11" t="s">
        <v>644</v>
      </c>
      <c r="C21" s="12" t="s">
        <v>735</v>
      </c>
      <c r="D21" s="268">
        <v>14185.92</v>
      </c>
      <c r="E21" s="14" t="s">
        <v>253</v>
      </c>
      <c r="F21" s="271">
        <v>44712</v>
      </c>
      <c r="G21" s="272">
        <v>14185.92</v>
      </c>
      <c r="H21" s="17" t="str">
        <f>D21-G21</f>
        <v>0</v>
      </c>
      <c r="I21" s="269"/>
    </row>
    <row r="22" spans="1:1024" customHeight="1" ht="18.6">
      <c r="A22" s="418"/>
      <c r="B22" s="11" t="s">
        <v>644</v>
      </c>
      <c r="C22" s="12" t="s">
        <v>736</v>
      </c>
      <c r="D22" s="268">
        <v>2524.92</v>
      </c>
      <c r="E22" s="14" t="s">
        <v>280</v>
      </c>
      <c r="F22" s="271">
        <v>44712</v>
      </c>
      <c r="G22" s="272">
        <v>2524.92</v>
      </c>
      <c r="H22" s="17" t="str">
        <f>D22-G22</f>
        <v>0</v>
      </c>
      <c r="I22" s="269"/>
    </row>
    <row r="23" spans="1:1024" customHeight="1" ht="18.6">
      <c r="A23" s="418"/>
      <c r="B23" s="11" t="s">
        <v>644</v>
      </c>
      <c r="C23" s="12" t="s">
        <v>737</v>
      </c>
      <c r="D23" s="274">
        <v>768.36</v>
      </c>
      <c r="E23" s="275"/>
      <c r="F23" s="276">
        <v>44712</v>
      </c>
      <c r="G23" s="277">
        <v>768.36</v>
      </c>
      <c r="H23" s="17" t="str">
        <f>D23-G23</f>
        <v>0</v>
      </c>
      <c r="I23" s="269"/>
    </row>
    <row r="24" spans="1:1024" customHeight="1" ht="18.6">
      <c r="A24" s="418"/>
      <c r="B24" s="11" t="s">
        <v>166</v>
      </c>
      <c r="C24" s="12" t="s">
        <v>738</v>
      </c>
      <c r="D24" s="274">
        <v>1286</v>
      </c>
      <c r="E24" s="275"/>
      <c r="F24" s="276">
        <v>44712</v>
      </c>
      <c r="G24" s="277">
        <v>1286</v>
      </c>
      <c r="H24" s="17" t="str">
        <f>D24-G24</f>
        <v>0</v>
      </c>
      <c r="I24" s="269"/>
    </row>
    <row r="25" spans="1:1024" customHeight="1" ht="18.6">
      <c r="A25" s="418"/>
      <c r="B25" s="11" t="s">
        <v>422</v>
      </c>
      <c r="C25" s="12" t="s">
        <v>739</v>
      </c>
      <c r="D25" s="274">
        <v>3128.16</v>
      </c>
      <c r="E25" s="275"/>
      <c r="F25" s="276">
        <v>44712</v>
      </c>
      <c r="G25" s="277">
        <v>3128.16</v>
      </c>
      <c r="H25" s="17" t="str">
        <f>D25-G25</f>
        <v>0</v>
      </c>
      <c r="I25" s="269"/>
    </row>
    <row r="26" spans="1:1024" customHeight="1" ht="18.6">
      <c r="A26" s="418"/>
      <c r="B26" s="11" t="s">
        <v>422</v>
      </c>
      <c r="C26" s="12" t="s">
        <v>740</v>
      </c>
      <c r="D26" s="274">
        <v>520.38</v>
      </c>
      <c r="E26" s="275" t="s">
        <v>430</v>
      </c>
      <c r="F26" s="276">
        <v>44712</v>
      </c>
      <c r="G26" s="277">
        <v>520.38</v>
      </c>
      <c r="H26" s="17" t="str">
        <f>D26-G26</f>
        <v>0</v>
      </c>
      <c r="I26" s="269"/>
    </row>
    <row r="27" spans="1:1024" customHeight="1" ht="18.6">
      <c r="A27" s="418"/>
      <c r="B27" s="11" t="s">
        <v>422</v>
      </c>
      <c r="C27" s="12" t="s">
        <v>741</v>
      </c>
      <c r="D27" s="274">
        <v>1532.78</v>
      </c>
      <c r="E27" s="275"/>
      <c r="F27" s="276">
        <v>44712</v>
      </c>
      <c r="G27" s="277">
        <v>1532.78</v>
      </c>
      <c r="H27" s="17" t="str">
        <f>D27-G27</f>
        <v>0</v>
      </c>
      <c r="I27" s="269"/>
    </row>
    <row r="28" spans="1:1024" customHeight="1" ht="18.6">
      <c r="A28" s="418"/>
      <c r="B28" s="11" t="s">
        <v>422</v>
      </c>
      <c r="C28" s="12" t="s">
        <v>742</v>
      </c>
      <c r="D28" s="274">
        <v>86</v>
      </c>
      <c r="E28" s="275"/>
      <c r="F28" s="276">
        <v>44712</v>
      </c>
      <c r="G28" s="277">
        <v>86</v>
      </c>
      <c r="H28" s="17" t="str">
        <f>D28-G28</f>
        <v>0</v>
      </c>
      <c r="I28" s="269"/>
    </row>
    <row r="29" spans="1:1024" customHeight="1" ht="18.6">
      <c r="A29" s="418"/>
      <c r="B29" s="11" t="s">
        <v>422</v>
      </c>
      <c r="C29" s="12" t="s">
        <v>743</v>
      </c>
      <c r="D29" s="274">
        <v>2359.56</v>
      </c>
      <c r="E29" s="275" t="s">
        <v>744</v>
      </c>
      <c r="F29" s="276">
        <v>44712</v>
      </c>
      <c r="G29" s="277">
        <v>2359.56</v>
      </c>
      <c r="H29" s="17" t="str">
        <f>D29-G29</f>
        <v>0</v>
      </c>
      <c r="I29" s="269"/>
    </row>
    <row r="30" spans="1:1024" customHeight="1" ht="18.6">
      <c r="A30" s="418"/>
      <c r="B30" s="11" t="s">
        <v>422</v>
      </c>
      <c r="C30" s="12" t="s">
        <v>498</v>
      </c>
      <c r="D30" s="274">
        <v>2385.73</v>
      </c>
      <c r="E30" s="275"/>
      <c r="F30" s="276">
        <v>44712</v>
      </c>
      <c r="G30" s="277">
        <v>2385.73</v>
      </c>
      <c r="H30" s="17" t="str">
        <f>D30-G30</f>
        <v>0</v>
      </c>
      <c r="I30" s="269"/>
    </row>
    <row r="31" spans="1:1024" customHeight="1" ht="18.6">
      <c r="A31" s="418"/>
      <c r="B31" s="11" t="s">
        <v>422</v>
      </c>
      <c r="C31" s="12" t="s">
        <v>745</v>
      </c>
      <c r="D31" s="13">
        <v>-1080.42</v>
      </c>
      <c r="E31" s="14"/>
      <c r="F31" s="271">
        <v>44681</v>
      </c>
      <c r="G31" s="277">
        <v>-1080.42</v>
      </c>
      <c r="H31" s="17" t="str">
        <f>D31-G31</f>
        <v>0</v>
      </c>
      <c r="I31" s="269"/>
    </row>
    <row r="32" spans="1:1024" customHeight="1" ht="18.6">
      <c r="A32" s="418"/>
      <c r="B32" s="11" t="s">
        <v>422</v>
      </c>
      <c r="C32" s="12" t="s">
        <v>746</v>
      </c>
      <c r="D32" s="13">
        <v>-1305.31</v>
      </c>
      <c r="E32" s="14" t="s">
        <v>747</v>
      </c>
      <c r="F32" s="271">
        <v>44681</v>
      </c>
      <c r="G32" s="277">
        <v>-1305.31</v>
      </c>
      <c r="H32" s="17" t="str">
        <f>D32-G32</f>
        <v>0</v>
      </c>
      <c r="I32" s="269"/>
    </row>
    <row r="33" spans="1:1024" customHeight="1" ht="18.6">
      <c r="A33" s="418"/>
      <c r="B33" s="11" t="s">
        <v>454</v>
      </c>
      <c r="C33" s="12" t="s">
        <v>748</v>
      </c>
      <c r="D33" s="274">
        <v>122.5</v>
      </c>
      <c r="E33" s="275" t="s">
        <v>258</v>
      </c>
      <c r="F33" s="276">
        <v>44711</v>
      </c>
      <c r="G33" s="277">
        <v>122.5</v>
      </c>
      <c r="H33" s="17" t="str">
        <f>D33-G33</f>
        <v>0</v>
      </c>
      <c r="I33" s="269"/>
    </row>
    <row r="34" spans="1:1024" customHeight="1" ht="18.6">
      <c r="A34" s="418"/>
      <c r="B34" s="11" t="s">
        <v>271</v>
      </c>
      <c r="C34" s="12" t="s">
        <v>749</v>
      </c>
      <c r="D34" s="274">
        <v>426.48</v>
      </c>
      <c r="E34" s="275" t="s">
        <v>630</v>
      </c>
      <c r="F34" s="276"/>
      <c r="G34" s="277">
        <v>426.48</v>
      </c>
      <c r="H34" s="17" t="str">
        <f>D34-G34</f>
        <v>0</v>
      </c>
      <c r="I34" s="269"/>
    </row>
    <row r="35" spans="1:1024" customHeight="1" ht="18.6">
      <c r="A35" s="418"/>
      <c r="B35" s="11"/>
      <c r="C35" s="12"/>
      <c r="D35" s="268"/>
      <c r="E35" s="14"/>
      <c r="F35" s="271"/>
      <c r="G35" s="272"/>
      <c r="H35" s="17"/>
      <c r="I35" s="269"/>
    </row>
    <row r="36" spans="1:1024" customHeight="1" ht="18.6">
      <c r="A36" s="418"/>
      <c r="B36" s="28" t="s">
        <v>35</v>
      </c>
      <c r="C36" s="22"/>
      <c r="D36" s="29" t="str">
        <f>+SUM(D2:D35)</f>
        <v>0</v>
      </c>
      <c r="E36" s="24"/>
      <c r="F36" s="25"/>
      <c r="G36" s="26"/>
      <c r="H36" s="30" t="str">
        <f>+SUM(H2:H35)</f>
        <v>0</v>
      </c>
      <c r="I36" s="429"/>
    </row>
    <row r="37" spans="1:1024" customHeight="1" ht="18.6">
      <c r="A37" s="430" t="s">
        <v>299</v>
      </c>
      <c r="B37" s="11" t="s">
        <v>750</v>
      </c>
      <c r="C37" s="12"/>
      <c r="D37" s="274">
        <v>17.99</v>
      </c>
      <c r="E37" s="275" t="s">
        <v>751</v>
      </c>
      <c r="F37" s="276">
        <v>44683</v>
      </c>
      <c r="G37" s="277">
        <v>17.99</v>
      </c>
      <c r="H37" s="17" t="str">
        <f>D37-G37</f>
        <v>0</v>
      </c>
      <c r="I37" s="269"/>
    </row>
    <row r="38" spans="1:1024" customHeight="1" ht="18.6">
      <c r="A38" s="430"/>
      <c r="B38" s="11" t="s">
        <v>658</v>
      </c>
      <c r="C38" s="12" t="s">
        <v>659</v>
      </c>
      <c r="D38" s="274">
        <v>891.47</v>
      </c>
      <c r="E38" s="275"/>
      <c r="F38" s="276">
        <v>44684</v>
      </c>
      <c r="G38" s="277">
        <v>891.47</v>
      </c>
      <c r="H38" s="17" t="str">
        <f>D38-G38</f>
        <v>0</v>
      </c>
      <c r="I38" s="269"/>
    </row>
    <row r="39" spans="1:1024" customHeight="1" ht="18.6">
      <c r="A39" s="430"/>
      <c r="B39" s="11" t="s">
        <v>311</v>
      </c>
      <c r="C39" s="12"/>
      <c r="D39" s="268">
        <v>5.31</v>
      </c>
      <c r="E39" s="14"/>
      <c r="F39" s="271">
        <v>44686</v>
      </c>
      <c r="G39" s="272">
        <v>5.31</v>
      </c>
      <c r="H39" s="17" t="str">
        <f>D39-G39</f>
        <v>0</v>
      </c>
      <c r="I39" s="269"/>
    </row>
    <row r="40" spans="1:1024" customHeight="1" ht="18.6">
      <c r="A40" s="430"/>
      <c r="B40" s="11" t="s">
        <v>308</v>
      </c>
      <c r="C40" s="12"/>
      <c r="D40" s="268">
        <v>3203.09</v>
      </c>
      <c r="E40" s="14" t="s">
        <v>439</v>
      </c>
      <c r="F40" s="271">
        <v>44686</v>
      </c>
      <c r="G40" s="272">
        <v>3203.09</v>
      </c>
      <c r="H40" s="17" t="str">
        <f>D40-G40</f>
        <v>0</v>
      </c>
      <c r="I40" s="269"/>
    </row>
    <row r="41" spans="1:1024" customHeight="1" ht="18.6">
      <c r="A41" s="430"/>
      <c r="B41" s="11" t="s">
        <v>300</v>
      </c>
      <c r="C41" s="12" t="s">
        <v>303</v>
      </c>
      <c r="D41" s="274">
        <v>127.11</v>
      </c>
      <c r="E41" s="275" t="s">
        <v>302</v>
      </c>
      <c r="F41" s="271">
        <v>44686</v>
      </c>
      <c r="G41" s="277">
        <v>127.11</v>
      </c>
      <c r="H41" s="17" t="str">
        <f>D41-G41</f>
        <v>0</v>
      </c>
      <c r="I41" s="269"/>
    </row>
    <row r="42" spans="1:1024" customHeight="1" ht="18.6">
      <c r="A42" s="430"/>
      <c r="B42" s="11" t="s">
        <v>300</v>
      </c>
      <c r="C42" s="12" t="s">
        <v>304</v>
      </c>
      <c r="D42" s="268">
        <v>100.82</v>
      </c>
      <c r="E42" s="14"/>
      <c r="F42" s="271">
        <v>44686</v>
      </c>
      <c r="G42" s="272">
        <v>100.82</v>
      </c>
      <c r="H42" s="17" t="str">
        <f>D42-G42</f>
        <v>0</v>
      </c>
      <c r="I42" s="269"/>
    </row>
    <row r="43" spans="1:1024" customHeight="1" ht="18.6">
      <c r="A43" s="430"/>
      <c r="B43" s="11" t="s">
        <v>300</v>
      </c>
      <c r="C43" s="12" t="s">
        <v>305</v>
      </c>
      <c r="D43" s="268">
        <v>104.12</v>
      </c>
      <c r="E43" s="14"/>
      <c r="F43" s="271">
        <v>44686</v>
      </c>
      <c r="G43" s="272">
        <v>104.12</v>
      </c>
      <c r="H43" s="17" t="str">
        <f>D43-G43</f>
        <v>0</v>
      </c>
      <c r="I43" s="269"/>
    </row>
    <row r="44" spans="1:1024" customHeight="1" ht="18.6">
      <c r="A44" s="430"/>
      <c r="B44" s="11" t="s">
        <v>300</v>
      </c>
      <c r="C44" s="12" t="s">
        <v>306</v>
      </c>
      <c r="D44" s="268">
        <v>71.32</v>
      </c>
      <c r="E44" s="14"/>
      <c r="F44" s="271">
        <v>44686</v>
      </c>
      <c r="G44" s="272">
        <v>71.32</v>
      </c>
      <c r="H44" s="17" t="str">
        <f>D44-G44</f>
        <v>0</v>
      </c>
      <c r="I44" s="269"/>
    </row>
    <row r="45" spans="1:1024" customHeight="1" ht="18.6">
      <c r="A45" s="430"/>
      <c r="B45" s="11" t="s">
        <v>300</v>
      </c>
      <c r="C45" s="12" t="s">
        <v>307</v>
      </c>
      <c r="D45" s="274">
        <v>89.4</v>
      </c>
      <c r="E45" s="275"/>
      <c r="F45" s="271">
        <v>44686</v>
      </c>
      <c r="G45" s="277">
        <v>89.4</v>
      </c>
      <c r="H45" s="17" t="str">
        <f>D45-G45</f>
        <v>0</v>
      </c>
      <c r="I45" s="269"/>
    </row>
    <row r="46" spans="1:1024" customHeight="1" ht="18.6">
      <c r="A46" s="430"/>
      <c r="B46" s="11" t="s">
        <v>300</v>
      </c>
      <c r="C46" s="12" t="s">
        <v>301</v>
      </c>
      <c r="D46" s="268">
        <v>99.97</v>
      </c>
      <c r="E46" s="14" t="s">
        <v>302</v>
      </c>
      <c r="F46" s="271">
        <v>44686</v>
      </c>
      <c r="G46" s="272">
        <v>99.97</v>
      </c>
      <c r="H46" s="17" t="str">
        <f>D46-G46</f>
        <v>0</v>
      </c>
      <c r="I46" s="269"/>
    </row>
    <row r="47" spans="1:1024" customHeight="1" ht="18.6">
      <c r="A47" s="430"/>
      <c r="B47" s="11" t="s">
        <v>551</v>
      </c>
      <c r="C47" s="12"/>
      <c r="D47" s="268">
        <v>53.88</v>
      </c>
      <c r="E47" s="14"/>
      <c r="F47" s="271">
        <v>44686</v>
      </c>
      <c r="G47" s="272">
        <v>53.88</v>
      </c>
      <c r="H47" s="17" t="str">
        <f>D47-G47</f>
        <v>0</v>
      </c>
      <c r="I47" s="269"/>
    </row>
    <row r="48" spans="1:1024" customHeight="1" ht="18.6">
      <c r="A48" s="430"/>
      <c r="B48" s="11" t="s">
        <v>314</v>
      </c>
      <c r="C48" s="12"/>
      <c r="D48" s="268">
        <v>50</v>
      </c>
      <c r="E48" s="14" t="s">
        <v>315</v>
      </c>
      <c r="F48" s="271">
        <v>44687</v>
      </c>
      <c r="G48" s="272">
        <v>50</v>
      </c>
      <c r="H48" s="17" t="str">
        <f>D48-G48</f>
        <v>0</v>
      </c>
      <c r="I48" s="269"/>
    </row>
    <row r="49" spans="1:1024" customHeight="1" ht="18.6">
      <c r="A49" s="430"/>
      <c r="B49" s="11" t="s">
        <v>316</v>
      </c>
      <c r="C49" s="12" t="s">
        <v>550</v>
      </c>
      <c r="D49" s="274" t="str">
        <f>15.95*2</f>
        <v>0</v>
      </c>
      <c r="E49" s="275" t="s">
        <v>661</v>
      </c>
      <c r="F49" s="276">
        <v>44691</v>
      </c>
      <c r="G49" s="277">
        <v>31.9</v>
      </c>
      <c r="H49" s="17" t="str">
        <f>D49-G49</f>
        <v>0</v>
      </c>
      <c r="I49" s="269"/>
    </row>
    <row r="50" spans="1:1024" customHeight="1" ht="18.6">
      <c r="A50" s="430"/>
      <c r="B50" s="11" t="s">
        <v>566</v>
      </c>
      <c r="C50" s="12" t="s">
        <v>567</v>
      </c>
      <c r="D50" s="268">
        <v>315.08</v>
      </c>
      <c r="E50" s="14" t="s">
        <v>280</v>
      </c>
      <c r="F50" s="271">
        <v>44691</v>
      </c>
      <c r="G50" s="272">
        <v>315.08</v>
      </c>
      <c r="H50" s="17" t="str">
        <f>D50-G50</f>
        <v>0</v>
      </c>
      <c r="I50" s="269"/>
    </row>
    <row r="51" spans="1:1024" customHeight="1" ht="18.6">
      <c r="A51" s="430"/>
      <c r="B51" s="11" t="s">
        <v>35</v>
      </c>
      <c r="C51" s="12" t="s">
        <v>660</v>
      </c>
      <c r="D51" s="268">
        <v>2377.72</v>
      </c>
      <c r="E51" s="14"/>
      <c r="F51" s="271">
        <v>44691</v>
      </c>
      <c r="G51" s="272">
        <v>2377.72</v>
      </c>
      <c r="H51" s="17" t="str">
        <f>D51-G51</f>
        <v>0</v>
      </c>
      <c r="I51" s="269"/>
    </row>
    <row r="52" spans="1:1024" customHeight="1" ht="18.6">
      <c r="A52" s="430"/>
      <c r="B52" s="11" t="s">
        <v>437</v>
      </c>
      <c r="C52" s="12" t="s">
        <v>671</v>
      </c>
      <c r="D52" s="268">
        <v>224.93</v>
      </c>
      <c r="E52" s="14" t="s">
        <v>752</v>
      </c>
      <c r="F52" s="271">
        <v>44691</v>
      </c>
      <c r="G52" s="272">
        <v>224.93</v>
      </c>
      <c r="H52" s="17" t="str">
        <f>D52-G52</f>
        <v>0</v>
      </c>
      <c r="I52" s="269"/>
    </row>
    <row r="53" spans="1:1024" customHeight="1" ht="18.6">
      <c r="A53" s="430"/>
      <c r="B53" s="11" t="s">
        <v>196</v>
      </c>
      <c r="C53" s="12" t="s">
        <v>753</v>
      </c>
      <c r="D53" s="274">
        <v>1393.52</v>
      </c>
      <c r="E53" s="275" t="s">
        <v>754</v>
      </c>
      <c r="F53" s="276">
        <v>44693</v>
      </c>
      <c r="G53" s="277">
        <v>1393.52</v>
      </c>
      <c r="H53" s="17" t="str">
        <f>D53-G53</f>
        <v>0</v>
      </c>
      <c r="I53" s="269"/>
    </row>
    <row r="54" spans="1:1024" customHeight="1" ht="18.6">
      <c r="A54" s="430"/>
      <c r="B54" s="11" t="s">
        <v>561</v>
      </c>
      <c r="C54" s="12"/>
      <c r="D54" s="268">
        <v>16.99</v>
      </c>
      <c r="E54" s="14" t="s">
        <v>562</v>
      </c>
      <c r="F54" s="271">
        <v>44692</v>
      </c>
      <c r="G54" s="272">
        <v>16.99</v>
      </c>
      <c r="H54" s="17" t="str">
        <f>D54-G54</f>
        <v>0</v>
      </c>
      <c r="I54" s="269"/>
    </row>
    <row r="55" spans="1:1024" customHeight="1" ht="18.6">
      <c r="A55" s="430"/>
      <c r="B55" s="431" t="s">
        <v>322</v>
      </c>
      <c r="C55" s="432"/>
      <c r="D55" s="433">
        <v>10494</v>
      </c>
      <c r="E55" s="434" t="s">
        <v>323</v>
      </c>
      <c r="F55" s="435">
        <v>44696</v>
      </c>
      <c r="G55" s="436">
        <v>10494</v>
      </c>
      <c r="H55" s="437" t="str">
        <f>D55-G55</f>
        <v>0</v>
      </c>
      <c r="I55" s="438"/>
    </row>
    <row r="56" spans="1:1024" customHeight="1" ht="18.6">
      <c r="A56" s="430"/>
      <c r="B56" s="11" t="s">
        <v>437</v>
      </c>
      <c r="C56" s="12" t="s">
        <v>755</v>
      </c>
      <c r="D56" s="268">
        <v>25.28</v>
      </c>
      <c r="E56" s="14" t="s">
        <v>756</v>
      </c>
      <c r="F56" s="271">
        <v>44697</v>
      </c>
      <c r="G56" s="272">
        <v>25.28</v>
      </c>
      <c r="H56" s="17" t="str">
        <f>D56-G56</f>
        <v>0</v>
      </c>
      <c r="I56" s="269"/>
    </row>
    <row r="57" spans="1:1024" customHeight="1" ht="18.6">
      <c r="A57" s="430"/>
      <c r="B57" s="11" t="s">
        <v>300</v>
      </c>
      <c r="C57" s="12" t="s">
        <v>320</v>
      </c>
      <c r="D57" s="268">
        <v>15.24</v>
      </c>
      <c r="E57" s="14" t="s">
        <v>321</v>
      </c>
      <c r="F57" s="15">
        <v>44700</v>
      </c>
      <c r="G57" s="16">
        <v>15.24</v>
      </c>
      <c r="H57" s="17" t="str">
        <f>D57-G57</f>
        <v>0</v>
      </c>
      <c r="I57" s="269"/>
    </row>
    <row r="58" spans="1:1024" customHeight="1" ht="18.6">
      <c r="A58" s="430"/>
      <c r="B58" s="11" t="s">
        <v>300</v>
      </c>
      <c r="C58" s="12" t="s">
        <v>324</v>
      </c>
      <c r="D58" s="268">
        <v>93.87</v>
      </c>
      <c r="E58" s="14"/>
      <c r="F58" s="271">
        <v>44700</v>
      </c>
      <c r="G58" s="272">
        <v>93.87</v>
      </c>
      <c r="H58" s="17" t="str">
        <f>D58-G58</f>
        <v>0</v>
      </c>
      <c r="I58" s="269"/>
    </row>
    <row r="59" spans="1:1024" customHeight="1" ht="18.6">
      <c r="A59" s="430"/>
      <c r="B59" s="11" t="s">
        <v>573</v>
      </c>
      <c r="C59" s="12" t="s">
        <v>574</v>
      </c>
      <c r="D59" s="274">
        <v>588</v>
      </c>
      <c r="E59" s="275" t="s">
        <v>665</v>
      </c>
      <c r="F59" s="276">
        <v>44701</v>
      </c>
      <c r="G59" s="277">
        <v>588</v>
      </c>
      <c r="H59" s="17" t="str">
        <f>D59-G59</f>
        <v>0</v>
      </c>
      <c r="I59" s="269"/>
    </row>
    <row r="60" spans="1:1024" customHeight="1" ht="18.6">
      <c r="A60" s="430"/>
      <c r="B60" s="11" t="s">
        <v>119</v>
      </c>
      <c r="C60" s="12" t="s">
        <v>757</v>
      </c>
      <c r="D60" s="13">
        <v>-117.6</v>
      </c>
      <c r="E60" s="439" t="s">
        <v>758</v>
      </c>
      <c r="F60" s="271">
        <v>44701</v>
      </c>
      <c r="G60" s="272">
        <v>-117.6</v>
      </c>
      <c r="H60" s="17" t="str">
        <f>D60-G60</f>
        <v>0</v>
      </c>
      <c r="I60" s="269"/>
    </row>
    <row r="61" spans="1:1024" customHeight="1" ht="18.6">
      <c r="A61" s="430"/>
      <c r="B61" s="11" t="s">
        <v>119</v>
      </c>
      <c r="C61" s="12" t="s">
        <v>759</v>
      </c>
      <c r="D61" s="268">
        <v>83</v>
      </c>
      <c r="E61" s="14" t="s">
        <v>760</v>
      </c>
      <c r="F61" s="271">
        <v>44701</v>
      </c>
      <c r="G61" s="272">
        <v>83</v>
      </c>
      <c r="H61" s="17" t="str">
        <f>D61-G61</f>
        <v>0</v>
      </c>
      <c r="I61" s="269"/>
    </row>
    <row r="62" spans="1:1024" customHeight="1" ht="18.6">
      <c r="A62" s="430"/>
      <c r="B62" s="431" t="s">
        <v>327</v>
      </c>
      <c r="C62" s="440" t="s">
        <v>328</v>
      </c>
      <c r="D62" s="433">
        <v>6112</v>
      </c>
      <c r="E62" s="434" t="s">
        <v>666</v>
      </c>
      <c r="F62" s="435">
        <v>44702</v>
      </c>
      <c r="G62" s="436">
        <v>6112</v>
      </c>
      <c r="H62" s="437" t="str">
        <f>D62-G62</f>
        <v>0</v>
      </c>
      <c r="I62" s="438"/>
    </row>
    <row r="63" spans="1:1024" customHeight="1" ht="18.6">
      <c r="A63" s="430"/>
      <c r="B63" s="343" t="s">
        <v>761</v>
      </c>
      <c r="C63" s="432"/>
      <c r="D63" s="441">
        <v>1659.59</v>
      </c>
      <c r="E63" s="442"/>
      <c r="F63" s="443">
        <v>44702</v>
      </c>
      <c r="G63" s="444">
        <v>1659.59</v>
      </c>
      <c r="H63" s="437" t="str">
        <f>D63-G63</f>
        <v>0</v>
      </c>
      <c r="I63" s="438"/>
    </row>
    <row r="64" spans="1:1024" customHeight="1" ht="18.6">
      <c r="A64" s="430"/>
      <c r="B64" s="11" t="s">
        <v>314</v>
      </c>
      <c r="C64" s="12"/>
      <c r="D64" s="268">
        <v>38</v>
      </c>
      <c r="E64" s="14"/>
      <c r="F64" s="271">
        <v>44702</v>
      </c>
      <c r="G64" s="272">
        <v>38</v>
      </c>
      <c r="H64" s="17" t="str">
        <f>D64-G64</f>
        <v>0</v>
      </c>
      <c r="I64" s="269"/>
    </row>
    <row r="65" spans="1:1024" customHeight="1" ht="18.6">
      <c r="A65" s="430"/>
      <c r="B65" s="11" t="s">
        <v>314</v>
      </c>
      <c r="C65" s="12"/>
      <c r="D65" s="268">
        <v>31</v>
      </c>
      <c r="E65" s="14"/>
      <c r="F65" s="271">
        <v>44702</v>
      </c>
      <c r="G65" s="272">
        <v>31</v>
      </c>
      <c r="H65" s="17" t="str">
        <f>D65-G65</f>
        <v>0</v>
      </c>
      <c r="I65" s="269"/>
    </row>
    <row r="66" spans="1:1024" customHeight="1" ht="18.6">
      <c r="A66" s="430"/>
      <c r="B66" s="11" t="s">
        <v>314</v>
      </c>
      <c r="C66" s="12"/>
      <c r="D66" s="274">
        <v>31</v>
      </c>
      <c r="E66" s="275"/>
      <c r="F66" s="276">
        <v>44702</v>
      </c>
      <c r="G66" s="277">
        <v>31</v>
      </c>
      <c r="H66" s="17" t="str">
        <f>D66-G66</f>
        <v>0</v>
      </c>
      <c r="I66" s="269"/>
    </row>
    <row r="67" spans="1:1024" customHeight="1" ht="18.6">
      <c r="A67" s="430"/>
      <c r="B67" s="11" t="s">
        <v>314</v>
      </c>
      <c r="C67" s="12" t="s">
        <v>325</v>
      </c>
      <c r="D67" s="268">
        <v>35.19</v>
      </c>
      <c r="E67" s="14" t="s">
        <v>326</v>
      </c>
      <c r="F67" s="271">
        <v>44702</v>
      </c>
      <c r="G67" s="272">
        <v>35.19</v>
      </c>
      <c r="H67" s="17" t="str">
        <f>D67-G67</f>
        <v>0</v>
      </c>
      <c r="I67" s="269"/>
    </row>
    <row r="68" spans="1:1024" customHeight="1" ht="18.6">
      <c r="A68" s="430"/>
      <c r="B68" s="343" t="s">
        <v>762</v>
      </c>
      <c r="C68" s="440"/>
      <c r="D68" s="433">
        <v>2054.49</v>
      </c>
      <c r="E68" s="434" t="s">
        <v>667</v>
      </c>
      <c r="F68" s="435">
        <v>44706</v>
      </c>
      <c r="G68" s="436">
        <v>2054.49</v>
      </c>
      <c r="H68" s="437" t="str">
        <f>D68-G68</f>
        <v>0</v>
      </c>
      <c r="I68" s="438"/>
    </row>
    <row r="69" spans="1:1024" customHeight="1" ht="18.6">
      <c r="A69" s="430"/>
      <c r="B69" s="11" t="s">
        <v>448</v>
      </c>
      <c r="C69" s="12" t="s">
        <v>449</v>
      </c>
      <c r="D69" s="274">
        <v>1260</v>
      </c>
      <c r="E69" s="275" t="s">
        <v>450</v>
      </c>
      <c r="F69" s="271">
        <v>44706</v>
      </c>
      <c r="G69" s="277">
        <v>1260</v>
      </c>
      <c r="H69" s="17" t="str">
        <f>D69-G69</f>
        <v>0</v>
      </c>
      <c r="I69" s="269"/>
    </row>
    <row r="70" spans="1:1024" customHeight="1" ht="18.6">
      <c r="A70" s="430"/>
      <c r="B70" s="280" t="s">
        <v>35</v>
      </c>
      <c r="C70" s="12" t="s">
        <v>572</v>
      </c>
      <c r="D70" s="369">
        <v>2029.45</v>
      </c>
      <c r="E70" s="275"/>
      <c r="F70" s="276">
        <v>44706</v>
      </c>
      <c r="G70" s="277">
        <v>2029.45</v>
      </c>
      <c r="H70" s="445" t="str">
        <f>D70-G70</f>
        <v>0</v>
      </c>
      <c r="I70" s="372"/>
    </row>
    <row r="71" spans="1:1024" customHeight="1" ht="18.6">
      <c r="A71" s="430"/>
      <c r="B71" s="280" t="s">
        <v>668</v>
      </c>
      <c r="C71" s="12" t="s">
        <v>669</v>
      </c>
      <c r="D71" s="369">
        <v>34.62</v>
      </c>
      <c r="E71" s="275" t="s">
        <v>670</v>
      </c>
      <c r="F71" s="276">
        <v>44706</v>
      </c>
      <c r="G71" s="277">
        <v>34.62</v>
      </c>
      <c r="H71" s="445" t="str">
        <f>D71-G71</f>
        <v>0</v>
      </c>
      <c r="I71" s="446"/>
    </row>
    <row r="72" spans="1:1024" customHeight="1" ht="18.6">
      <c r="A72" s="430"/>
      <c r="B72" s="11" t="s">
        <v>338</v>
      </c>
      <c r="C72" s="12" t="s">
        <v>339</v>
      </c>
      <c r="D72" s="268">
        <v>5283.09</v>
      </c>
      <c r="E72" s="14"/>
      <c r="F72" s="271">
        <v>44707</v>
      </c>
      <c r="G72" s="272">
        <v>5283.09</v>
      </c>
      <c r="H72" s="17" t="str">
        <f>D72-G72</f>
        <v>0</v>
      </c>
      <c r="I72" s="269"/>
    </row>
    <row r="73" spans="1:1024" customHeight="1" ht="18.6">
      <c r="A73" s="430"/>
      <c r="B73" s="280" t="s">
        <v>445</v>
      </c>
      <c r="C73" s="12"/>
      <c r="D73" s="369">
        <v>919.8</v>
      </c>
      <c r="E73" s="275" t="s">
        <v>682</v>
      </c>
      <c r="F73" s="276">
        <v>44712</v>
      </c>
      <c r="G73" s="277">
        <v>919.8</v>
      </c>
      <c r="H73" s="17" t="str">
        <f>D73-G73</f>
        <v>0</v>
      </c>
      <c r="I73" s="372"/>
    </row>
    <row r="74" spans="1:1024" customHeight="1" ht="18.6">
      <c r="A74" s="430"/>
      <c r="B74" s="280" t="s">
        <v>763</v>
      </c>
      <c r="C74" s="12" t="s">
        <v>764</v>
      </c>
      <c r="D74" s="447">
        <v>-186.77</v>
      </c>
      <c r="E74" s="275" t="s">
        <v>253</v>
      </c>
      <c r="F74" s="276">
        <v>44712</v>
      </c>
      <c r="G74" s="277">
        <v>-186.77</v>
      </c>
      <c r="H74" s="17" t="str">
        <f>D74-G74</f>
        <v>0</v>
      </c>
      <c r="I74" s="372"/>
    </row>
    <row r="75" spans="1:1024" customHeight="1" ht="18.6">
      <c r="A75" s="430"/>
      <c r="B75" s="280" t="s">
        <v>763</v>
      </c>
      <c r="C75" s="12" t="s">
        <v>765</v>
      </c>
      <c r="D75" s="369">
        <v>255.53</v>
      </c>
      <c r="E75" s="275" t="s">
        <v>253</v>
      </c>
      <c r="F75" s="276">
        <v>44712</v>
      </c>
      <c r="G75" s="277">
        <v>255.53</v>
      </c>
      <c r="H75" s="17" t="str">
        <f>D75-G75</f>
        <v>0</v>
      </c>
      <c r="I75" s="372"/>
    </row>
    <row r="76" spans="1:1024" customHeight="1" ht="18.6">
      <c r="A76" s="430"/>
      <c r="B76" s="280" t="s">
        <v>379</v>
      </c>
      <c r="C76" s="12" t="s">
        <v>766</v>
      </c>
      <c r="D76" s="369">
        <v>307.8</v>
      </c>
      <c r="E76" s="275" t="s">
        <v>767</v>
      </c>
      <c r="F76" s="276">
        <v>44706</v>
      </c>
      <c r="G76" s="277">
        <v>307.8</v>
      </c>
      <c r="H76" s="17" t="str">
        <f>D76-G76</f>
        <v>0</v>
      </c>
      <c r="I76" s="372"/>
    </row>
    <row r="77" spans="1:1024" customHeight="1" ht="18.6">
      <c r="A77" s="430"/>
      <c r="B77" s="280"/>
      <c r="C77" s="12"/>
      <c r="D77" s="369"/>
      <c r="E77" s="275"/>
      <c r="F77" s="276"/>
      <c r="G77" s="277"/>
      <c r="H77" s="445"/>
      <c r="I77" s="372"/>
    </row>
    <row r="78" spans="1:1024" customHeight="1" ht="18.6">
      <c r="A78" s="430"/>
      <c r="B78" s="280"/>
      <c r="C78" s="12"/>
      <c r="D78" s="369"/>
      <c r="E78" s="275"/>
      <c r="F78" s="276"/>
      <c r="G78" s="277"/>
      <c r="H78" s="445"/>
      <c r="I78" s="372"/>
    </row>
    <row r="79" spans="1:1024" customHeight="1" ht="18.6">
      <c r="A79" s="430"/>
      <c r="B79" s="280"/>
      <c r="C79" s="12"/>
      <c r="D79" s="369"/>
      <c r="E79" s="275"/>
      <c r="F79" s="276"/>
      <c r="G79" s="277"/>
      <c r="H79" s="445"/>
      <c r="I79" s="269"/>
    </row>
    <row r="80" spans="1:1024" customHeight="1" ht="18.6">
      <c r="A80" s="430"/>
      <c r="B80" s="28" t="s">
        <v>35</v>
      </c>
      <c r="C80" s="22"/>
      <c r="D80" s="29" t="str">
        <f>SUM(D37:D70)</f>
        <v>0</v>
      </c>
      <c r="E80" s="24"/>
      <c r="F80" s="25"/>
      <c r="G80" s="26"/>
      <c r="H80" s="30" t="str">
        <f>+SUM(H37:H79)</f>
        <v>0</v>
      </c>
      <c r="I80" s="429"/>
    </row>
    <row r="81" spans="1:1024" customHeight="1" ht="18.6">
      <c r="A81" s="376" t="s">
        <v>341</v>
      </c>
      <c r="B81" s="11" t="s">
        <v>554</v>
      </c>
      <c r="C81" s="12"/>
      <c r="D81" s="268">
        <v>1100</v>
      </c>
      <c r="E81" s="14" t="s">
        <v>555</v>
      </c>
      <c r="F81" s="271">
        <v>44657</v>
      </c>
      <c r="G81" s="272">
        <v>1100</v>
      </c>
      <c r="H81" s="17" t="str">
        <f>D81-G81</f>
        <v>0</v>
      </c>
      <c r="I81" s="269"/>
    </row>
    <row r="82" spans="1:1024" customHeight="1" ht="18.6">
      <c r="A82" s="376"/>
      <c r="B82" s="11" t="s">
        <v>559</v>
      </c>
      <c r="C82" s="12"/>
      <c r="D82" s="268">
        <v>500</v>
      </c>
      <c r="E82" s="14" t="s">
        <v>462</v>
      </c>
      <c r="F82" s="271">
        <v>44657</v>
      </c>
      <c r="G82" s="272">
        <v>500</v>
      </c>
      <c r="H82" s="17" t="str">
        <f>D82-G82</f>
        <v>0</v>
      </c>
      <c r="I82" s="269"/>
    </row>
    <row r="83" spans="1:1024" customHeight="1" ht="18.6">
      <c r="A83" s="376"/>
      <c r="B83" s="11" t="s">
        <v>686</v>
      </c>
      <c r="C83" s="12" t="s">
        <v>687</v>
      </c>
      <c r="D83" s="268">
        <v>2100</v>
      </c>
      <c r="E83" s="14" t="s">
        <v>688</v>
      </c>
      <c r="F83" s="271">
        <v>44657</v>
      </c>
      <c r="G83" s="272">
        <v>2100</v>
      </c>
      <c r="H83" s="17" t="str">
        <f>D83-G83</f>
        <v>0</v>
      </c>
      <c r="I83" s="269"/>
    </row>
    <row r="84" spans="1:1024" customHeight="1" ht="18.6">
      <c r="A84" s="376"/>
      <c r="B84" s="11" t="s">
        <v>768</v>
      </c>
      <c r="C84" s="12"/>
      <c r="D84" s="268">
        <v>600</v>
      </c>
      <c r="E84" s="14" t="s">
        <v>769</v>
      </c>
      <c r="F84" s="271"/>
      <c r="G84" s="272">
        <v>600</v>
      </c>
      <c r="H84" s="17" t="str">
        <f>D84-G84</f>
        <v>0</v>
      </c>
      <c r="I84" s="269"/>
    </row>
    <row r="85" spans="1:1024" customHeight="1" ht="19.5">
      <c r="A85" s="376"/>
      <c r="B85" s="403" t="s">
        <v>361</v>
      </c>
      <c r="C85" s="400" t="s">
        <v>770</v>
      </c>
      <c r="D85" s="266">
        <v>5641.44</v>
      </c>
      <c r="E85" s="222" t="s">
        <v>771</v>
      </c>
      <c r="F85" s="448">
        <v>44712</v>
      </c>
      <c r="G85" s="449"/>
      <c r="H85" s="450" t="str">
        <f>D85-G85</f>
        <v>0</v>
      </c>
      <c r="I85" s="451"/>
    </row>
    <row r="86" spans="1:1024" customHeight="1" ht="19.5">
      <c r="A86" s="376"/>
      <c r="B86" s="403" t="s">
        <v>361</v>
      </c>
      <c r="C86" s="400" t="s">
        <v>772</v>
      </c>
      <c r="D86" s="266">
        <v>44111</v>
      </c>
      <c r="E86" s="222" t="s">
        <v>773</v>
      </c>
      <c r="F86" s="448">
        <v>44712</v>
      </c>
      <c r="G86" s="449"/>
      <c r="H86" s="450" t="str">
        <f>D86-G86</f>
        <v>0</v>
      </c>
      <c r="I86" s="451"/>
    </row>
    <row r="87" spans="1:1024" customHeight="1" ht="19.5">
      <c r="A87" s="376"/>
      <c r="B87" s="403" t="s">
        <v>361</v>
      </c>
      <c r="C87" s="400" t="s">
        <v>774</v>
      </c>
      <c r="D87" s="266">
        <v>3348.48</v>
      </c>
      <c r="E87" s="222" t="s">
        <v>771</v>
      </c>
      <c r="F87" s="448">
        <v>44712</v>
      </c>
      <c r="G87" s="449"/>
      <c r="H87" s="450" t="str">
        <f>D87-G87</f>
        <v>0</v>
      </c>
      <c r="I87" s="451"/>
    </row>
    <row r="88" spans="1:1024" customHeight="1" ht="19.5">
      <c r="A88" s="376"/>
      <c r="B88" s="403" t="s">
        <v>361</v>
      </c>
      <c r="C88" s="400" t="s">
        <v>775</v>
      </c>
      <c r="D88" s="266">
        <v>25117.02</v>
      </c>
      <c r="E88" s="222" t="s">
        <v>776</v>
      </c>
      <c r="F88" s="448">
        <v>44712</v>
      </c>
      <c r="G88" s="449"/>
      <c r="H88" s="450" t="str">
        <f>D88-G88</f>
        <v>0</v>
      </c>
      <c r="I88" s="451"/>
    </row>
    <row r="89" spans="1:1024" customHeight="1" ht="18.6">
      <c r="A89" s="376"/>
      <c r="B89" s="11" t="s">
        <v>187</v>
      </c>
      <c r="C89" s="12" t="s">
        <v>777</v>
      </c>
      <c r="D89" s="268">
        <v>3000</v>
      </c>
      <c r="E89" s="14" t="s">
        <v>771</v>
      </c>
      <c r="F89" s="271">
        <v>44712</v>
      </c>
      <c r="G89" s="272">
        <v>3000</v>
      </c>
      <c r="H89" s="17" t="str">
        <f>D89-G89</f>
        <v>0</v>
      </c>
      <c r="I89" s="269"/>
    </row>
    <row r="90" spans="1:1024" customHeight="1" ht="18.6">
      <c r="A90" s="376"/>
      <c r="B90" s="11" t="s">
        <v>778</v>
      </c>
      <c r="C90" s="12" t="s">
        <v>779</v>
      </c>
      <c r="D90" s="268">
        <v>675</v>
      </c>
      <c r="E90" s="14" t="s">
        <v>771</v>
      </c>
      <c r="F90" s="271">
        <v>44691</v>
      </c>
      <c r="G90" s="272">
        <v>675</v>
      </c>
      <c r="H90" s="17" t="str">
        <f>D90-G90</f>
        <v>0</v>
      </c>
      <c r="I90" s="269"/>
    </row>
    <row r="91" spans="1:1024" customHeight="1" ht="18.6">
      <c r="A91" s="376"/>
      <c r="B91" s="11" t="s">
        <v>148</v>
      </c>
      <c r="C91" s="12" t="s">
        <v>780</v>
      </c>
      <c r="D91" s="268">
        <v>808.2</v>
      </c>
      <c r="E91" s="14"/>
      <c r="F91" s="271">
        <v>44696</v>
      </c>
      <c r="G91" s="272"/>
      <c r="H91" s="17" t="str">
        <f>D91-G91</f>
        <v>0</v>
      </c>
      <c r="I91" s="269"/>
    </row>
    <row r="92" spans="1:1024" customHeight="1" ht="20.25">
      <c r="A92" s="376"/>
      <c r="B92" s="11" t="s">
        <v>349</v>
      </c>
      <c r="C92" s="12" t="s">
        <v>781</v>
      </c>
      <c r="D92" s="268">
        <v>1371.92</v>
      </c>
      <c r="E92" s="14" t="s">
        <v>782</v>
      </c>
      <c r="F92" s="271">
        <v>44711</v>
      </c>
      <c r="G92" s="452">
        <v>1371.92</v>
      </c>
      <c r="H92" s="17" t="str">
        <f>D92-G92</f>
        <v>0</v>
      </c>
      <c r="I92" s="269"/>
    </row>
    <row r="93" spans="1:1024" customHeight="1" ht="20.25">
      <c r="A93" s="376"/>
      <c r="B93" s="11" t="s">
        <v>606</v>
      </c>
      <c r="C93" s="12" t="s">
        <v>783</v>
      </c>
      <c r="D93" s="268">
        <v>2400</v>
      </c>
      <c r="E93" s="14" t="s">
        <v>352</v>
      </c>
      <c r="F93" s="271">
        <v>44711</v>
      </c>
      <c r="G93" s="272">
        <v>2400</v>
      </c>
      <c r="H93" s="17" t="str">
        <f>D93-G93</f>
        <v>0</v>
      </c>
      <c r="I93" s="269"/>
    </row>
    <row r="94" spans="1:1024" customHeight="1" ht="20.25">
      <c r="A94" s="376"/>
      <c r="B94" s="11" t="s">
        <v>784</v>
      </c>
      <c r="C94" s="323" t="s">
        <v>785</v>
      </c>
      <c r="D94" s="268">
        <v>577.8</v>
      </c>
      <c r="E94" s="14" t="s">
        <v>786</v>
      </c>
      <c r="F94" s="324">
        <v>44670</v>
      </c>
      <c r="G94" s="272">
        <v>577.8</v>
      </c>
      <c r="H94" s="17" t="str">
        <f>D94-G94</f>
        <v>0</v>
      </c>
      <c r="I94" s="325"/>
    </row>
    <row r="95" spans="1:1024" customHeight="1" ht="20.25">
      <c r="A95" s="376"/>
      <c r="B95" s="11" t="s">
        <v>489</v>
      </c>
      <c r="C95" s="323" t="s">
        <v>787</v>
      </c>
      <c r="D95" s="268">
        <v>28686.88</v>
      </c>
      <c r="E95" s="14" t="s">
        <v>697</v>
      </c>
      <c r="F95" s="324">
        <v>44696</v>
      </c>
      <c r="G95" s="272">
        <v>28686.88</v>
      </c>
      <c r="H95" s="17" t="str">
        <f>D95-G95</f>
        <v>0</v>
      </c>
      <c r="I95" s="325"/>
    </row>
    <row r="96" spans="1:1024" customHeight="1" ht="20.25">
      <c r="A96" s="376"/>
      <c r="B96" s="11"/>
      <c r="C96" s="12"/>
      <c r="D96" s="268"/>
      <c r="E96" s="14"/>
      <c r="F96" s="271"/>
      <c r="G96" s="272"/>
      <c r="H96" s="17" t="str">
        <f>D96-G96</f>
        <v>0</v>
      </c>
      <c r="I96" s="328"/>
    </row>
    <row r="97" spans="1:1024" customHeight="1" ht="20.25">
      <c r="A97" s="376"/>
      <c r="B97" s="322"/>
      <c r="C97" s="323"/>
      <c r="D97" s="268"/>
      <c r="E97" s="14"/>
      <c r="F97" s="324"/>
      <c r="G97" s="272"/>
      <c r="H97" s="17" t="str">
        <f>D97-G97</f>
        <v>0</v>
      </c>
      <c r="I97" s="325"/>
    </row>
    <row r="98" spans="1:1024" customHeight="1" ht="20.25">
      <c r="A98" s="376"/>
      <c r="B98" s="322"/>
      <c r="C98" s="323"/>
      <c r="D98" s="268"/>
      <c r="E98" s="330"/>
      <c r="F98" s="324"/>
      <c r="G98" s="272"/>
      <c r="H98" s="17" t="str">
        <f>D98-G98</f>
        <v>0</v>
      </c>
      <c r="I98" s="325"/>
    </row>
    <row r="99" spans="1:1024" customHeight="1" ht="20.25">
      <c r="A99" s="376"/>
      <c r="B99" s="322"/>
      <c r="C99" s="323"/>
      <c r="D99" s="268"/>
      <c r="E99" s="330"/>
      <c r="F99" s="324"/>
      <c r="G99" s="272"/>
      <c r="H99" s="17" t="str">
        <f>D99-G99</f>
        <v>0</v>
      </c>
      <c r="I99" s="325"/>
    </row>
    <row r="100" spans="1:1024" customHeight="1" ht="18.6">
      <c r="A100" s="376"/>
      <c r="B100" s="311" t="s">
        <v>35</v>
      </c>
      <c r="C100" s="312"/>
      <c r="D100" s="313" t="str">
        <f>SUM(D81:D99)</f>
        <v>0</v>
      </c>
      <c r="E100" s="314"/>
      <c r="F100" s="315"/>
      <c r="G100" s="316"/>
      <c r="H100" s="295" t="str">
        <f>+SUM(H81:H96)</f>
        <v>0</v>
      </c>
      <c r="I100" s="296"/>
    </row>
    <row r="101" spans="1:1024" customHeight="1" ht="21">
      <c r="A101" s="331"/>
      <c r="B101" s="31"/>
      <c r="C101" s="32"/>
      <c r="D101" s="33"/>
      <c r="E101" s="34"/>
    </row>
    <row r="102" spans="1:1024" customHeight="1" ht="21">
      <c r="A102" s="332" t="s">
        <v>388</v>
      </c>
      <c r="B102" s="35"/>
      <c r="C102" s="333"/>
      <c r="D102" s="334" t="str">
        <f>+SUM(D100+D80+D36)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6"/>
    <mergeCell ref="K3:L3"/>
    <mergeCell ref="K4:L4"/>
    <mergeCell ref="K7:L7"/>
    <mergeCell ref="K10:M10"/>
    <mergeCell ref="A37:A80"/>
    <mergeCell ref="A81:A100"/>
  </mergeCells>
  <conditionalFormatting sqref="B50:G51">
    <cfRule type="expression" dxfId="0" priority="1">
      <formula>MOD(ROW(),2)=1</formula>
    </cfRule>
  </conditionalFormatting>
  <conditionalFormatting sqref="F94:G95">
    <cfRule type="expression" dxfId="0" priority="2">
      <formula>MOD(ROW(),2)=1</formula>
    </cfRule>
  </conditionalFormatting>
  <conditionalFormatting sqref="B64:G64">
    <cfRule type="expression" dxfId="0" priority="3">
      <formula>MOD(ROW(),2)=1</formula>
    </cfRule>
  </conditionalFormatting>
  <conditionalFormatting sqref="I56:I57">
    <cfRule type="expression" dxfId="0" priority="4">
      <formula>MOD(ROW(),2)=1</formula>
    </cfRule>
  </conditionalFormatting>
  <conditionalFormatting sqref="B70:I70">
    <cfRule type="expression" dxfId="0" priority="5">
      <formula>MOD(ROW(),2)=1</formula>
    </cfRule>
  </conditionalFormatting>
  <conditionalFormatting sqref="B67:G67">
    <cfRule type="expression" dxfId="0" priority="6">
      <formula>MOD(ROW(),2)=1</formula>
    </cfRule>
  </conditionalFormatting>
  <conditionalFormatting sqref="B80:G93">
    <cfRule type="expression" dxfId="0" priority="7">
      <formula>MOD(ROW(),2)=1</formula>
    </cfRule>
  </conditionalFormatting>
  <conditionalFormatting sqref="B56:G57">
    <cfRule type="expression" dxfId="0" priority="8">
      <formula>MOD(ROW(),2)=1</formula>
    </cfRule>
  </conditionalFormatting>
  <conditionalFormatting sqref="B59:G59">
    <cfRule type="expression" dxfId="0" priority="9">
      <formula>MOD(ROW(),2)=1</formula>
    </cfRule>
  </conditionalFormatting>
  <conditionalFormatting sqref="I59">
    <cfRule type="expression" dxfId="0" priority="10">
      <formula>MOD(ROW(),2)=1</formula>
    </cfRule>
  </conditionalFormatting>
  <conditionalFormatting sqref="G41">
    <cfRule type="cellIs" dxfId="3" priority="11" operator="lessThan">
      <formula>TODAY()</formula>
    </cfRule>
    <cfRule type="timePeriod" dxfId="1" priority="12" timePeriod="last7Days">
      <formula/>
    </cfRule>
    <cfRule type="timePeriod" dxfId="1" priority="13" timePeriod="yesterday">
      <formula/>
    </cfRule>
    <cfRule type="timePeriod" dxfId="1" priority="14" timePeriod="lastMonth">
      <formula/>
    </cfRule>
    <cfRule type="timePeriod" dxfId="1" priority="15" timePeriod="yesterday">
      <formula/>
    </cfRule>
    <cfRule type="timePeriod" dxfId="1" priority="16" timePeriod="today">
      <formula/>
    </cfRule>
  </conditionalFormatting>
  <conditionalFormatting sqref="B41:E41">
    <cfRule type="expression" dxfId="0" priority="17">
      <formula>MOD(ROW(),2)=1</formula>
    </cfRule>
  </conditionalFormatting>
  <conditionalFormatting sqref="I41">
    <cfRule type="expression" dxfId="0" priority="18">
      <formula>MOD(ROW(),2)=1</formula>
    </cfRule>
  </conditionalFormatting>
  <conditionalFormatting sqref="F41:F46">
    <cfRule type="cellIs" dxfId="3" priority="19" operator="lessThan">
      <formula>TODAY()</formula>
    </cfRule>
    <cfRule type="timePeriod" dxfId="1" priority="20" timePeriod="last7Days">
      <formula/>
    </cfRule>
    <cfRule type="timePeriod" dxfId="1" priority="21" timePeriod="yesterday">
      <formula/>
    </cfRule>
    <cfRule type="timePeriod" dxfId="1" priority="22" timePeriod="lastMonth">
      <formula/>
    </cfRule>
    <cfRule type="timePeriod" dxfId="1" priority="23" timePeriod="yesterday">
      <formula/>
    </cfRule>
    <cfRule type="timePeriod" dxfId="1" priority="24" timePeriod="today">
      <formula/>
    </cfRule>
  </conditionalFormatting>
  <conditionalFormatting sqref="B94:D95">
    <cfRule type="expression" dxfId="0" priority="25">
      <formula>MOD(ROW(),2)=1</formula>
    </cfRule>
  </conditionalFormatting>
  <conditionalFormatting sqref="I2:I4">
    <cfRule type="expression" dxfId="0" priority="26">
      <formula>MOD(ROW(),2)=1</formula>
    </cfRule>
  </conditionalFormatting>
  <conditionalFormatting sqref="G2:G12">
    <cfRule type="cellIs" dxfId="3" priority="27" operator="lessThan">
      <formula>TODAY()</formula>
    </cfRule>
    <cfRule type="timePeriod" dxfId="1" priority="28" timePeriod="last7Days">
      <formula/>
    </cfRule>
    <cfRule type="timePeriod" dxfId="1" priority="29" timePeriod="yesterday">
      <formula/>
    </cfRule>
    <cfRule type="timePeriod" dxfId="1" priority="30" timePeriod="lastMonth">
      <formula/>
    </cfRule>
    <cfRule type="timePeriod" dxfId="1" priority="31" timePeriod="yesterday">
      <formula/>
    </cfRule>
    <cfRule type="timePeriod" dxfId="1" priority="32" timePeriod="today">
      <formula/>
    </cfRule>
  </conditionalFormatting>
  <conditionalFormatting sqref="B2:F17">
    <cfRule type="expression" dxfId="0" priority="33">
      <formula>MOD(ROW(),2)=1</formula>
    </cfRule>
  </conditionalFormatting>
  <conditionalFormatting sqref="B98:G100">
    <cfRule type="expression" dxfId="0" priority="34">
      <formula>MOD(ROW(),2)=1</formula>
    </cfRule>
  </conditionalFormatting>
  <conditionalFormatting sqref="I81:I100">
    <cfRule type="expression" dxfId="0" priority="35">
      <formula>MOD(ROW(),2)=1</formula>
    </cfRule>
  </conditionalFormatting>
  <conditionalFormatting sqref="H81:H99">
    <cfRule type="expression" dxfId="0" priority="36">
      <formula>MOD(ROW(),2)=1</formula>
    </cfRule>
  </conditionalFormatting>
  <conditionalFormatting sqref="H37:H69">
    <cfRule type="expression" dxfId="0" priority="37">
      <formula>MOD(ROW(),2)=1</formula>
    </cfRule>
  </conditionalFormatting>
  <conditionalFormatting sqref="B97:D97">
    <cfRule type="expression" dxfId="0" priority="38">
      <formula>MOD(ROW(),2)=1</formula>
    </cfRule>
  </conditionalFormatting>
  <conditionalFormatting sqref="F97:G97">
    <cfRule type="expression" dxfId="0" priority="39">
      <formula>MOD(ROW(),2)=1</formula>
    </cfRule>
  </conditionalFormatting>
  <conditionalFormatting sqref="G96">
    <cfRule type="cellIs" dxfId="3" priority="40" operator="lessThan">
      <formula>TODAY()</formula>
    </cfRule>
    <cfRule type="timePeriod" dxfId="1" priority="41" timePeriod="last7Days">
      <formula/>
    </cfRule>
    <cfRule type="timePeriod" dxfId="1" priority="42" timePeriod="yesterday">
      <formula/>
    </cfRule>
    <cfRule type="timePeriod" dxfId="1" priority="43" timePeriod="lastMonth">
      <formula/>
    </cfRule>
    <cfRule type="timePeriod" dxfId="1" priority="44" timePeriod="yesterday">
      <formula/>
    </cfRule>
    <cfRule type="timePeriod" dxfId="1" priority="45" timePeriod="today">
      <formula/>
    </cfRule>
  </conditionalFormatting>
  <conditionalFormatting sqref="I6:I20">
    <cfRule type="expression" dxfId="0" priority="46">
      <formula>MOD(ROW(),2)=1</formula>
    </cfRule>
  </conditionalFormatting>
  <conditionalFormatting sqref="D22:G34">
    <cfRule type="expression" dxfId="0" priority="47">
      <formula>MOD(ROW(),2)=1</formula>
    </cfRule>
  </conditionalFormatting>
  <conditionalFormatting sqref="H2:H35">
    <cfRule type="expression" dxfId="0" priority="48">
      <formula>MOD(ROW(),2)=1</formula>
    </cfRule>
  </conditionalFormatting>
  <conditionalFormatting sqref="B21:C35">
    <cfRule type="expression" dxfId="0" priority="49">
      <formula>MOD(ROW(),2)=1</formula>
    </cfRule>
  </conditionalFormatting>
  <conditionalFormatting sqref="I22:I34">
    <cfRule type="expression" dxfId="0" priority="50">
      <formula>MOD(ROW(),2)=1</formula>
    </cfRule>
  </conditionalFormatting>
  <conditionalFormatting sqref="G2:G5">
    <cfRule type="timePeriod" dxfId="1" priority="51" timePeriod="yesterday">
      <formula/>
    </cfRule>
    <cfRule type="timePeriod" dxfId="1" priority="52" timePeriod="today">
      <formula/>
    </cfRule>
    <cfRule type="cellIs" dxfId="2" priority="53" operator="lessThan">
      <formula>_xludf.today()</formula>
    </cfRule>
  </conditionalFormatting>
  <conditionalFormatting sqref="F50:G51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F64:G64">
    <cfRule type="cellIs" dxfId="3" priority="60" operator="lessThan">
      <formula>TODAY()</formula>
    </cfRule>
    <cfRule type="timePeriod" dxfId="1" priority="61" timePeriod="last7Days">
      <formula/>
    </cfRule>
    <cfRule type="timePeriod" dxfId="1" priority="62" timePeriod="yesterday">
      <formula/>
    </cfRule>
    <cfRule type="timePeriod" dxfId="1" priority="63" timePeriod="lastMonth">
      <formula/>
    </cfRule>
    <cfRule type="timePeriod" dxfId="1" priority="64" timePeriod="yesterday">
      <formula/>
    </cfRule>
    <cfRule type="timePeriod" dxfId="1" priority="65" timePeriod="today">
      <formula/>
    </cfRule>
  </conditionalFormatting>
  <conditionalFormatting sqref="F56:G57">
    <cfRule type="cellIs" dxfId="3" priority="66" operator="lessThan">
      <formula>TODAY()</formula>
    </cfRule>
    <cfRule type="timePeriod" dxfId="1" priority="67" timePeriod="last7Days">
      <formula/>
    </cfRule>
    <cfRule type="timePeriod" dxfId="1" priority="68" timePeriod="yesterday">
      <formula/>
    </cfRule>
    <cfRule type="timePeriod" dxfId="1" priority="69" timePeriod="lastMonth">
      <formula/>
    </cfRule>
    <cfRule type="timePeriod" dxfId="1" priority="70" timePeriod="yesterday">
      <formula/>
    </cfRule>
    <cfRule type="timePeriod" dxfId="1" priority="71" timePeriod="today">
      <formula/>
    </cfRule>
  </conditionalFormatting>
  <conditionalFormatting sqref="F70:G70">
    <cfRule type="cellIs" dxfId="3" priority="72" operator="lessThan">
      <formula>TODAY()</formula>
    </cfRule>
    <cfRule type="timePeriod" dxfId="1" priority="73" timePeriod="last7Days">
      <formula/>
    </cfRule>
    <cfRule type="timePeriod" dxfId="1" priority="74" timePeriod="yesterday">
      <formula/>
    </cfRule>
    <cfRule type="timePeriod" dxfId="1" priority="75" timePeriod="lastMonth">
      <formula/>
    </cfRule>
    <cfRule type="timePeriod" dxfId="1" priority="76" timePeriod="yesterday">
      <formula/>
    </cfRule>
    <cfRule type="timePeriod" dxfId="1" priority="77" timePeriod="today">
      <formula/>
    </cfRule>
  </conditionalFormatting>
  <conditionalFormatting sqref="F67:G67">
    <cfRule type="cellIs" dxfId="3" priority="78" operator="lessThan">
      <formula>TODAY()</formula>
    </cfRule>
    <cfRule type="timePeriod" dxfId="1" priority="79" timePeriod="last7Days">
      <formula/>
    </cfRule>
    <cfRule type="timePeriod" dxfId="1" priority="80" timePeriod="yesterday">
      <formula/>
    </cfRule>
    <cfRule type="timePeriod" dxfId="1" priority="81" timePeriod="lastMonth">
      <formula/>
    </cfRule>
    <cfRule type="timePeriod" dxfId="1" priority="82" timePeriod="yesterday">
      <formula/>
    </cfRule>
    <cfRule type="timePeriod" dxfId="1" priority="83" timePeriod="today">
      <formula/>
    </cfRule>
  </conditionalFormatting>
  <conditionalFormatting sqref="F59:G59"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F2:F10">
    <cfRule type="cellIs" dxfId="3" priority="90" operator="lessThan">
      <formula>TODAY()</formula>
    </cfRule>
    <cfRule type="timePeriod" dxfId="1" priority="91" timePeriod="last7Days">
      <formula/>
    </cfRule>
    <cfRule type="timePeriod" dxfId="1" priority="92" timePeriod="yesterday">
      <formula/>
    </cfRule>
    <cfRule type="timePeriod" dxfId="1" priority="93" timePeriod="lastMonth">
      <formula/>
    </cfRule>
    <cfRule type="timePeriod" dxfId="1" priority="94" timePeriod="yesterday">
      <formula/>
    </cfRule>
    <cfRule type="timePeriod" dxfId="1" priority="95" timePeriod="today">
      <formula/>
    </cfRule>
  </conditionalFormatting>
  <conditionalFormatting sqref="F80:G95">
    <cfRule type="cellIs" dxfId="3" priority="96" operator="lessThan">
      <formula>TODAY()</formula>
    </cfRule>
    <cfRule type="timePeriod" dxfId="1" priority="97" timePeriod="last7Days">
      <formula/>
    </cfRule>
    <cfRule type="timePeriod" dxfId="1" priority="98" timePeriod="yesterday">
      <formula/>
    </cfRule>
    <cfRule type="timePeriod" dxfId="1" priority="99" timePeriod="lastMonth">
      <formula/>
    </cfRule>
    <cfRule type="timePeriod" dxfId="1" priority="100" timePeriod="yesterday">
      <formula/>
    </cfRule>
    <cfRule type="timePeriod" dxfId="1" priority="101" timePeriod="today">
      <formula/>
    </cfRule>
  </conditionalFormatting>
  <conditionalFormatting sqref="F97:G100">
    <cfRule type="cellIs" dxfId="3" priority="102" operator="lessThan">
      <formula>TODAY()</formula>
    </cfRule>
    <cfRule type="timePeriod" dxfId="1" priority="103" timePeriod="last7Days">
      <formula/>
    </cfRule>
    <cfRule type="timePeriod" dxfId="1" priority="104" timePeriod="yesterday">
      <formula/>
    </cfRule>
    <cfRule type="timePeriod" dxfId="1" priority="105" timePeriod="lastMonth">
      <formula/>
    </cfRule>
    <cfRule type="timePeriod" dxfId="1" priority="106" timePeriod="yesterday">
      <formula/>
    </cfRule>
    <cfRule type="timePeriod" dxfId="1" priority="107" timePeriod="today">
      <formula/>
    </cfRule>
  </conditionalFormatting>
  <conditionalFormatting sqref="F22:G34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G6">
    <cfRule type="timePeriod" dxfId="1" priority="114" timePeriod="yesterday">
      <formula/>
    </cfRule>
    <cfRule type="timePeriod" dxfId="1" priority="115" timePeriod="today">
      <formula/>
    </cfRule>
    <cfRule type="cellIs" dxfId="2" priority="116" operator="lessThan">
      <formula>_xludf.today()</formula>
    </cfRule>
  </conditionalFormatting>
  <conditionalFormatting sqref="G7">
    <cfRule type="timePeriod" dxfId="1" priority="117" timePeriod="yesterday">
      <formula/>
    </cfRule>
    <cfRule type="timePeriod" dxfId="1" priority="118" timePeriod="today">
      <formula/>
    </cfRule>
    <cfRule type="cellIs" dxfId="2" priority="119" operator="lessThan">
      <formula>_xludf.today()</formula>
    </cfRule>
  </conditionalFormatting>
  <conditionalFormatting sqref="G13:G17">
    <cfRule type="expression" dxfId="0" priority="120">
      <formula>MOD(ROW(),2)=1</formula>
    </cfRule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B18:G20">
    <cfRule type="expression" dxfId="0" priority="127">
      <formula>MOD(ROW(),2)=1</formula>
    </cfRule>
  </conditionalFormatting>
  <conditionalFormatting sqref="D21:G21">
    <cfRule type="expression" dxfId="0" priority="128">
      <formula>MOD(ROW(),2)=1</formula>
    </cfRule>
  </conditionalFormatting>
  <conditionalFormatting sqref="F18:G21">
    <cfRule type="cellIs" dxfId="3" priority="129" operator="lessThan">
      <formula>TODAY()</formula>
    </cfRule>
    <cfRule type="timePeriod" dxfId="1" priority="130" timePeriod="last7Days">
      <formula/>
    </cfRule>
    <cfRule type="timePeriod" dxfId="1" priority="131" timePeriod="yesterday">
      <formula/>
    </cfRule>
    <cfRule type="timePeriod" dxfId="1" priority="132" timePeriod="lastMonth">
      <formula/>
    </cfRule>
    <cfRule type="timePeriod" dxfId="1" priority="133" timePeriod="yesterday">
      <formula/>
    </cfRule>
    <cfRule type="timePeriod" dxfId="1" priority="134" timePeriod="today">
      <formula/>
    </cfRule>
  </conditionalFormatting>
  <conditionalFormatting sqref="I80">
    <cfRule type="expression" dxfId="0" priority="135">
      <formula>MOD(ROW(),2)=1</formula>
    </cfRule>
    <cfRule type="expression" dxfId="0" priority="136">
      <formula>MOD(ROW(),2)=1</formula>
    </cfRule>
  </conditionalFormatting>
  <conditionalFormatting sqref="H80">
    <cfRule type="expression" dxfId="0" priority="137">
      <formula>MOD(ROW(),2)=1</formula>
    </cfRule>
  </conditionalFormatting>
  <conditionalFormatting sqref="H100">
    <cfRule type="expression" dxfId="0" priority="138">
      <formula>MOD(ROW(),2)=1</formula>
    </cfRule>
  </conditionalFormatting>
  <conditionalFormatting sqref="I21">
    <cfRule type="expression" dxfId="0" priority="139">
      <formula>MOD(ROW(),2)=1</formula>
    </cfRule>
  </conditionalFormatting>
  <conditionalFormatting sqref="I5">
    <cfRule type="expression" dxfId="0" priority="140">
      <formula>MOD(ROW(),2)=1</formula>
    </cfRule>
  </conditionalFormatting>
  <conditionalFormatting sqref="D35:G35">
    <cfRule type="expression" dxfId="0" priority="141">
      <formula>MOD(ROW(),2)=1</formula>
    </cfRule>
  </conditionalFormatting>
  <conditionalFormatting sqref="F35:G35">
    <cfRule type="cellIs" dxfId="3" priority="142" operator="lessThan">
      <formula>TODAY()</formula>
    </cfRule>
    <cfRule type="timePeriod" dxfId="1" priority="143" timePeriod="last7Days">
      <formula/>
    </cfRule>
    <cfRule type="timePeriod" dxfId="1" priority="144" timePeriod="yesterday">
      <formula/>
    </cfRule>
    <cfRule type="timePeriod" dxfId="1" priority="145" timePeriod="lastMonth">
      <formula/>
    </cfRule>
    <cfRule type="timePeriod" dxfId="1" priority="146" timePeriod="yesterday">
      <formula/>
    </cfRule>
    <cfRule type="timePeriod" dxfId="1" priority="147" timePeriod="today">
      <formula/>
    </cfRule>
  </conditionalFormatting>
  <conditionalFormatting sqref="I35">
    <cfRule type="expression" dxfId="0" priority="148">
      <formula>MOD(ROW(),2)=1</formula>
    </cfRule>
  </conditionalFormatting>
  <conditionalFormatting sqref="D37:G38">
    <cfRule type="expression" dxfId="0" priority="149">
      <formula>MOD(ROW(),2)=1</formula>
    </cfRule>
  </conditionalFormatting>
  <conditionalFormatting sqref="D44:E45">
    <cfRule type="expression" dxfId="0" priority="150">
      <formula>MOD(ROW(),2)=1</formula>
    </cfRule>
  </conditionalFormatting>
  <conditionalFormatting sqref="D48:G49">
    <cfRule type="expression" dxfId="0" priority="151">
      <formula>MOD(ROW(),2)=1</formula>
    </cfRule>
  </conditionalFormatting>
  <conditionalFormatting sqref="D52:G54">
    <cfRule type="expression" dxfId="0" priority="152">
      <formula>MOD(ROW(),2)=1</formula>
    </cfRule>
  </conditionalFormatting>
  <conditionalFormatting sqref="D62:G63">
    <cfRule type="expression" dxfId="0" priority="153">
      <formula>MOD(ROW(),2)=1</formula>
    </cfRule>
  </conditionalFormatting>
  <conditionalFormatting sqref="D65:G66">
    <cfRule type="expression" dxfId="0" priority="154">
      <formula>MOD(ROW(),2)=1</formula>
    </cfRule>
  </conditionalFormatting>
  <conditionalFormatting sqref="D68:G68">
    <cfRule type="expression" dxfId="0" priority="155">
      <formula>MOD(ROW(),2)=1</formula>
    </cfRule>
  </conditionalFormatting>
  <conditionalFormatting sqref="D69:E69">
    <cfRule type="expression" dxfId="0" priority="156">
      <formula>MOD(ROW(),2)=1</formula>
    </cfRule>
  </conditionalFormatting>
  <conditionalFormatting sqref="G69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G44:G45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F37:G38">
    <cfRule type="cellIs" dxfId="3" priority="169" operator="lessThan">
      <formula>TODAY()</formula>
    </cfRule>
    <cfRule type="timePeriod" dxfId="1" priority="170" timePeriod="last7Days">
      <formula/>
    </cfRule>
    <cfRule type="timePeriod" dxfId="1" priority="171" timePeriod="yesterday">
      <formula/>
    </cfRule>
    <cfRule type="timePeriod" dxfId="1" priority="172" timePeriod="lastMonth">
      <formula/>
    </cfRule>
    <cfRule type="timePeriod" dxfId="1" priority="173" timePeriod="yesterday">
      <formula/>
    </cfRule>
    <cfRule type="timePeriod" dxfId="1" priority="174" timePeriod="today">
      <formula/>
    </cfRule>
  </conditionalFormatting>
  <conditionalFormatting sqref="F48:G49"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F52:G54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F62:G63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65:G66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F68:G68">
    <cfRule type="cellIs" dxfId="3" priority="199" operator="lessThan">
      <formula>TODAY()</formula>
    </cfRule>
    <cfRule type="timePeriod" dxfId="1" priority="200" timePeriod="last7Days">
      <formula/>
    </cfRule>
    <cfRule type="timePeriod" dxfId="1" priority="201" timePeriod="yesterday">
      <formula/>
    </cfRule>
    <cfRule type="timePeriod" dxfId="1" priority="202" timePeriod="lastMonth">
      <formula/>
    </cfRule>
    <cfRule type="timePeriod" dxfId="1" priority="203" timePeriod="yesterday">
      <formula/>
    </cfRule>
    <cfRule type="timePeriod" dxfId="1" priority="204" timePeriod="today">
      <formula/>
    </cfRule>
  </conditionalFormatting>
  <conditionalFormatting sqref="B39:G40">
    <cfRule type="expression" dxfId="0" priority="205">
      <formula>MOD(ROW(),2)=1</formula>
    </cfRule>
  </conditionalFormatting>
  <conditionalFormatting sqref="B42:E43">
    <cfRule type="expression" dxfId="0" priority="206">
      <formula>MOD(ROW(),2)=1</formula>
    </cfRule>
  </conditionalFormatting>
  <conditionalFormatting sqref="B47:G47">
    <cfRule type="expression" dxfId="0" priority="207">
      <formula>MOD(ROW(),2)=1</formula>
    </cfRule>
  </conditionalFormatting>
  <conditionalFormatting sqref="B55:G55">
    <cfRule type="expression" dxfId="0" priority="208">
      <formula>MOD(ROW(),2)=1</formula>
    </cfRule>
  </conditionalFormatting>
  <conditionalFormatting sqref="B60:G61">
    <cfRule type="expression" dxfId="0" priority="209">
      <formula>MOD(ROW(),2)=1</formula>
    </cfRule>
  </conditionalFormatting>
  <conditionalFormatting sqref="B37:C38">
    <cfRule type="expression" dxfId="0" priority="210">
      <formula>MOD(ROW(),2)=1</formula>
    </cfRule>
  </conditionalFormatting>
  <conditionalFormatting sqref="B44:C45">
    <cfRule type="expression" dxfId="0" priority="211">
      <formula>MOD(ROW(),2)=1</formula>
    </cfRule>
  </conditionalFormatting>
  <conditionalFormatting sqref="B48:C49">
    <cfRule type="expression" dxfId="0" priority="212">
      <formula>MOD(ROW(),2)=1</formula>
    </cfRule>
  </conditionalFormatting>
  <conditionalFormatting sqref="B52:C54">
    <cfRule type="expression" dxfId="0" priority="213">
      <formula>MOD(ROW(),2)=1</formula>
    </cfRule>
  </conditionalFormatting>
  <conditionalFormatting sqref="B62:C63">
    <cfRule type="expression" dxfId="0" priority="214">
      <formula>MOD(ROW(),2)=1</formula>
    </cfRule>
  </conditionalFormatting>
  <conditionalFormatting sqref="B65:C66">
    <cfRule type="expression" dxfId="0" priority="215">
      <formula>MOD(ROW(),2)=1</formula>
    </cfRule>
  </conditionalFormatting>
  <conditionalFormatting sqref="B68:C69">
    <cfRule type="expression" dxfId="0" priority="216">
      <formula>MOD(ROW(),2)=1</formula>
    </cfRule>
  </conditionalFormatting>
  <conditionalFormatting sqref="B46:E46">
    <cfRule type="expression" dxfId="0" priority="217">
      <formula>MOD(ROW(),2)=1</formula>
    </cfRule>
  </conditionalFormatting>
  <conditionalFormatting sqref="G46">
    <cfRule type="cellIs" dxfId="3" priority="218" operator="lessThan">
      <formula>TODAY()</formula>
    </cfRule>
    <cfRule type="timePeriod" dxfId="1" priority="219" timePeriod="last7Days">
      <formula/>
    </cfRule>
    <cfRule type="timePeriod" dxfId="1" priority="220" timePeriod="yesterday">
      <formula/>
    </cfRule>
    <cfRule type="timePeriod" dxfId="1" priority="221" timePeriod="lastMonth">
      <formula/>
    </cfRule>
    <cfRule type="timePeriod" dxfId="1" priority="222" timePeriod="yesterday">
      <formula/>
    </cfRule>
    <cfRule type="timePeriod" dxfId="1" priority="223" timePeriod="today">
      <formula/>
    </cfRule>
  </conditionalFormatting>
  <conditionalFormatting sqref="G42:G43">
    <cfRule type="cellIs" dxfId="3" priority="224" operator="lessThan">
      <formula>TODAY()</formula>
    </cfRule>
    <cfRule type="timePeriod" dxfId="1" priority="225" timePeriod="last7Days">
      <formula/>
    </cfRule>
    <cfRule type="timePeriod" dxfId="1" priority="226" timePeriod="yesterday">
      <formula/>
    </cfRule>
    <cfRule type="timePeriod" dxfId="1" priority="227" timePeriod="lastMonth">
      <formula/>
    </cfRule>
    <cfRule type="timePeriod" dxfId="1" priority="228" timePeriod="yesterday">
      <formula/>
    </cfRule>
    <cfRule type="timePeriod" dxfId="1" priority="229" timePeriod="today">
      <formula/>
    </cfRule>
  </conditionalFormatting>
  <conditionalFormatting sqref="F39:G40">
    <cfRule type="cellIs" dxfId="3" priority="230" operator="lessThan">
      <formula>TODAY()</formula>
    </cfRule>
    <cfRule type="timePeriod" dxfId="1" priority="231" timePeriod="last7Days">
      <formula/>
    </cfRule>
    <cfRule type="timePeriod" dxfId="1" priority="232" timePeriod="yesterday">
      <formula/>
    </cfRule>
    <cfRule type="timePeriod" dxfId="1" priority="233" timePeriod="lastMonth">
      <formula/>
    </cfRule>
    <cfRule type="timePeriod" dxfId="1" priority="234" timePeriod="yesterday">
      <formula/>
    </cfRule>
    <cfRule type="timePeriod" dxfId="1" priority="235" timePeriod="today">
      <formula/>
    </cfRule>
  </conditionalFormatting>
  <conditionalFormatting sqref="F47:G47">
    <cfRule type="cellIs" dxfId="3" priority="236" operator="lessThan">
      <formula>TODAY()</formula>
    </cfRule>
    <cfRule type="timePeriod" dxfId="1" priority="237" timePeriod="last7Days">
      <formula/>
    </cfRule>
    <cfRule type="timePeriod" dxfId="1" priority="238" timePeriod="yesterday">
      <formula/>
    </cfRule>
    <cfRule type="timePeriod" dxfId="1" priority="239" timePeriod="lastMonth">
      <formula/>
    </cfRule>
    <cfRule type="timePeriod" dxfId="1" priority="240" timePeriod="yesterday">
      <formula/>
    </cfRule>
    <cfRule type="timePeriod" dxfId="1" priority="241" timePeriod="today">
      <formula/>
    </cfRule>
  </conditionalFormatting>
  <conditionalFormatting sqref="F55:G55">
    <cfRule type="cellIs" dxfId="3" priority="242" operator="lessThan">
      <formula>TODAY()</formula>
    </cfRule>
    <cfRule type="timePeriod" dxfId="1" priority="243" timePeriod="last7Days">
      <formula/>
    </cfRule>
    <cfRule type="timePeriod" dxfId="1" priority="244" timePeriod="yesterday">
      <formula/>
    </cfRule>
    <cfRule type="timePeriod" dxfId="1" priority="245" timePeriod="lastMonth">
      <formula/>
    </cfRule>
    <cfRule type="timePeriod" dxfId="1" priority="246" timePeriod="yesterday">
      <formula/>
    </cfRule>
    <cfRule type="timePeriod" dxfId="1" priority="247" timePeriod="today">
      <formula/>
    </cfRule>
  </conditionalFormatting>
  <conditionalFormatting sqref="F60:G61">
    <cfRule type="cellIs" dxfId="3" priority="248" operator="lessThan">
      <formula>TODAY()</formula>
    </cfRule>
    <cfRule type="timePeriod" dxfId="1" priority="249" timePeriod="last7Days">
      <formula/>
    </cfRule>
    <cfRule type="timePeriod" dxfId="1" priority="250" timePeriod="yesterday">
      <formula/>
    </cfRule>
    <cfRule type="timePeriod" dxfId="1" priority="251" timePeriod="lastMonth">
      <formula/>
    </cfRule>
    <cfRule type="timePeriod" dxfId="1" priority="252" timePeriod="yesterday">
      <formula/>
    </cfRule>
    <cfRule type="timePeriod" dxfId="1" priority="253" timePeriod="today">
      <formula/>
    </cfRule>
  </conditionalFormatting>
  <conditionalFormatting sqref="I39">
    <cfRule type="expression" dxfId="0" priority="254">
      <formula>MOD(ROW(),2)=1</formula>
    </cfRule>
  </conditionalFormatting>
  <conditionalFormatting sqref="I42">
    <cfRule type="expression" dxfId="0" priority="255">
      <formula>MOD(ROW(),2)=1</formula>
    </cfRule>
  </conditionalFormatting>
  <conditionalFormatting sqref="I46">
    <cfRule type="expression" dxfId="0" priority="256">
      <formula>MOD(ROW(),2)=1</formula>
    </cfRule>
  </conditionalFormatting>
  <conditionalFormatting sqref="I50">
    <cfRule type="expression" dxfId="0" priority="257">
      <formula>MOD(ROW(),2)=1</formula>
    </cfRule>
  </conditionalFormatting>
  <conditionalFormatting sqref="I55">
    <cfRule type="expression" dxfId="0" priority="258">
      <formula>MOD(ROW(),2)=1</formula>
    </cfRule>
  </conditionalFormatting>
  <conditionalFormatting sqref="I60">
    <cfRule type="expression" dxfId="0" priority="259">
      <formula>MOD(ROW(),2)=1</formula>
    </cfRule>
  </conditionalFormatting>
  <conditionalFormatting sqref="I40">
    <cfRule type="expression" dxfId="0" priority="260">
      <formula>MOD(ROW(),2)=1</formula>
    </cfRule>
  </conditionalFormatting>
  <conditionalFormatting sqref="I43">
    <cfRule type="expression" dxfId="0" priority="261">
      <formula>MOD(ROW(),2)=1</formula>
    </cfRule>
  </conditionalFormatting>
  <conditionalFormatting sqref="I47">
    <cfRule type="expression" dxfId="0" priority="262">
      <formula>MOD(ROW(),2)=1</formula>
    </cfRule>
  </conditionalFormatting>
  <conditionalFormatting sqref="I51">
    <cfRule type="expression" dxfId="0" priority="263">
      <formula>MOD(ROW(),2)=1</formula>
    </cfRule>
  </conditionalFormatting>
  <conditionalFormatting sqref="I61">
    <cfRule type="expression" dxfId="0" priority="264">
      <formula>MOD(ROW(),2)=1</formula>
    </cfRule>
  </conditionalFormatting>
  <conditionalFormatting sqref="I64">
    <cfRule type="expression" dxfId="0" priority="265">
      <formula>MOD(ROW(),2)=1</formula>
    </cfRule>
  </conditionalFormatting>
  <conditionalFormatting sqref="I67">
    <cfRule type="expression" dxfId="0" priority="266">
      <formula>MOD(ROW(),2)=1</formula>
    </cfRule>
  </conditionalFormatting>
  <conditionalFormatting sqref="I37:I38">
    <cfRule type="expression" dxfId="0" priority="267">
      <formula>MOD(ROW(),2)=1</formula>
    </cfRule>
  </conditionalFormatting>
  <conditionalFormatting sqref="I44:I45">
    <cfRule type="expression" dxfId="0" priority="268">
      <formula>MOD(ROW(),2)=1</formula>
    </cfRule>
  </conditionalFormatting>
  <conditionalFormatting sqref="I48:I49">
    <cfRule type="expression" dxfId="0" priority="269">
      <formula>MOD(ROW(),2)=1</formula>
    </cfRule>
  </conditionalFormatting>
  <conditionalFormatting sqref="I52:I54">
    <cfRule type="expression" dxfId="0" priority="270">
      <formula>MOD(ROW(),2)=1</formula>
    </cfRule>
  </conditionalFormatting>
  <conditionalFormatting sqref="I62:I63">
    <cfRule type="expression" dxfId="0" priority="271">
      <formula>MOD(ROW(),2)=1</formula>
    </cfRule>
  </conditionalFormatting>
  <conditionalFormatting sqref="I65:I66">
    <cfRule type="expression" dxfId="0" priority="272">
      <formula>MOD(ROW(),2)=1</formula>
    </cfRule>
  </conditionalFormatting>
  <conditionalFormatting sqref="I68:I69">
    <cfRule type="expression" dxfId="0" priority="273">
      <formula>MOD(ROW(),2)=1</formula>
    </cfRule>
  </conditionalFormatting>
  <conditionalFormatting sqref="E94:E95">
    <cfRule type="expression" dxfId="0" priority="274">
      <formula>MOD(ROW(),2)=1</formula>
    </cfRule>
  </conditionalFormatting>
  <conditionalFormatting sqref="E97">
    <cfRule type="expression" dxfId="0" priority="275">
      <formula>MOD(ROW(),2)=1</formula>
    </cfRule>
  </conditionalFormatting>
  <conditionalFormatting sqref="F69">
    <cfRule type="expression" dxfId="0" priority="276">
      <formula>MOD(ROW(),2)=1</formula>
    </cfRule>
    <cfRule type="cellIs" dxfId="3" priority="277" operator="lessThan">
      <formula>TODAY()</formula>
    </cfRule>
    <cfRule type="timePeriod" dxfId="1" priority="278" timePeriod="last7Days">
      <formula/>
    </cfRule>
    <cfRule type="timePeriod" dxfId="1" priority="279" timePeriod="yesterday">
      <formula/>
    </cfRule>
    <cfRule type="timePeriod" dxfId="1" priority="280" timePeriod="lastMonth">
      <formula/>
    </cfRule>
    <cfRule type="timePeriod" dxfId="1" priority="281" timePeriod="yesterday">
      <formula/>
    </cfRule>
    <cfRule type="timePeriod" dxfId="1" priority="282" timePeriod="today">
      <formula/>
    </cfRule>
  </conditionalFormatting>
  <conditionalFormatting sqref="B36:G36">
    <cfRule type="expression" dxfId="0" priority="283">
      <formula>MOD(ROW(),2)=1</formula>
    </cfRule>
  </conditionalFormatting>
  <conditionalFormatting sqref="F36:G36">
    <cfRule type="cellIs" dxfId="3" priority="284" operator="lessThan">
      <formula>TODAY()</formula>
    </cfRule>
    <cfRule type="timePeriod" dxfId="1" priority="285" timePeriod="last7Days">
      <formula/>
    </cfRule>
    <cfRule type="timePeriod" dxfId="1" priority="286" timePeriod="yesterday">
      <formula/>
    </cfRule>
    <cfRule type="timePeriod" dxfId="1" priority="287" timePeriod="lastMonth">
      <formula/>
    </cfRule>
    <cfRule type="timePeriod" dxfId="1" priority="288" timePeriod="yesterday">
      <formula/>
    </cfRule>
    <cfRule type="timePeriod" dxfId="1" priority="289" timePeriod="today">
      <formula/>
    </cfRule>
  </conditionalFormatting>
  <conditionalFormatting sqref="I36">
    <cfRule type="expression" dxfId="0" priority="290">
      <formula>MOD(ROW(),2)=1</formula>
    </cfRule>
    <cfRule type="expression" dxfId="0" priority="291">
      <formula>MOD(ROW(),2)=1</formula>
    </cfRule>
  </conditionalFormatting>
  <conditionalFormatting sqref="H36">
    <cfRule type="expression" dxfId="0" priority="292">
      <formula>MOD(ROW(),2)=1</formula>
    </cfRule>
  </conditionalFormatting>
  <conditionalFormatting sqref="F2:F3">
    <cfRule type="timePeriod" dxfId="1" priority="293" timePeriod="yesterday">
      <formula/>
    </cfRule>
    <cfRule type="timePeriod" dxfId="1" priority="294" timePeriod="today">
      <formula/>
    </cfRule>
    <cfRule type="cellIs" dxfId="2" priority="295" operator="lessThan">
      <formula>_xludf.today()</formula>
    </cfRule>
  </conditionalFormatting>
  <conditionalFormatting sqref="F11:F17">
    <cfRule type="cellIs" dxfId="3" priority="296" operator="lessThan">
      <formula>TODAY()</formula>
    </cfRule>
    <cfRule type="timePeriod" dxfId="1" priority="297" timePeriod="last7Days">
      <formula/>
    </cfRule>
    <cfRule type="timePeriod" dxfId="1" priority="298" timePeriod="yesterday">
      <formula/>
    </cfRule>
    <cfRule type="timePeriod" dxfId="1" priority="299" timePeriod="lastMonth">
      <formula/>
    </cfRule>
    <cfRule type="timePeriod" dxfId="1" priority="300" timePeriod="yesterday">
      <formula/>
    </cfRule>
    <cfRule type="timePeriod" dxfId="1" priority="301" timePeriod="today">
      <formula/>
    </cfRule>
  </conditionalFormatting>
  <conditionalFormatting sqref="F31:F32">
    <cfRule type="expression" dxfId="0" priority="302">
      <formula>MOD(ROW(),2)=1</formula>
    </cfRule>
    <cfRule type="cellIs" dxfId="3" priority="303" operator="lessThan">
      <formula>TODAY()</formula>
    </cfRule>
    <cfRule type="timePeriod" dxfId="1" priority="304" timePeriod="last7Days">
      <formula/>
    </cfRule>
    <cfRule type="timePeriod" dxfId="1" priority="305" timePeriod="yesterday">
      <formula/>
    </cfRule>
    <cfRule type="timePeriod" dxfId="1" priority="306" timePeriod="lastMonth">
      <formula/>
    </cfRule>
    <cfRule type="timePeriod" dxfId="1" priority="307" timePeriod="yesterday">
      <formula/>
    </cfRule>
    <cfRule type="timePeriod" dxfId="1" priority="308" timePeriod="today">
      <formula/>
    </cfRule>
    <cfRule type="cellIs" dxfId="3" priority="309" operator="lessThan">
      <formula>TODAY()</formula>
    </cfRule>
    <cfRule type="timePeriod" dxfId="1" priority="310" timePeriod="last7Days">
      <formula/>
    </cfRule>
    <cfRule type="timePeriod" dxfId="1" priority="311" timePeriod="yesterday">
      <formula/>
    </cfRule>
    <cfRule type="timePeriod" dxfId="1" priority="312" timePeriod="lastMonth">
      <formula/>
    </cfRule>
    <cfRule type="timePeriod" dxfId="1" priority="313" timePeriod="yesterday">
      <formula/>
    </cfRule>
    <cfRule type="timePeriod" dxfId="1" priority="314" timePeriod="today">
      <formula/>
    </cfRule>
  </conditionalFormatting>
  <conditionalFormatting sqref="B31:F32">
    <cfRule type="expression" dxfId="0" priority="315">
      <formula>MOD(ROW(),2)=1</formula>
    </cfRule>
  </conditionalFormatting>
  <conditionalFormatting sqref="B31:B32">
    <cfRule type="expression" dxfId="0" priority="316">
      <formula>MOD(ROW(),2)=1</formula>
    </cfRule>
  </conditionalFormatting>
  <conditionalFormatting sqref="H79">
    <cfRule type="expression" dxfId="0" priority="317">
      <formula>MOD(ROW(),2)=1</formula>
    </cfRule>
  </conditionalFormatting>
  <conditionalFormatting sqref="B71:I71">
    <cfRule type="expression" dxfId="0" priority="318">
      <formula>MOD(ROW(),2)=1</formula>
    </cfRule>
  </conditionalFormatting>
  <conditionalFormatting sqref="B75:G78">
    <cfRule type="expression" dxfId="0" priority="319">
      <formula>MOD(ROW(),2)=1</formula>
    </cfRule>
  </conditionalFormatting>
  <conditionalFormatting sqref="I75:I78">
    <cfRule type="expression" dxfId="0" priority="320">
      <formula>MOD(ROW(),2)=1</formula>
    </cfRule>
  </conditionalFormatting>
  <conditionalFormatting sqref="F71:G71">
    <cfRule type="cellIs" dxfId="3" priority="321" operator="lessThan">
      <formula>TODAY()</formula>
    </cfRule>
    <cfRule type="timePeriod" dxfId="1" priority="322" timePeriod="last7Days">
      <formula/>
    </cfRule>
    <cfRule type="timePeriod" dxfId="1" priority="323" timePeriod="yesterday">
      <formula/>
    </cfRule>
    <cfRule type="timePeriod" dxfId="1" priority="324" timePeriod="lastMonth">
      <formula/>
    </cfRule>
    <cfRule type="timePeriod" dxfId="1" priority="325" timePeriod="yesterday">
      <formula/>
    </cfRule>
    <cfRule type="timePeriod" dxfId="1" priority="326" timePeriod="today">
      <formula/>
    </cfRule>
  </conditionalFormatting>
  <conditionalFormatting sqref="F75:G78">
    <cfRule type="cellIs" dxfId="3" priority="327" operator="lessThan">
      <formula>TODAY()</formula>
    </cfRule>
    <cfRule type="timePeriod" dxfId="1" priority="328" timePeriod="last7Days">
      <formula/>
    </cfRule>
    <cfRule type="timePeriod" dxfId="1" priority="329" timePeriod="yesterday">
      <formula/>
    </cfRule>
    <cfRule type="timePeriod" dxfId="1" priority="330" timePeriod="lastMonth">
      <formula/>
    </cfRule>
    <cfRule type="timePeriod" dxfId="1" priority="331" timePeriod="yesterday">
      <formula/>
    </cfRule>
    <cfRule type="timePeriod" dxfId="1" priority="332" timePeriod="today">
      <formula/>
    </cfRule>
  </conditionalFormatting>
  <conditionalFormatting sqref="B79:G79">
    <cfRule type="expression" dxfId="0" priority="333">
      <formula>MOD(ROW(),2)=1</formula>
    </cfRule>
  </conditionalFormatting>
  <conditionalFormatting sqref="F79:G79">
    <cfRule type="cellIs" dxfId="3" priority="334" operator="lessThan">
      <formula>TODAY()</formula>
    </cfRule>
    <cfRule type="timePeriod" dxfId="1" priority="335" timePeriod="last7Days">
      <formula/>
    </cfRule>
    <cfRule type="timePeriod" dxfId="1" priority="336" timePeriod="yesterday">
      <formula/>
    </cfRule>
    <cfRule type="timePeriod" dxfId="1" priority="337" timePeriod="lastMonth">
      <formula/>
    </cfRule>
    <cfRule type="timePeriod" dxfId="1" priority="338" timePeriod="yesterday">
      <formula/>
    </cfRule>
    <cfRule type="timePeriod" dxfId="1" priority="339" timePeriod="today">
      <formula/>
    </cfRule>
  </conditionalFormatting>
  <conditionalFormatting sqref="I79">
    <cfRule type="expression" dxfId="0" priority="340">
      <formula>MOD(ROW(),2)=1</formula>
    </cfRule>
  </conditionalFormatting>
  <conditionalFormatting sqref="B57:G57">
    <cfRule type="expression" dxfId="0" priority="341">
      <formula>MOD(ROW(),2)=1</formula>
    </cfRule>
  </conditionalFormatting>
  <conditionalFormatting sqref="I57">
    <cfRule type="expression" dxfId="0" priority="342">
      <formula>MOD(ROW(),2)=1</formula>
    </cfRule>
  </conditionalFormatting>
  <conditionalFormatting sqref="F57:G57">
    <cfRule type="cellIs" dxfId="3" priority="343" operator="lessThan">
      <formula>TODAY()</formula>
    </cfRule>
    <cfRule type="timePeriod" dxfId="1" priority="344" timePeriod="last7Days">
      <formula/>
    </cfRule>
    <cfRule type="timePeriod" dxfId="1" priority="345" timePeriod="yesterday">
      <formula/>
    </cfRule>
    <cfRule type="timePeriod" dxfId="1" priority="346" timePeriod="lastMonth">
      <formula/>
    </cfRule>
    <cfRule type="timePeriod" dxfId="1" priority="347" timePeriod="yesterday">
      <formula/>
    </cfRule>
    <cfRule type="timePeriod" dxfId="1" priority="348" timePeriod="today">
      <formula/>
    </cfRule>
    <cfRule type="timePeriod" dxfId="1" priority="349" timePeriod="yesterday">
      <formula/>
    </cfRule>
    <cfRule type="timePeriod" dxfId="1" priority="350" timePeriod="today">
      <formula/>
    </cfRule>
    <cfRule type="cellIs" dxfId="2" priority="351" operator="lessThan">
      <formula>_xludf.today()</formula>
    </cfRule>
  </conditionalFormatting>
  <conditionalFormatting sqref="B58:G58">
    <cfRule type="expression" dxfId="0" priority="352">
      <formula>MOD(ROW(),2)=1</formula>
    </cfRule>
  </conditionalFormatting>
  <conditionalFormatting sqref="I58">
    <cfRule type="expression" dxfId="0" priority="353">
      <formula>MOD(ROW(),2)=1</formula>
    </cfRule>
  </conditionalFormatting>
  <conditionalFormatting sqref="F58:G58">
    <cfRule type="cellIs" dxfId="3" priority="354" operator="lessThan">
      <formula>TODAY()</formula>
    </cfRule>
    <cfRule type="timePeriod" dxfId="1" priority="355" timePeriod="last7Days">
      <formula/>
    </cfRule>
    <cfRule type="timePeriod" dxfId="1" priority="356" timePeriod="yesterday">
      <formula/>
    </cfRule>
    <cfRule type="timePeriod" dxfId="1" priority="357" timePeriod="lastMonth">
      <formula/>
    </cfRule>
    <cfRule type="timePeriod" dxfId="1" priority="358" timePeriod="yesterday">
      <formula/>
    </cfRule>
    <cfRule type="timePeriod" dxfId="1" priority="359" timePeriod="today">
      <formula/>
    </cfRule>
  </conditionalFormatting>
  <conditionalFormatting sqref="H72:H78">
    <cfRule type="expression" dxfId="0" priority="360">
      <formula>MOD(ROW(),2)=1</formula>
    </cfRule>
  </conditionalFormatting>
  <conditionalFormatting sqref="B72:C74">
    <cfRule type="expression" dxfId="0" priority="361">
      <formula>MOD(ROW(),2)=1</formula>
    </cfRule>
  </conditionalFormatting>
  <conditionalFormatting sqref="D72:G74">
    <cfRule type="expression" dxfId="0" priority="362">
      <formula>MOD(ROW(),2)=1</formula>
    </cfRule>
  </conditionalFormatting>
  <conditionalFormatting sqref="F72:G74">
    <cfRule type="cellIs" dxfId="3" priority="363" operator="lessThan">
      <formula>TODAY()</formula>
    </cfRule>
    <cfRule type="timePeriod" dxfId="1" priority="364" timePeriod="last7Days">
      <formula/>
    </cfRule>
    <cfRule type="timePeriod" dxfId="1" priority="365" timePeriod="yesterday">
      <formula/>
    </cfRule>
    <cfRule type="timePeriod" dxfId="1" priority="366" timePeriod="lastMonth">
      <formula/>
    </cfRule>
    <cfRule type="timePeriod" dxfId="1" priority="367" timePeriod="yesterday">
      <formula/>
    </cfRule>
    <cfRule type="timePeriod" dxfId="1" priority="368" timePeriod="today">
      <formula/>
    </cfRule>
  </conditionalFormatting>
  <conditionalFormatting sqref="I72:I74">
    <cfRule type="expression" dxfId="0" priority="369">
      <formula>MOD(ROW(),2)=1</formula>
    </cfRule>
  </conditionalFormatting>
  <conditionalFormatting sqref="B96:F96">
    <cfRule type="expression" dxfId="0" priority="370">
      <formula>MOD(ROW(),2)=1</formula>
    </cfRule>
  </conditionalFormatting>
  <conditionalFormatting sqref="F96">
    <cfRule type="cellIs" dxfId="3" priority="371" operator="lessThan">
      <formula>TODAY()</formula>
    </cfRule>
    <cfRule type="timePeriod" dxfId="1" priority="372" timePeriod="last7Days">
      <formula/>
    </cfRule>
    <cfRule type="timePeriod" dxfId="1" priority="373" timePeriod="yesterday">
      <formula/>
    </cfRule>
    <cfRule type="timePeriod" dxfId="1" priority="374" timePeriod="lastMonth">
      <formula/>
    </cfRule>
    <cfRule type="timePeriod" dxfId="1" priority="375" timePeriod="yesterday">
      <formula/>
    </cfRule>
    <cfRule type="timePeriod" dxfId="1" priority="376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9"/>
  <sheetViews>
    <sheetView tabSelected="0" workbookViewId="0" zoomScale="85" zoomScaleNormal="85" showGridLines="true" showRowColHeaders="1">
      <pane ySplit="1" topLeftCell="A38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32.71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343" t="s">
        <v>620</v>
      </c>
      <c r="C2" s="12" t="s">
        <v>788</v>
      </c>
      <c r="D2" s="268">
        <v>860.57</v>
      </c>
      <c r="E2" s="14" t="s">
        <v>253</v>
      </c>
      <c r="F2" s="15">
        <v>44732</v>
      </c>
      <c r="G2" s="16">
        <v>860.57</v>
      </c>
      <c r="H2" s="17" t="str">
        <f>D2-G2</f>
        <v>0</v>
      </c>
      <c r="I2" s="267"/>
    </row>
    <row r="3" spans="1:1024" customHeight="1" ht="18.6">
      <c r="A3" s="265"/>
      <c r="B3" s="11" t="s">
        <v>273</v>
      </c>
      <c r="C3" s="12" t="s">
        <v>789</v>
      </c>
      <c r="D3" s="13">
        <v>541.94</v>
      </c>
      <c r="E3" s="14"/>
      <c r="F3" s="15">
        <v>44742</v>
      </c>
      <c r="G3" s="16"/>
      <c r="H3" s="17" t="str">
        <f>D3-G3</f>
        <v>0</v>
      </c>
      <c r="I3" s="267"/>
    </row>
    <row r="4" spans="1:1024" customHeight="1" ht="18.6">
      <c r="A4" s="265"/>
      <c r="B4" s="11" t="s">
        <v>454</v>
      </c>
      <c r="C4" s="12" t="s">
        <v>790</v>
      </c>
      <c r="D4" s="268">
        <v>1102.9</v>
      </c>
      <c r="E4" s="14" t="s">
        <v>253</v>
      </c>
      <c r="F4" s="15">
        <v>44742</v>
      </c>
      <c r="G4" s="16">
        <v>1102.9</v>
      </c>
      <c r="H4" s="17" t="str">
        <f>D4-G4</f>
        <v>0</v>
      </c>
      <c r="I4" s="267"/>
      <c r="K4" s="18"/>
    </row>
    <row r="5" spans="1:1024" customHeight="1" ht="18.6">
      <c r="A5" s="265"/>
      <c r="B5" s="11" t="s">
        <v>454</v>
      </c>
      <c r="C5" s="12" t="s">
        <v>791</v>
      </c>
      <c r="D5" s="268">
        <v>3576.1</v>
      </c>
      <c r="E5" s="14" t="s">
        <v>253</v>
      </c>
      <c r="F5" s="15">
        <v>44742</v>
      </c>
      <c r="G5" s="16">
        <v>3576.1</v>
      </c>
      <c r="H5" s="17" t="str">
        <f>D5-G5</f>
        <v>0</v>
      </c>
      <c r="I5" s="267"/>
      <c r="K5" s="19"/>
    </row>
    <row r="6" spans="1:1024" customHeight="1" ht="18.6">
      <c r="A6" s="265"/>
      <c r="B6" s="11" t="s">
        <v>166</v>
      </c>
      <c r="C6" s="12" t="s">
        <v>792</v>
      </c>
      <c r="D6" s="268">
        <v>813.23</v>
      </c>
      <c r="E6" s="14"/>
      <c r="F6" s="15">
        <v>44742</v>
      </c>
      <c r="G6" s="16">
        <v>813.23</v>
      </c>
      <c r="H6" s="17" t="str">
        <f>D6-G6</f>
        <v>0</v>
      </c>
      <c r="I6" s="267"/>
      <c r="K6" s="19" t="s">
        <v>506</v>
      </c>
    </row>
    <row r="7" spans="1:1024" customHeight="1" ht="18.6">
      <c r="A7" s="265"/>
      <c r="B7" s="11" t="s">
        <v>166</v>
      </c>
      <c r="C7" s="12" t="s">
        <v>793</v>
      </c>
      <c r="D7" s="268">
        <v>4589.64</v>
      </c>
      <c r="E7" s="14"/>
      <c r="F7" s="15">
        <v>44742</v>
      </c>
      <c r="G7" s="16">
        <v>4589.64</v>
      </c>
      <c r="H7" s="17" t="str">
        <f>D7-G7</f>
        <v>0</v>
      </c>
      <c r="I7" s="267"/>
      <c r="K7" s="19"/>
    </row>
    <row r="8" spans="1:1024" customHeight="1" ht="18.6">
      <c r="A8" s="265"/>
      <c r="B8" s="11" t="s">
        <v>284</v>
      </c>
      <c r="C8" s="12" t="s">
        <v>794</v>
      </c>
      <c r="D8" s="268">
        <v>6977.2</v>
      </c>
      <c r="E8" s="14" t="s">
        <v>625</v>
      </c>
      <c r="F8" s="15">
        <v>44742</v>
      </c>
      <c r="G8" s="16">
        <v>6977.2</v>
      </c>
      <c r="H8" s="17" t="str">
        <f>D8-G8</f>
        <v>0</v>
      </c>
      <c r="I8" s="267"/>
      <c r="K8" s="19"/>
    </row>
    <row r="9" spans="1:1024" customHeight="1" ht="18.6">
      <c r="A9" s="265"/>
      <c r="B9" s="11" t="s">
        <v>284</v>
      </c>
      <c r="C9" s="12" t="s">
        <v>795</v>
      </c>
      <c r="D9" s="268">
        <v>3734.64</v>
      </c>
      <c r="E9" s="14" t="s">
        <v>796</v>
      </c>
      <c r="F9" s="15">
        <v>44742</v>
      </c>
      <c r="G9" s="16">
        <v>3734.64</v>
      </c>
      <c r="H9" s="17" t="str">
        <f>D9-G9</f>
        <v>0</v>
      </c>
      <c r="I9" s="267"/>
      <c r="K9" s="20" t="str">
        <f>D97</f>
        <v>0</v>
      </c>
      <c r="L9" s="20"/>
    </row>
    <row r="10" spans="1:1024" customHeight="1" ht="18.6">
      <c r="A10" s="265"/>
      <c r="B10" s="11" t="s">
        <v>797</v>
      </c>
      <c r="C10" s="12" t="s">
        <v>798</v>
      </c>
      <c r="D10" s="268">
        <v>276.74</v>
      </c>
      <c r="E10" s="14" t="s">
        <v>430</v>
      </c>
      <c r="F10" s="15">
        <v>44742</v>
      </c>
      <c r="G10" s="16">
        <v>276.74</v>
      </c>
      <c r="H10" s="17" t="str">
        <f>D10-G10</f>
        <v>0</v>
      </c>
      <c r="I10" s="267"/>
      <c r="K10" s="19"/>
    </row>
    <row r="11" spans="1:1024" customHeight="1" ht="18.6">
      <c r="A11" s="265"/>
      <c r="B11" s="453" t="s">
        <v>797</v>
      </c>
      <c r="C11" s="454" t="s">
        <v>799</v>
      </c>
      <c r="D11" s="455">
        <v>1024.53</v>
      </c>
      <c r="E11" s="456"/>
      <c r="F11" s="457">
        <v>44742</v>
      </c>
      <c r="G11" s="458"/>
      <c r="H11" s="459" t="str">
        <f>D11-G11</f>
        <v>0</v>
      </c>
      <c r="I11" s="460"/>
      <c r="K11" s="20" t="str">
        <f>D32</f>
        <v>0</v>
      </c>
      <c r="L11" s="20"/>
    </row>
    <row r="12" spans="1:1024" customHeight="1" ht="18.6">
      <c r="A12" s="265"/>
      <c r="B12" s="11" t="s">
        <v>797</v>
      </c>
      <c r="C12" s="12" t="s">
        <v>800</v>
      </c>
      <c r="D12" s="268">
        <v>569.72</v>
      </c>
      <c r="E12" s="14" t="s">
        <v>253</v>
      </c>
      <c r="F12" s="15">
        <v>44742</v>
      </c>
      <c r="G12" s="16">
        <v>569.72</v>
      </c>
      <c r="H12" s="17" t="str">
        <f>D12-G12</f>
        <v>0</v>
      </c>
      <c r="I12" s="269"/>
    </row>
    <row r="13" spans="1:1024" customHeight="1" ht="18.6">
      <c r="A13" s="265"/>
      <c r="B13" s="11" t="s">
        <v>797</v>
      </c>
      <c r="C13" s="12" t="s">
        <v>801</v>
      </c>
      <c r="D13" s="268">
        <v>1250.2</v>
      </c>
      <c r="E13" s="439"/>
      <c r="F13" s="15">
        <v>44742</v>
      </c>
      <c r="G13" s="16">
        <v>1250.2</v>
      </c>
      <c r="H13" s="17" t="str">
        <f>D13-G13</f>
        <v>0</v>
      </c>
      <c r="I13" s="269"/>
      <c r="K13" s="19" t="s">
        <v>517</v>
      </c>
    </row>
    <row r="14" spans="1:1024" customHeight="1" ht="18.6">
      <c r="A14" s="265"/>
      <c r="B14" s="11" t="s">
        <v>797</v>
      </c>
      <c r="C14" s="12" t="s">
        <v>802</v>
      </c>
      <c r="D14" s="268">
        <v>237.18</v>
      </c>
      <c r="E14" s="14"/>
      <c r="F14" s="15">
        <v>44742</v>
      </c>
      <c r="G14" s="16">
        <v>237.18</v>
      </c>
      <c r="H14" s="17" t="str">
        <f>D14-G14</f>
        <v>0</v>
      </c>
      <c r="I14" s="269"/>
      <c r="K14" s="20" t="str">
        <f>+D97</f>
        <v>0</v>
      </c>
      <c r="L14" s="20"/>
    </row>
    <row r="15" spans="1:1024" customHeight="1" ht="18.6">
      <c r="A15" s="265"/>
      <c r="B15" s="11" t="s">
        <v>291</v>
      </c>
      <c r="C15" s="12" t="s">
        <v>803</v>
      </c>
      <c r="D15" s="268">
        <v>453.6</v>
      </c>
      <c r="E15" s="14"/>
      <c r="F15" s="15">
        <v>44742</v>
      </c>
      <c r="G15" s="270">
        <v>453.6</v>
      </c>
      <c r="H15" s="17" t="str">
        <f>D15-G15</f>
        <v>0</v>
      </c>
      <c r="I15" s="269"/>
    </row>
    <row r="16" spans="1:1024" customHeight="1" ht="18.6">
      <c r="A16" s="265"/>
      <c r="B16" s="11" t="s">
        <v>291</v>
      </c>
      <c r="C16" s="12" t="s">
        <v>804</v>
      </c>
      <c r="D16" s="268">
        <v>70.8</v>
      </c>
      <c r="E16" s="14" t="s">
        <v>805</v>
      </c>
      <c r="F16" s="15">
        <v>44742</v>
      </c>
      <c r="G16" s="270">
        <v>70.8</v>
      </c>
      <c r="H16" s="17" t="str">
        <f>D16-G16</f>
        <v>0</v>
      </c>
      <c r="I16" s="269"/>
      <c r="K16" s="19" t="s">
        <v>521</v>
      </c>
    </row>
    <row r="17" spans="1:1024" customHeight="1" ht="18.6">
      <c r="A17" s="265"/>
      <c r="B17" s="11" t="s">
        <v>291</v>
      </c>
      <c r="C17" s="12" t="s">
        <v>806</v>
      </c>
      <c r="D17" s="268">
        <v>6966.44</v>
      </c>
      <c r="E17" s="14" t="s">
        <v>263</v>
      </c>
      <c r="F17" s="271">
        <v>44742</v>
      </c>
      <c r="G17" s="270">
        <v>6966.44</v>
      </c>
      <c r="H17" s="17" t="str">
        <f>D17-G17</f>
        <v>0</v>
      </c>
      <c r="I17" s="269"/>
      <c r="K17" s="21" t="str">
        <f>K11+K9</f>
        <v>0</v>
      </c>
      <c r="L17" s="21"/>
      <c r="M17" s="21"/>
    </row>
    <row r="18" spans="1:1024" customHeight="1" ht="18.6">
      <c r="A18" s="265"/>
      <c r="B18" s="11" t="s">
        <v>291</v>
      </c>
      <c r="C18" s="12" t="s">
        <v>807</v>
      </c>
      <c r="D18" s="268">
        <v>1933.7</v>
      </c>
      <c r="E18" s="14" t="s">
        <v>808</v>
      </c>
      <c r="F18" s="271">
        <v>44742</v>
      </c>
      <c r="G18" s="270">
        <v>1933.7</v>
      </c>
      <c r="H18" s="17" t="str">
        <f>D18-G18</f>
        <v>0</v>
      </c>
      <c r="I18" s="269"/>
    </row>
    <row r="19" spans="1:1024" customHeight="1" ht="18.6">
      <c r="A19" s="265"/>
      <c r="B19" s="11" t="s">
        <v>291</v>
      </c>
      <c r="C19" s="12" t="s">
        <v>809</v>
      </c>
      <c r="D19" s="268">
        <v>4256.03</v>
      </c>
      <c r="E19" s="14" t="s">
        <v>796</v>
      </c>
      <c r="F19" s="15">
        <v>44742</v>
      </c>
      <c r="G19" s="270">
        <v>4256.03</v>
      </c>
      <c r="H19" s="17" t="str">
        <f>D19-G19</f>
        <v>0</v>
      </c>
      <c r="I19" s="269"/>
    </row>
    <row r="20" spans="1:1024" customHeight="1" ht="18.6">
      <c r="A20" s="265"/>
      <c r="B20" s="11" t="s">
        <v>291</v>
      </c>
      <c r="C20" s="12" t="s">
        <v>810</v>
      </c>
      <c r="D20" s="268">
        <v>546</v>
      </c>
      <c r="E20" s="14" t="s">
        <v>811</v>
      </c>
      <c r="F20" s="271">
        <v>44742</v>
      </c>
      <c r="G20" s="270">
        <v>546</v>
      </c>
      <c r="H20" s="17" t="str">
        <f>D20-G20</f>
        <v>0</v>
      </c>
      <c r="I20" s="269"/>
    </row>
    <row r="21" spans="1:1024" customHeight="1" ht="18.6">
      <c r="A21" s="265"/>
      <c r="B21" s="11" t="s">
        <v>644</v>
      </c>
      <c r="C21" s="12" t="s">
        <v>812</v>
      </c>
      <c r="D21" s="268">
        <v>7242.84</v>
      </c>
      <c r="E21" s="14" t="s">
        <v>253</v>
      </c>
      <c r="F21" s="271">
        <v>44742</v>
      </c>
      <c r="G21" s="270">
        <v>7242.84</v>
      </c>
      <c r="H21" s="17" t="str">
        <f>D21-G21</f>
        <v>0</v>
      </c>
      <c r="I21" s="269"/>
    </row>
    <row r="22" spans="1:1024" customHeight="1" ht="18.6">
      <c r="A22" s="265"/>
      <c r="B22" s="11" t="s">
        <v>644</v>
      </c>
      <c r="C22" s="12" t="s">
        <v>813</v>
      </c>
      <c r="D22" s="268">
        <v>2299.32</v>
      </c>
      <c r="E22" s="14" t="s">
        <v>280</v>
      </c>
      <c r="F22" s="271">
        <v>44742</v>
      </c>
      <c r="G22" s="270">
        <v>2299.32</v>
      </c>
      <c r="H22" s="17" t="str">
        <f>D22-G22</f>
        <v>0</v>
      </c>
      <c r="I22" s="269"/>
    </row>
    <row r="23" spans="1:1024" customHeight="1" ht="18.6">
      <c r="A23" s="265"/>
      <c r="B23" s="11" t="s">
        <v>644</v>
      </c>
      <c r="C23" s="12" t="s">
        <v>814</v>
      </c>
      <c r="D23" s="268">
        <v>1316.88</v>
      </c>
      <c r="E23" s="14"/>
      <c r="F23" s="271">
        <v>44742</v>
      </c>
      <c r="G23" s="270">
        <v>1316.88</v>
      </c>
      <c r="H23" s="17" t="str">
        <f>D23-G23</f>
        <v>0</v>
      </c>
      <c r="I23" s="269"/>
    </row>
    <row r="24" spans="1:1024" customHeight="1" ht="18.6">
      <c r="A24" s="265"/>
      <c r="B24" s="11" t="s">
        <v>644</v>
      </c>
      <c r="C24" s="12" t="s">
        <v>815</v>
      </c>
      <c r="D24" s="268">
        <v>4394.4</v>
      </c>
      <c r="E24" s="14" t="s">
        <v>816</v>
      </c>
      <c r="F24" s="271">
        <v>44742</v>
      </c>
      <c r="G24" s="270">
        <v>4394.4</v>
      </c>
      <c r="H24" s="17" t="str">
        <f>D24-G24</f>
        <v>0</v>
      </c>
      <c r="I24" s="269"/>
    </row>
    <row r="25" spans="1:1024" customHeight="1" ht="18.6">
      <c r="A25" s="265"/>
      <c r="B25" s="11" t="s">
        <v>644</v>
      </c>
      <c r="C25" s="12" t="s">
        <v>817</v>
      </c>
      <c r="D25" s="268">
        <v>1437.36</v>
      </c>
      <c r="E25" s="14"/>
      <c r="F25" s="271">
        <v>44742</v>
      </c>
      <c r="G25" s="270">
        <v>1437.36</v>
      </c>
      <c r="H25" s="17" t="str">
        <f>D25-G25</f>
        <v>0</v>
      </c>
      <c r="I25" s="269"/>
    </row>
    <row r="26" spans="1:1024" customHeight="1" ht="18.6">
      <c r="A26" s="265"/>
      <c r="B26" s="11" t="s">
        <v>644</v>
      </c>
      <c r="C26" s="12" t="s">
        <v>818</v>
      </c>
      <c r="D26" s="268">
        <v>6544.32</v>
      </c>
      <c r="E26" s="14" t="s">
        <v>796</v>
      </c>
      <c r="F26" s="271">
        <v>44742</v>
      </c>
      <c r="G26" s="270">
        <v>6544.32</v>
      </c>
      <c r="H26" s="17" t="str">
        <f>D26-G26</f>
        <v>0</v>
      </c>
      <c r="I26" s="269"/>
    </row>
    <row r="27" spans="1:1024" customHeight="1" ht="18.6">
      <c r="A27" s="265"/>
      <c r="B27" s="11"/>
      <c r="C27" s="12"/>
      <c r="D27" s="13"/>
      <c r="E27" s="14"/>
      <c r="F27" s="271"/>
      <c r="G27" s="270"/>
      <c r="H27" s="17"/>
      <c r="I27" s="269"/>
    </row>
    <row r="28" spans="1:1024" customHeight="1" ht="18.6">
      <c r="A28" s="265"/>
      <c r="B28" s="11"/>
      <c r="C28" s="12"/>
      <c r="D28" s="13"/>
      <c r="E28" s="14"/>
      <c r="F28" s="271"/>
      <c r="G28" s="270"/>
      <c r="H28" s="17"/>
      <c r="I28" s="269"/>
    </row>
    <row r="29" spans="1:1024" customHeight="1" ht="18.6">
      <c r="A29" s="265"/>
      <c r="B29" s="11"/>
      <c r="C29" s="12"/>
      <c r="D29" s="268"/>
      <c r="E29" s="14"/>
      <c r="F29" s="271"/>
      <c r="G29" s="270"/>
      <c r="H29" s="17"/>
      <c r="I29" s="269"/>
    </row>
    <row r="30" spans="1:1024" customHeight="1" ht="18.6">
      <c r="A30" s="265"/>
      <c r="B30" s="11"/>
      <c r="C30" s="12"/>
      <c r="D30" s="13"/>
      <c r="E30" s="461"/>
      <c r="F30" s="271"/>
      <c r="G30" s="270"/>
      <c r="H30" s="17"/>
      <c r="I30" s="269"/>
    </row>
    <row r="31" spans="1:1024" customHeight="1" ht="18.6">
      <c r="A31" s="265"/>
      <c r="B31" s="11"/>
      <c r="C31" s="12"/>
      <c r="D31" s="268"/>
      <c r="E31" s="14"/>
      <c r="F31" s="271"/>
      <c r="G31" s="270"/>
      <c r="H31" s="17"/>
      <c r="I31" s="269"/>
    </row>
    <row r="32" spans="1:1024" customHeight="1" ht="18.6">
      <c r="A32" s="273"/>
      <c r="B32" s="28" t="s">
        <v>35</v>
      </c>
      <c r="C32" s="22"/>
      <c r="D32" s="29" t="str">
        <f>+SUM(D2:D31)</f>
        <v>0</v>
      </c>
      <c r="E32" s="24"/>
      <c r="F32" s="25"/>
      <c r="G32" s="26"/>
      <c r="H32" s="30" t="str">
        <f>+SUM(H2:H31)</f>
        <v>0</v>
      </c>
      <c r="I32" s="429"/>
    </row>
    <row r="33" spans="1:1024" customHeight="1" ht="18.6">
      <c r="A33" s="357" t="s">
        <v>299</v>
      </c>
      <c r="B33" s="11" t="s">
        <v>300</v>
      </c>
      <c r="C33" s="12" t="s">
        <v>320</v>
      </c>
      <c r="D33" s="274">
        <v>15.24</v>
      </c>
      <c r="E33" s="275" t="s">
        <v>321</v>
      </c>
      <c r="F33" s="276">
        <v>15.24</v>
      </c>
      <c r="G33" s="277">
        <v>15.24</v>
      </c>
      <c r="H33" s="17" t="str">
        <f>D33-G33</f>
        <v>0</v>
      </c>
      <c r="I33" s="269"/>
    </row>
    <row r="34" spans="1:1024" customHeight="1" ht="18.6">
      <c r="A34" s="357"/>
      <c r="B34" s="11" t="s">
        <v>300</v>
      </c>
      <c r="C34" s="12" t="s">
        <v>303</v>
      </c>
      <c r="D34" s="268">
        <v>127.11</v>
      </c>
      <c r="E34" s="14" t="s">
        <v>302</v>
      </c>
      <c r="F34" s="271">
        <v>44686</v>
      </c>
      <c r="G34" s="272">
        <v>127.11</v>
      </c>
      <c r="H34" s="17" t="str">
        <f>D34-G34</f>
        <v>0</v>
      </c>
      <c r="I34" s="269"/>
    </row>
    <row r="35" spans="1:1024" customHeight="1" ht="18.6">
      <c r="A35" s="357"/>
      <c r="B35" s="11" t="s">
        <v>300</v>
      </c>
      <c r="C35" s="12" t="s">
        <v>305</v>
      </c>
      <c r="D35" s="268">
        <v>104.12</v>
      </c>
      <c r="E35" s="14"/>
      <c r="F35" s="271">
        <v>44686</v>
      </c>
      <c r="G35" s="272">
        <v>104.12</v>
      </c>
      <c r="H35" s="17" t="str">
        <f>D35-G35</f>
        <v>0</v>
      </c>
      <c r="I35" s="269"/>
    </row>
    <row r="36" spans="1:1024" customHeight="1" ht="18.6">
      <c r="A36" s="357"/>
      <c r="B36" s="11" t="s">
        <v>300</v>
      </c>
      <c r="C36" s="12" t="s">
        <v>306</v>
      </c>
      <c r="D36" s="268">
        <v>71.32</v>
      </c>
      <c r="E36" s="14"/>
      <c r="F36" s="271">
        <v>44686</v>
      </c>
      <c r="G36" s="272">
        <v>71.32</v>
      </c>
      <c r="H36" s="17" t="str">
        <f>D36-G36</f>
        <v>0</v>
      </c>
      <c r="I36" s="269"/>
    </row>
    <row r="37" spans="1:1024" customHeight="1" ht="18.6">
      <c r="A37" s="357"/>
      <c r="B37" s="11" t="s">
        <v>300</v>
      </c>
      <c r="C37" s="12" t="s">
        <v>307</v>
      </c>
      <c r="D37" s="274">
        <v>102.36</v>
      </c>
      <c r="E37" s="275"/>
      <c r="F37" s="271">
        <v>44686</v>
      </c>
      <c r="G37" s="277">
        <v>102.36</v>
      </c>
      <c r="H37" s="17" t="str">
        <f>D37-G37</f>
        <v>0</v>
      </c>
      <c r="I37" s="269"/>
    </row>
    <row r="38" spans="1:1024" customHeight="1" ht="18.6">
      <c r="A38" s="357"/>
      <c r="B38" s="11" t="s">
        <v>300</v>
      </c>
      <c r="C38" s="12" t="s">
        <v>301</v>
      </c>
      <c r="D38" s="268">
        <v>99.97</v>
      </c>
      <c r="E38" s="14" t="s">
        <v>302</v>
      </c>
      <c r="F38" s="271">
        <v>44686</v>
      </c>
      <c r="G38" s="272">
        <v>99.97</v>
      </c>
      <c r="H38" s="17" t="str">
        <f>D38-G38</f>
        <v>0</v>
      </c>
      <c r="I38" s="269"/>
    </row>
    <row r="39" spans="1:1024" customHeight="1" ht="18.6">
      <c r="A39" s="357"/>
      <c r="B39" s="11" t="s">
        <v>551</v>
      </c>
      <c r="C39" s="12"/>
      <c r="D39" s="268">
        <v>53.88</v>
      </c>
      <c r="E39" s="14"/>
      <c r="F39" s="271">
        <v>44686</v>
      </c>
      <c r="G39" s="272">
        <v>53.88</v>
      </c>
      <c r="H39" s="17" t="str">
        <f>D39-G39</f>
        <v>0</v>
      </c>
      <c r="I39" s="269"/>
    </row>
    <row r="40" spans="1:1024" customHeight="1" ht="18.6">
      <c r="A40" s="357"/>
      <c r="B40" s="11" t="s">
        <v>314</v>
      </c>
      <c r="C40" s="12"/>
      <c r="D40" s="268">
        <v>50</v>
      </c>
      <c r="E40" s="14" t="s">
        <v>315</v>
      </c>
      <c r="F40" s="271">
        <v>44687</v>
      </c>
      <c r="G40" s="272">
        <v>50</v>
      </c>
      <c r="H40" s="17" t="str">
        <f>D40-G40</f>
        <v>0</v>
      </c>
      <c r="I40" s="269"/>
    </row>
    <row r="41" spans="1:1024" customHeight="1" ht="18.6">
      <c r="A41" s="357"/>
      <c r="B41" s="11" t="s">
        <v>314</v>
      </c>
      <c r="C41" s="12"/>
      <c r="D41" s="274">
        <v>38</v>
      </c>
      <c r="E41" s="275"/>
      <c r="F41" s="271">
        <v>44702</v>
      </c>
      <c r="G41" s="277">
        <v>38</v>
      </c>
      <c r="H41" s="17" t="str">
        <f>D41-G41</f>
        <v>0</v>
      </c>
      <c r="I41" s="269"/>
    </row>
    <row r="42" spans="1:1024" customHeight="1" ht="18.6">
      <c r="A42" s="357"/>
      <c r="B42" s="11" t="s">
        <v>658</v>
      </c>
      <c r="C42" s="12" t="s">
        <v>819</v>
      </c>
      <c r="D42" s="268">
        <v>891.47</v>
      </c>
      <c r="E42" s="14"/>
      <c r="F42" s="271">
        <v>44713</v>
      </c>
      <c r="G42" s="272">
        <v>891.47</v>
      </c>
      <c r="H42" s="17" t="str">
        <f>D42-G42</f>
        <v>0</v>
      </c>
      <c r="I42" s="269"/>
    </row>
    <row r="43" spans="1:1024" customHeight="1" ht="18.6">
      <c r="A43" s="357"/>
      <c r="B43" s="11" t="s">
        <v>308</v>
      </c>
      <c r="C43" s="12"/>
      <c r="D43" s="268">
        <v>3203.09</v>
      </c>
      <c r="E43" s="14" t="s">
        <v>439</v>
      </c>
      <c r="F43" s="271">
        <v>44718</v>
      </c>
      <c r="G43" s="272">
        <v>3203.09</v>
      </c>
      <c r="H43" s="17" t="str">
        <f>D43-G43</f>
        <v>0</v>
      </c>
      <c r="I43" s="269"/>
    </row>
    <row r="44" spans="1:1024" customHeight="1" ht="18.6">
      <c r="A44" s="357"/>
      <c r="B44" s="11" t="s">
        <v>300</v>
      </c>
      <c r="C44" s="12" t="s">
        <v>304</v>
      </c>
      <c r="D44" s="268">
        <v>85.99</v>
      </c>
      <c r="E44" s="14"/>
      <c r="F44" s="271">
        <v>44718</v>
      </c>
      <c r="G44" s="272">
        <v>85.99</v>
      </c>
      <c r="H44" s="17" t="str">
        <f>D44-G44</f>
        <v>0</v>
      </c>
      <c r="I44" s="269"/>
    </row>
    <row r="45" spans="1:1024" customHeight="1" ht="18.6">
      <c r="A45" s="357"/>
      <c r="B45" s="11" t="s">
        <v>311</v>
      </c>
      <c r="C45" s="12"/>
      <c r="D45" s="268">
        <v>135.38</v>
      </c>
      <c r="E45" s="14"/>
      <c r="F45" s="271">
        <v>44721</v>
      </c>
      <c r="G45" s="272">
        <v>135.38</v>
      </c>
      <c r="H45" s="17" t="str">
        <f>D45-G45</f>
        <v>0</v>
      </c>
      <c r="I45" s="269"/>
    </row>
    <row r="46" spans="1:1024" customHeight="1" ht="18.6">
      <c r="A46" s="357"/>
      <c r="B46" s="11" t="s">
        <v>35</v>
      </c>
      <c r="C46" s="12" t="s">
        <v>820</v>
      </c>
      <c r="D46" s="268">
        <v>1944.5</v>
      </c>
      <c r="E46" s="14" t="s">
        <v>388</v>
      </c>
      <c r="F46" s="271">
        <v>44722</v>
      </c>
      <c r="G46" s="272">
        <v>1944.5</v>
      </c>
      <c r="H46" s="17" t="str">
        <f>D46-G46</f>
        <v>0</v>
      </c>
      <c r="I46" s="269"/>
    </row>
    <row r="47" spans="1:1024" customHeight="1" ht="18.6">
      <c r="A47" s="357"/>
      <c r="B47" s="11" t="s">
        <v>316</v>
      </c>
      <c r="C47" s="12" t="s">
        <v>550</v>
      </c>
      <c r="D47" s="274" t="str">
        <f>15.95*2</f>
        <v>0</v>
      </c>
      <c r="E47" s="275" t="s">
        <v>661</v>
      </c>
      <c r="F47" s="276">
        <v>44722</v>
      </c>
      <c r="G47" s="277">
        <v>31.9</v>
      </c>
      <c r="H47" s="17" t="str">
        <f>D47-G47</f>
        <v>0</v>
      </c>
      <c r="I47" s="269"/>
    </row>
    <row r="48" spans="1:1024" customHeight="1" ht="18.6">
      <c r="A48" s="357"/>
      <c r="B48" s="11" t="s">
        <v>561</v>
      </c>
      <c r="C48" s="12"/>
      <c r="D48" s="268">
        <v>16.99</v>
      </c>
      <c r="E48" s="275" t="s">
        <v>562</v>
      </c>
      <c r="F48" s="271">
        <v>44722</v>
      </c>
      <c r="G48" s="272">
        <v>16.99</v>
      </c>
      <c r="H48" s="17" t="str">
        <f>D48-G48</f>
        <v>0</v>
      </c>
      <c r="I48" s="269"/>
    </row>
    <row r="49" spans="1:1024" customHeight="1" ht="18.6">
      <c r="A49" s="357"/>
      <c r="B49" s="431" t="s">
        <v>322</v>
      </c>
      <c r="C49" s="432"/>
      <c r="D49" s="441">
        <v>11809</v>
      </c>
      <c r="E49" s="462">
        <v>44682</v>
      </c>
      <c r="F49" s="443">
        <v>44728</v>
      </c>
      <c r="G49" s="444">
        <v>11809</v>
      </c>
      <c r="H49" s="437" t="str">
        <f>D49-G49</f>
        <v>0</v>
      </c>
      <c r="I49" s="438"/>
    </row>
    <row r="50" spans="1:1024" customHeight="1" ht="18.6">
      <c r="A50" s="357"/>
      <c r="B50" s="11" t="s">
        <v>300</v>
      </c>
      <c r="C50" s="12" t="s">
        <v>324</v>
      </c>
      <c r="D50" s="268">
        <v>93.87</v>
      </c>
      <c r="E50" s="14"/>
      <c r="F50" s="271">
        <v>44728</v>
      </c>
      <c r="G50" s="272">
        <v>93.87</v>
      </c>
      <c r="H50" s="17" t="str">
        <f>D50-G50</f>
        <v>0</v>
      </c>
      <c r="I50" s="269"/>
    </row>
    <row r="51" spans="1:1024" customHeight="1" ht="18.6">
      <c r="A51" s="357"/>
      <c r="B51" s="431" t="s">
        <v>327</v>
      </c>
      <c r="C51" s="440" t="s">
        <v>328</v>
      </c>
      <c r="D51" s="433">
        <v>5467</v>
      </c>
      <c r="E51" s="434" t="s">
        <v>666</v>
      </c>
      <c r="F51" s="271">
        <v>44731</v>
      </c>
      <c r="G51" s="436">
        <v>5467</v>
      </c>
      <c r="H51" s="437" t="str">
        <f>D51-G51</f>
        <v>0</v>
      </c>
      <c r="I51" s="438"/>
    </row>
    <row r="52" spans="1:1024" customHeight="1" ht="18.6">
      <c r="A52" s="357"/>
      <c r="B52" s="463" t="s">
        <v>573</v>
      </c>
      <c r="C52" s="464" t="s">
        <v>574</v>
      </c>
      <c r="D52" s="274">
        <v>588</v>
      </c>
      <c r="E52" s="275" t="s">
        <v>665</v>
      </c>
      <c r="F52" s="271">
        <v>44732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437</v>
      </c>
      <c r="C53" s="12" t="s">
        <v>755</v>
      </c>
      <c r="D53" s="268">
        <v>21.53</v>
      </c>
      <c r="E53" s="14" t="s">
        <v>756</v>
      </c>
      <c r="F53" s="271">
        <v>44732</v>
      </c>
      <c r="G53" s="272">
        <v>21.53</v>
      </c>
      <c r="H53" s="17" t="str">
        <f>D53-G53</f>
        <v>0</v>
      </c>
      <c r="I53" s="269"/>
    </row>
    <row r="54" spans="1:1024" customHeight="1" ht="18.6">
      <c r="A54" s="357"/>
      <c r="B54" s="297" t="s">
        <v>821</v>
      </c>
      <c r="C54" s="12" t="s">
        <v>822</v>
      </c>
      <c r="D54" s="268">
        <v>212.3</v>
      </c>
      <c r="E54" s="14" t="s">
        <v>258</v>
      </c>
      <c r="F54" s="271">
        <v>44732</v>
      </c>
      <c r="G54" s="272">
        <v>212.3</v>
      </c>
      <c r="H54" s="17" t="str">
        <f>D54-G54</f>
        <v>0</v>
      </c>
      <c r="I54" s="269"/>
    </row>
    <row r="55" spans="1:1024" customHeight="1" ht="18.6">
      <c r="A55" s="357"/>
      <c r="B55" s="297" t="s">
        <v>821</v>
      </c>
      <c r="C55" s="12" t="s">
        <v>823</v>
      </c>
      <c r="D55" s="268">
        <v>3364.85</v>
      </c>
      <c r="E55" s="14" t="s">
        <v>258</v>
      </c>
      <c r="F55" s="271">
        <v>44732</v>
      </c>
      <c r="G55" s="272">
        <v>3364.85</v>
      </c>
      <c r="H55" s="17" t="str">
        <f>D55-G55</f>
        <v>0</v>
      </c>
      <c r="I55" s="269"/>
    </row>
    <row r="56" spans="1:1024" customHeight="1" ht="18.6">
      <c r="A56" s="357"/>
      <c r="B56" s="11" t="s">
        <v>314</v>
      </c>
      <c r="C56" s="12" t="s">
        <v>824</v>
      </c>
      <c r="D56" s="274">
        <v>43</v>
      </c>
      <c r="E56" s="275" t="s">
        <v>825</v>
      </c>
      <c r="F56" s="271">
        <v>44732</v>
      </c>
      <c r="G56" s="277">
        <v>43</v>
      </c>
      <c r="H56" s="17" t="str">
        <f>D56-G56</f>
        <v>0</v>
      </c>
      <c r="I56" s="269"/>
    </row>
    <row r="57" spans="1:1024" customHeight="1" ht="18.6">
      <c r="A57" s="357"/>
      <c r="B57" s="343" t="s">
        <v>761</v>
      </c>
      <c r="C57" s="432"/>
      <c r="D57" s="433">
        <v>1809.12</v>
      </c>
      <c r="E57" s="434" t="s">
        <v>826</v>
      </c>
      <c r="F57" s="271">
        <v>44735</v>
      </c>
      <c r="G57" s="436">
        <v>1809.12</v>
      </c>
      <c r="H57" s="437" t="str">
        <f>D57-G57</f>
        <v>0</v>
      </c>
      <c r="I57" s="438"/>
    </row>
    <row r="58" spans="1:1024" customHeight="1" ht="18.6">
      <c r="A58" s="357"/>
      <c r="B58" s="11" t="s">
        <v>35</v>
      </c>
      <c r="C58" s="12" t="s">
        <v>572</v>
      </c>
      <c r="D58" s="274">
        <v>2344.68</v>
      </c>
      <c r="E58" s="275"/>
      <c r="F58" s="271">
        <v>44737</v>
      </c>
      <c r="G58" s="277">
        <v>2344.68</v>
      </c>
      <c r="H58" s="17" t="str">
        <f>D58-G58</f>
        <v>0</v>
      </c>
      <c r="I58" s="269"/>
    </row>
    <row r="59" spans="1:1024" customHeight="1" ht="18.6">
      <c r="A59" s="357"/>
      <c r="B59" s="343" t="s">
        <v>762</v>
      </c>
      <c r="C59" s="440"/>
      <c r="D59" s="433">
        <v>2202.95</v>
      </c>
      <c r="E59" s="434" t="s">
        <v>667</v>
      </c>
      <c r="F59" s="271">
        <v>44737</v>
      </c>
      <c r="G59" s="436">
        <v>2202.95</v>
      </c>
      <c r="H59" s="437" t="str">
        <f>D59-G59</f>
        <v>0</v>
      </c>
      <c r="I59" s="438"/>
    </row>
    <row r="60" spans="1:1024" customHeight="1" ht="18.6">
      <c r="A60" s="357"/>
      <c r="B60" s="11" t="s">
        <v>448</v>
      </c>
      <c r="C60" s="12" t="s">
        <v>449</v>
      </c>
      <c r="D60" s="268">
        <v>1224</v>
      </c>
      <c r="E60" s="14" t="s">
        <v>450</v>
      </c>
      <c r="F60" s="271">
        <v>44737</v>
      </c>
      <c r="G60" s="272">
        <v>1224</v>
      </c>
      <c r="H60" s="17" t="str">
        <f>D60-G60</f>
        <v>0</v>
      </c>
      <c r="I60" s="269"/>
    </row>
    <row r="61" spans="1:1024" customHeight="1" ht="18.6">
      <c r="A61" s="357"/>
      <c r="B61" s="11" t="s">
        <v>445</v>
      </c>
      <c r="C61" s="12" t="s">
        <v>827</v>
      </c>
      <c r="D61" s="274">
        <v>811.94</v>
      </c>
      <c r="E61" s="275" t="s">
        <v>682</v>
      </c>
      <c r="F61" s="271">
        <v>44742</v>
      </c>
      <c r="G61" s="277">
        <v>811.94</v>
      </c>
      <c r="H61" s="17" t="str">
        <f>D61-G61</f>
        <v>0</v>
      </c>
      <c r="I61" s="269"/>
    </row>
    <row r="62" spans="1:1024" customHeight="1" ht="18.6">
      <c r="A62" s="357"/>
      <c r="B62" s="280" t="s">
        <v>314</v>
      </c>
      <c r="C62" s="12"/>
      <c r="D62" s="369">
        <v>31</v>
      </c>
      <c r="E62" s="275"/>
      <c r="F62" s="271">
        <v>44742</v>
      </c>
      <c r="G62" s="277">
        <v>31</v>
      </c>
      <c r="H62" s="445" t="str">
        <f>D62-G62</f>
        <v>0</v>
      </c>
      <c r="I62" s="328"/>
    </row>
    <row r="63" spans="1:1024" customHeight="1" ht="18.6">
      <c r="A63" s="357"/>
      <c r="B63" s="280" t="s">
        <v>314</v>
      </c>
      <c r="C63" s="12" t="s">
        <v>325</v>
      </c>
      <c r="D63" s="369">
        <v>31</v>
      </c>
      <c r="E63" s="275" t="s">
        <v>326</v>
      </c>
      <c r="F63" s="271">
        <v>44742</v>
      </c>
      <c r="G63" s="277">
        <v>31</v>
      </c>
      <c r="H63" s="445" t="str">
        <f>D63-G63</f>
        <v>0</v>
      </c>
      <c r="I63" s="328"/>
    </row>
    <row r="64" spans="1:1024" customHeight="1" ht="18.6">
      <c r="A64" s="357"/>
      <c r="B64" s="280" t="s">
        <v>338</v>
      </c>
      <c r="C64" s="12" t="s">
        <v>339</v>
      </c>
      <c r="D64" s="369">
        <v>5283.09</v>
      </c>
      <c r="E64" s="275"/>
      <c r="F64" s="271">
        <v>44737</v>
      </c>
      <c r="G64" s="277">
        <v>5283.09</v>
      </c>
      <c r="H64" s="445" t="str">
        <f>D64-G64</f>
        <v>0</v>
      </c>
      <c r="I64" s="372"/>
    </row>
    <row r="65" spans="1:1024" customHeight="1" ht="18.6">
      <c r="A65" s="357"/>
      <c r="B65" s="280" t="s">
        <v>314</v>
      </c>
      <c r="C65" s="12" t="s">
        <v>828</v>
      </c>
      <c r="D65" s="369">
        <v>32</v>
      </c>
      <c r="E65" s="275" t="s">
        <v>670</v>
      </c>
      <c r="F65" s="276">
        <v>44729</v>
      </c>
      <c r="G65" s="277">
        <v>32</v>
      </c>
      <c r="H65" s="445" t="str">
        <f>D65-G65</f>
        <v>0</v>
      </c>
      <c r="I65" s="372"/>
    </row>
    <row r="66" spans="1:1024" customHeight="1" ht="18.6">
      <c r="A66" s="357"/>
      <c r="B66" s="280"/>
      <c r="C66" s="12"/>
      <c r="D66" s="369"/>
      <c r="E66" s="275"/>
      <c r="F66" s="271"/>
      <c r="G66" s="277"/>
      <c r="H66" s="445"/>
      <c r="I66" s="372"/>
    </row>
    <row r="67" spans="1:1024" customHeight="1" ht="18.6">
      <c r="A67" s="357"/>
      <c r="B67" s="280"/>
      <c r="C67" s="12"/>
      <c r="D67" s="369"/>
      <c r="E67" s="275"/>
      <c r="F67" s="276"/>
      <c r="G67" s="277"/>
      <c r="H67" s="445"/>
      <c r="I67" s="372"/>
    </row>
    <row r="68" spans="1:1024" customHeight="1" ht="18.6">
      <c r="A68" s="357"/>
      <c r="B68" s="28" t="s">
        <v>35</v>
      </c>
      <c r="C68" s="22"/>
      <c r="D68" s="29" t="str">
        <f>SUM(D33:D65)</f>
        <v>0</v>
      </c>
      <c r="E68" s="24"/>
      <c r="F68" s="25"/>
      <c r="G68" s="26"/>
      <c r="H68" s="30" t="str">
        <f>+SUM(H33:H64)</f>
        <v>0</v>
      </c>
      <c r="I68" s="429"/>
    </row>
    <row r="69" spans="1:1024" customHeight="1" ht="18.6">
      <c r="A69" s="376" t="s">
        <v>341</v>
      </c>
      <c r="B69" s="11" t="s">
        <v>554</v>
      </c>
      <c r="C69" s="12"/>
      <c r="D69" s="268">
        <v>1100</v>
      </c>
      <c r="E69" s="14" t="s">
        <v>555</v>
      </c>
      <c r="F69" s="271">
        <v>44657</v>
      </c>
      <c r="G69" s="272">
        <v>1100</v>
      </c>
      <c r="H69" s="17" t="str">
        <f>D69-G69</f>
        <v>0</v>
      </c>
      <c r="I69" s="269"/>
    </row>
    <row r="70" spans="1:1024" customHeight="1" ht="18.6">
      <c r="A70" s="376"/>
      <c r="B70" s="11" t="s">
        <v>559</v>
      </c>
      <c r="C70" s="12"/>
      <c r="D70" s="268">
        <v>500</v>
      </c>
      <c r="E70" s="14" t="s">
        <v>462</v>
      </c>
      <c r="F70" s="271">
        <v>44657</v>
      </c>
      <c r="G70" s="272">
        <v>500</v>
      </c>
      <c r="H70" s="17" t="str">
        <f>D70-G70</f>
        <v>0</v>
      </c>
      <c r="I70" s="269"/>
    </row>
    <row r="71" spans="1:1024" customHeight="1" ht="18.6">
      <c r="A71" s="376"/>
      <c r="B71" s="11" t="s">
        <v>686</v>
      </c>
      <c r="C71" s="12" t="s">
        <v>687</v>
      </c>
      <c r="D71" s="268">
        <v>2100</v>
      </c>
      <c r="E71" s="14" t="s">
        <v>688</v>
      </c>
      <c r="F71" s="271">
        <v>44657</v>
      </c>
      <c r="G71" s="272">
        <v>2100</v>
      </c>
      <c r="H71" s="17" t="str">
        <f>D71-G71</f>
        <v>0</v>
      </c>
      <c r="I71" s="269"/>
    </row>
    <row r="72" spans="1:1024" customHeight="1" ht="18.6">
      <c r="A72" s="376"/>
      <c r="B72" s="297" t="s">
        <v>829</v>
      </c>
      <c r="C72" s="12" t="s">
        <v>830</v>
      </c>
      <c r="D72" s="268">
        <v>1957.22</v>
      </c>
      <c r="E72" s="465" t="s">
        <v>831</v>
      </c>
      <c r="F72" s="271">
        <v>44712</v>
      </c>
      <c r="G72" s="272">
        <v>1957.22</v>
      </c>
      <c r="H72" s="466" t="str">
        <f>D72-G72</f>
        <v>0</v>
      </c>
      <c r="I72" s="267"/>
    </row>
    <row r="73" spans="1:1024" customHeight="1" ht="18.6">
      <c r="A73" s="376"/>
      <c r="B73" s="297" t="s">
        <v>778</v>
      </c>
      <c r="C73" s="12" t="s">
        <v>832</v>
      </c>
      <c r="D73" s="268">
        <v>650</v>
      </c>
      <c r="E73" s="14" t="s">
        <v>776</v>
      </c>
      <c r="F73" s="271">
        <v>44722</v>
      </c>
      <c r="G73" s="272">
        <v>650</v>
      </c>
      <c r="H73" s="466" t="str">
        <f>D73-G73</f>
        <v>0</v>
      </c>
      <c r="I73" s="267"/>
    </row>
    <row r="74" spans="1:1024" customHeight="1" ht="18.6">
      <c r="A74" s="376"/>
      <c r="B74" s="297" t="s">
        <v>833</v>
      </c>
      <c r="C74" s="12" t="s">
        <v>834</v>
      </c>
      <c r="D74" s="268">
        <v>20000</v>
      </c>
      <c r="E74" s="14" t="s">
        <v>835</v>
      </c>
      <c r="F74" s="271">
        <v>44722</v>
      </c>
      <c r="G74" s="272">
        <v>20000</v>
      </c>
      <c r="H74" s="466" t="str">
        <f>D74-G74</f>
        <v>0</v>
      </c>
      <c r="I74" s="269"/>
    </row>
    <row r="75" spans="1:1024" customHeight="1" ht="18.6">
      <c r="A75" s="376"/>
      <c r="B75" s="297" t="s">
        <v>472</v>
      </c>
      <c r="C75" s="12" t="s">
        <v>836</v>
      </c>
      <c r="D75" s="268">
        <v>1642.38</v>
      </c>
      <c r="E75" s="465" t="s">
        <v>837</v>
      </c>
      <c r="F75" s="271">
        <v>44726</v>
      </c>
      <c r="G75" s="272">
        <v>1642.38</v>
      </c>
      <c r="H75" s="466" t="str">
        <f>D75-G75</f>
        <v>0</v>
      </c>
      <c r="I75" s="267"/>
    </row>
    <row r="76" spans="1:1024" customHeight="1" ht="18.6">
      <c r="A76" s="376"/>
      <c r="B76" s="297" t="s">
        <v>472</v>
      </c>
      <c r="C76" s="12" t="s">
        <v>838</v>
      </c>
      <c r="D76" s="268">
        <v>881.51</v>
      </c>
      <c r="E76" s="465" t="s">
        <v>13</v>
      </c>
      <c r="F76" s="271">
        <v>44726</v>
      </c>
      <c r="G76" s="272">
        <v>881.51</v>
      </c>
      <c r="H76" s="466" t="str">
        <f>D76-G76</f>
        <v>0</v>
      </c>
      <c r="I76" s="267"/>
    </row>
    <row r="77" spans="1:1024" customHeight="1" ht="18.6">
      <c r="A77" s="376"/>
      <c r="B77" s="11" t="s">
        <v>589</v>
      </c>
      <c r="C77" s="12"/>
      <c r="D77" s="268">
        <v>34735.76</v>
      </c>
      <c r="E77" s="14"/>
      <c r="F77" s="271">
        <v>44727</v>
      </c>
      <c r="G77" s="272">
        <v>34735.76</v>
      </c>
      <c r="H77" s="17" t="str">
        <f>D77-G77</f>
        <v>0</v>
      </c>
      <c r="I77" s="269"/>
    </row>
    <row r="78" spans="1:1024" customHeight="1" ht="18.6">
      <c r="A78" s="376"/>
      <c r="B78" s="297" t="s">
        <v>148</v>
      </c>
      <c r="C78" s="12" t="s">
        <v>839</v>
      </c>
      <c r="D78" s="268">
        <v>7083.6</v>
      </c>
      <c r="E78" s="14" t="s">
        <v>253</v>
      </c>
      <c r="F78" s="271">
        <v>44727</v>
      </c>
      <c r="G78" s="272"/>
      <c r="H78" s="466" t="str">
        <f>D78-G78</f>
        <v>0</v>
      </c>
      <c r="I78" s="269"/>
    </row>
    <row r="79" spans="1:1024" customHeight="1" ht="18.6">
      <c r="A79" s="376"/>
      <c r="B79" s="297" t="s">
        <v>840</v>
      </c>
      <c r="C79" s="12" t="s">
        <v>841</v>
      </c>
      <c r="D79" s="268">
        <v>207.11</v>
      </c>
      <c r="E79" s="465"/>
      <c r="F79" s="271">
        <v>44728</v>
      </c>
      <c r="G79" s="272"/>
      <c r="H79" s="466" t="str">
        <f>D79-G79</f>
        <v>0</v>
      </c>
      <c r="I79" s="269"/>
    </row>
    <row r="80" spans="1:1024" customHeight="1" ht="18.6">
      <c r="A80" s="376"/>
      <c r="B80" s="467" t="s">
        <v>128</v>
      </c>
      <c r="C80" s="323" t="s">
        <v>842</v>
      </c>
      <c r="D80" s="268">
        <v>2400</v>
      </c>
      <c r="E80" s="14" t="s">
        <v>258</v>
      </c>
      <c r="F80" s="324">
        <v>44732</v>
      </c>
      <c r="G80" s="272">
        <v>2400</v>
      </c>
      <c r="H80" s="17" t="str">
        <f>D80-G80</f>
        <v>0</v>
      </c>
      <c r="I80" s="328"/>
    </row>
    <row r="81" spans="1:1024" customHeight="1" ht="18.6">
      <c r="A81" s="376"/>
      <c r="B81" s="322" t="s">
        <v>128</v>
      </c>
      <c r="C81" s="323" t="s">
        <v>843</v>
      </c>
      <c r="D81" s="268">
        <v>900</v>
      </c>
      <c r="E81" s="14" t="s">
        <v>593</v>
      </c>
      <c r="F81" s="324">
        <v>44732</v>
      </c>
      <c r="G81" s="272">
        <v>900</v>
      </c>
      <c r="H81" s="466" t="str">
        <f>D81-G81</f>
        <v>0</v>
      </c>
      <c r="I81" s="325"/>
    </row>
    <row r="82" spans="1:1024" customHeight="1" ht="18.6">
      <c r="A82" s="376"/>
      <c r="B82" s="467" t="s">
        <v>367</v>
      </c>
      <c r="C82" s="323" t="s">
        <v>844</v>
      </c>
      <c r="D82" s="268">
        <v>3000</v>
      </c>
      <c r="E82" s="14" t="s">
        <v>253</v>
      </c>
      <c r="F82" s="324">
        <v>44742</v>
      </c>
      <c r="G82" s="272">
        <v>3000</v>
      </c>
      <c r="H82" s="17" t="str">
        <f>D82-G82</f>
        <v>0</v>
      </c>
      <c r="I82" s="328"/>
    </row>
    <row r="83" spans="1:1024" customHeight="1" ht="18.6">
      <c r="A83" s="376"/>
      <c r="B83" s="468" t="s">
        <v>361</v>
      </c>
      <c r="C83" s="469" t="s">
        <v>845</v>
      </c>
      <c r="D83" s="470">
        <v>15984.76</v>
      </c>
      <c r="E83" s="471" t="s">
        <v>258</v>
      </c>
      <c r="F83" s="472">
        <v>44742</v>
      </c>
      <c r="G83" s="473">
        <v>15984.76</v>
      </c>
      <c r="H83" s="474" t="str">
        <f>D83-G83</f>
        <v>0</v>
      </c>
      <c r="I83" s="475"/>
    </row>
    <row r="84" spans="1:1024" customHeight="1" ht="20.25">
      <c r="A84" s="376"/>
      <c r="B84" s="468" t="s">
        <v>361</v>
      </c>
      <c r="C84" s="469" t="s">
        <v>846</v>
      </c>
      <c r="D84" s="470">
        <v>2555.99</v>
      </c>
      <c r="E84" s="471" t="s">
        <v>258</v>
      </c>
      <c r="F84" s="472">
        <v>44742</v>
      </c>
      <c r="G84" s="473">
        <v>2555.99</v>
      </c>
      <c r="H84" s="474" t="str">
        <f>D84-G84</f>
        <v>0</v>
      </c>
      <c r="I84" s="475"/>
    </row>
    <row r="85" spans="1:1024" customHeight="1" ht="20.25">
      <c r="A85" s="376"/>
      <c r="B85" s="468" t="s">
        <v>361</v>
      </c>
      <c r="C85" s="469" t="s">
        <v>847</v>
      </c>
      <c r="D85" s="470">
        <v>9580.06</v>
      </c>
      <c r="E85" s="476" t="s">
        <v>258</v>
      </c>
      <c r="F85" s="472">
        <v>44742</v>
      </c>
      <c r="G85" s="473">
        <v>9580.06</v>
      </c>
      <c r="H85" s="474" t="str">
        <f>D85-G85</f>
        <v>0</v>
      </c>
      <c r="I85" s="475"/>
    </row>
    <row r="86" spans="1:1024" customHeight="1" ht="20.25">
      <c r="A86" s="376"/>
      <c r="B86" s="468" t="s">
        <v>361</v>
      </c>
      <c r="C86" s="469" t="s">
        <v>848</v>
      </c>
      <c r="D86" s="470">
        <v>1958.87</v>
      </c>
      <c r="E86" s="471" t="s">
        <v>258</v>
      </c>
      <c r="F86" s="477">
        <v>44742</v>
      </c>
      <c r="G86" s="473">
        <v>1958.87</v>
      </c>
      <c r="H86" s="474" t="str">
        <f>D86-G86</f>
        <v>0</v>
      </c>
      <c r="I86" s="478"/>
    </row>
    <row r="87" spans="1:1024" customHeight="1" ht="20.25">
      <c r="A87" s="376"/>
      <c r="B87" s="322" t="s">
        <v>849</v>
      </c>
      <c r="C87" s="323" t="s">
        <v>850</v>
      </c>
      <c r="D87" s="268">
        <v>540</v>
      </c>
      <c r="E87" s="237" t="s">
        <v>851</v>
      </c>
      <c r="F87" s="324">
        <v>44742</v>
      </c>
      <c r="G87" s="272"/>
      <c r="H87" s="466" t="str">
        <f>D87-G87</f>
        <v>0</v>
      </c>
      <c r="I87" s="325"/>
    </row>
    <row r="88" spans="1:1024" customHeight="1" ht="20.25">
      <c r="A88" s="376"/>
      <c r="B88" s="322" t="s">
        <v>130</v>
      </c>
      <c r="C88" s="323" t="s">
        <v>852</v>
      </c>
      <c r="D88" s="268">
        <v>7686</v>
      </c>
      <c r="E88" s="330" t="s">
        <v>430</v>
      </c>
      <c r="F88" s="324">
        <v>44742</v>
      </c>
      <c r="G88" s="272"/>
      <c r="H88" s="466" t="str">
        <f>D88-G88</f>
        <v>0</v>
      </c>
      <c r="I88" s="328"/>
    </row>
    <row r="89" spans="1:1024" customHeight="1" ht="20.25">
      <c r="A89" s="376"/>
      <c r="B89" s="322" t="s">
        <v>130</v>
      </c>
      <c r="C89" s="323" t="s">
        <v>853</v>
      </c>
      <c r="D89" s="268">
        <v>1950</v>
      </c>
      <c r="E89" s="237" t="s">
        <v>854</v>
      </c>
      <c r="F89" s="324">
        <v>44742</v>
      </c>
      <c r="G89" s="272"/>
      <c r="H89" s="466" t="str">
        <f>D89-G89</f>
        <v>0</v>
      </c>
      <c r="I89" s="325"/>
    </row>
    <row r="90" spans="1:1024" customHeight="1" ht="20.25">
      <c r="A90" s="376"/>
      <c r="B90" s="322" t="s">
        <v>130</v>
      </c>
      <c r="C90" s="323" t="s">
        <v>855</v>
      </c>
      <c r="D90" s="268">
        <v>6188</v>
      </c>
      <c r="E90" s="237" t="s">
        <v>441</v>
      </c>
      <c r="F90" s="324">
        <v>44742</v>
      </c>
      <c r="G90" s="272"/>
      <c r="H90" s="466" t="str">
        <f>D90-G90</f>
        <v>0</v>
      </c>
      <c r="I90" s="328"/>
    </row>
    <row r="91" spans="1:1024" customHeight="1" ht="20.25">
      <c r="A91" s="376"/>
      <c r="B91" s="467" t="s">
        <v>768</v>
      </c>
      <c r="C91" s="323"/>
      <c r="D91" s="268">
        <v>600</v>
      </c>
      <c r="E91" s="237" t="s">
        <v>769</v>
      </c>
      <c r="F91" s="324"/>
      <c r="G91" s="272">
        <v>600</v>
      </c>
      <c r="H91" s="17" t="str">
        <f>D91-G91</f>
        <v>0</v>
      </c>
      <c r="I91" s="328"/>
    </row>
    <row r="92" spans="1:1024" customHeight="1" ht="20.25">
      <c r="A92" s="376"/>
      <c r="B92" s="297"/>
      <c r="C92" s="12"/>
      <c r="D92" s="268"/>
      <c r="E92" s="14"/>
      <c r="F92" s="271"/>
      <c r="G92" s="272"/>
      <c r="H92" s="466" t="str">
        <f>D92-G92</f>
        <v>0</v>
      </c>
      <c r="I92" s="267"/>
    </row>
    <row r="93" spans="1:1024" customHeight="1" ht="20.25">
      <c r="A93" s="376"/>
      <c r="B93" s="322"/>
      <c r="C93" s="323"/>
      <c r="D93" s="268"/>
      <c r="E93" s="237"/>
      <c r="F93" s="324"/>
      <c r="G93" s="272"/>
      <c r="H93" s="466" t="str">
        <f>D93-G93</f>
        <v>0</v>
      </c>
      <c r="I93" s="328"/>
    </row>
    <row r="94" spans="1:1024" customHeight="1" ht="20.25">
      <c r="A94" s="376"/>
      <c r="B94" s="322"/>
      <c r="C94" s="323"/>
      <c r="D94" s="268"/>
      <c r="E94" s="330"/>
      <c r="F94" s="324"/>
      <c r="G94" s="272"/>
      <c r="H94" s="466" t="str">
        <f>D94-G94</f>
        <v>0</v>
      </c>
      <c r="I94" s="325"/>
    </row>
    <row r="95" spans="1:1024" customHeight="1" ht="20.25">
      <c r="A95" s="376"/>
      <c r="B95" s="322"/>
      <c r="C95" s="323"/>
      <c r="D95" s="268"/>
      <c r="E95" s="330"/>
      <c r="F95" s="324"/>
      <c r="G95" s="272"/>
      <c r="H95" s="466" t="str">
        <f>D95-G95</f>
        <v>0</v>
      </c>
      <c r="I95" s="325"/>
    </row>
    <row r="96" spans="1:1024" customHeight="1" ht="20.25">
      <c r="A96" s="376"/>
      <c r="B96" s="322"/>
      <c r="C96" s="323"/>
      <c r="D96" s="268"/>
      <c r="E96" s="330"/>
      <c r="F96" s="324"/>
      <c r="G96" s="272"/>
      <c r="H96" s="17" t="str">
        <f>D96-G96</f>
        <v>0</v>
      </c>
      <c r="I96" s="325"/>
    </row>
    <row r="97" spans="1:1024" customHeight="1" ht="18.6">
      <c r="A97" s="376"/>
      <c r="B97" s="311" t="s">
        <v>35</v>
      </c>
      <c r="C97" s="312"/>
      <c r="D97" s="313" t="str">
        <f>SUM(D69:D96)</f>
        <v>0</v>
      </c>
      <c r="E97" s="314"/>
      <c r="F97" s="315"/>
      <c r="G97" s="316"/>
      <c r="H97" s="295" t="str">
        <f>+SUM(H69:H88)</f>
        <v>0</v>
      </c>
      <c r="I97" s="296"/>
    </row>
    <row r="98" spans="1:1024" customHeight="1" ht="21">
      <c r="A98" s="331"/>
      <c r="B98" s="31"/>
      <c r="C98" s="32"/>
      <c r="D98" s="33"/>
      <c r="E98" s="34"/>
    </row>
    <row r="99" spans="1:1024" customHeight="1" ht="21">
      <c r="A99" s="332" t="s">
        <v>388</v>
      </c>
      <c r="B99" s="35"/>
      <c r="C99" s="333"/>
      <c r="D99" s="334" t="str">
        <f>+SUM(D97+D68+D32)</f>
        <v>0</v>
      </c>
      <c r="H99" s="479" t="str">
        <f>H97+H68+H32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1"/>
    <mergeCell ref="K9:L9"/>
    <mergeCell ref="K11:L11"/>
    <mergeCell ref="K14:L14"/>
    <mergeCell ref="K17:M17"/>
    <mergeCell ref="A33:A68"/>
    <mergeCell ref="A69:A97"/>
  </mergeCells>
  <conditionalFormatting sqref="B29">
    <cfRule type="expression" dxfId="0" priority="1">
      <formula>MOD(ROW(),2)=1</formula>
    </cfRule>
  </conditionalFormatting>
  <conditionalFormatting sqref="I13:I14">
    <cfRule type="expression" dxfId="0" priority="2">
      <formula>MOD(ROW(),2)=1</formula>
    </cfRule>
  </conditionalFormatting>
  <conditionalFormatting sqref="B2:I2">
    <cfRule type="expression" dxfId="0" priority="3">
      <formula>MOD(ROW(),2)=1</formula>
    </cfRule>
  </conditionalFormatting>
  <conditionalFormatting sqref="B91:G97">
    <cfRule type="expression" dxfId="0" priority="4">
      <formula>MOD(ROW(),2)=1</formula>
    </cfRule>
  </conditionalFormatting>
  <conditionalFormatting sqref="B68:G68">
    <cfRule type="expression" dxfId="0" priority="5">
      <formula>MOD(ROW(),2)=1</formula>
    </cfRule>
  </conditionalFormatting>
  <conditionalFormatting sqref="F3:F29">
    <cfRule type="expression" dxfId="0" priority="6">
      <formula>MOD(ROW(),2)=1</formula>
    </cfRule>
  </conditionalFormatting>
  <conditionalFormatting sqref="G3:G25">
    <cfRule type="expression" dxfId="0" priority="7">
      <formula>MOD(ROW(),2)=1</formula>
    </cfRule>
  </conditionalFormatting>
  <conditionalFormatting sqref="I3:I11">
    <cfRule type="expression" dxfId="0" priority="8">
      <formula>MOD(ROW(),2)=1</formula>
    </cfRule>
  </conditionalFormatting>
  <conditionalFormatting sqref="B49:G49">
    <cfRule type="expression" dxfId="0" priority="9">
      <formula>MOD(ROW(),2)=1</formula>
    </cfRule>
  </conditionalFormatting>
  <conditionalFormatting sqref="I49">
    <cfRule type="expression" dxfId="0" priority="10">
      <formula>MOD(ROW(),2)=1</formula>
    </cfRule>
  </conditionalFormatting>
  <conditionalFormatting sqref="B3:E12">
    <cfRule type="expression" dxfId="0" priority="11">
      <formula>MOD(ROW(),2)=1</formula>
    </cfRule>
  </conditionalFormatting>
  <conditionalFormatting sqref="E13:E25">
    <cfRule type="expression" dxfId="0" priority="12">
      <formula>MOD(ROW(),2)=1</formula>
    </cfRule>
  </conditionalFormatting>
  <conditionalFormatting sqref="H69:I71">
    <cfRule type="expression" dxfId="0" priority="13">
      <formula>MOD(ROW(),2)=1</formula>
    </cfRule>
  </conditionalFormatting>
  <conditionalFormatting sqref="B75:G79">
    <cfRule type="expression" dxfId="0" priority="14">
      <formula>MOD(ROW(),2)=1</formula>
    </cfRule>
  </conditionalFormatting>
  <conditionalFormatting sqref="B47:I47">
    <cfRule type="expression" dxfId="0" priority="15">
      <formula>MOD(ROW(),2)=1</formula>
    </cfRule>
  </conditionalFormatting>
  <conditionalFormatting sqref="B51:G51">
    <cfRule type="expression" dxfId="0" priority="16">
      <formula>MOD(ROW(),2)=1</formula>
    </cfRule>
  </conditionalFormatting>
  <conditionalFormatting sqref="I51:I52">
    <cfRule type="expression" dxfId="0" priority="17">
      <formula>MOD(ROW(),2)=1</formula>
    </cfRule>
  </conditionalFormatting>
  <conditionalFormatting sqref="H75:I89">
    <cfRule type="expression" dxfId="0" priority="18">
      <formula>MOD(ROW(),2)=1</formula>
    </cfRule>
  </conditionalFormatting>
  <conditionalFormatting sqref="H2:H31">
    <cfRule type="expression" dxfId="0" priority="19">
      <formula>MOD(ROW(),2)=1</formula>
    </cfRule>
  </conditionalFormatting>
  <conditionalFormatting sqref="B13:D26">
    <cfRule type="expression" dxfId="0" priority="20">
      <formula>MOD(ROW(),2)=1</formula>
    </cfRule>
  </conditionalFormatting>
  <conditionalFormatting sqref="B52:E52">
    <cfRule type="expression" dxfId="0" priority="21">
      <formula>MOD(ROW(),2)=1</formula>
    </cfRule>
  </conditionalFormatting>
  <conditionalFormatting sqref="G52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I90:I97">
    <cfRule type="expression" dxfId="0" priority="28">
      <formula>MOD(ROW(),2)=1</formula>
    </cfRule>
  </conditionalFormatting>
  <conditionalFormatting sqref="H90:H96">
    <cfRule type="expression" dxfId="0" priority="29">
      <formula>MOD(ROW(),2)=1</formula>
    </cfRule>
  </conditionalFormatting>
  <conditionalFormatting sqref="H33:H46">
    <cfRule type="expression" dxfId="0" priority="30">
      <formula>MOD(ROW(),2)=1</formula>
    </cfRule>
  </conditionalFormatting>
  <conditionalFormatting sqref="H49:H61">
    <cfRule type="expression" dxfId="0" priority="31">
      <formula>MOD(ROW(),2)=1</formula>
    </cfRule>
  </conditionalFormatting>
  <conditionalFormatting sqref="G58"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conditionalFormatting sqref="B58:E58">
    <cfRule type="expression" dxfId="0" priority="38">
      <formula>MOD(ROW(),2)=1</formula>
    </cfRule>
  </conditionalFormatting>
  <conditionalFormatting sqref="I58">
    <cfRule type="expression" dxfId="0" priority="39">
      <formula>MOD(ROW(),2)=1</formula>
    </cfRule>
  </conditionalFormatting>
  <conditionalFormatting sqref="B64:E65">
    <cfRule type="expression" dxfId="0" priority="40">
      <formula>MOD(ROW(),2)=1</formula>
    </cfRule>
  </conditionalFormatting>
  <conditionalFormatting sqref="G64:I65">
    <cfRule type="expression" dxfId="0" priority="41">
      <formula>MOD(ROW(),2)=1</formula>
    </cfRule>
  </conditionalFormatting>
  <conditionalFormatting sqref="F52:F65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F2:G12">
    <cfRule type="timePeriod" dxfId="1" priority="48" timePeriod="yesterday">
      <formula/>
    </cfRule>
    <cfRule type="timePeriod" dxfId="1" priority="49" timePeriod="today">
      <formula/>
    </cfRule>
    <cfRule type="cellIs" dxfId="2" priority="50" operator="lessThan">
      <formula>_xludf.today()</formula>
    </cfRule>
  </conditionalFormatting>
  <conditionalFormatting sqref="F26:F29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F2:G25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F68:G68">
    <cfRule type="cellIs" dxfId="3" priority="63" operator="lessThan">
      <formula>TODAY()</formula>
    </cfRule>
    <cfRule type="timePeriod" dxfId="1" priority="64" timePeriod="last7Days">
      <formula/>
    </cfRule>
    <cfRule type="timePeriod" dxfId="1" priority="65" timePeriod="yesterday">
      <formula/>
    </cfRule>
    <cfRule type="timePeriod" dxfId="1" priority="66" timePeriod="lastMonth">
      <formula/>
    </cfRule>
    <cfRule type="timePeriod" dxfId="1" priority="67" timePeriod="yesterday">
      <formula/>
    </cfRule>
    <cfRule type="timePeriod" dxfId="1" priority="68" timePeriod="today">
      <formula/>
    </cfRule>
  </conditionalFormatting>
  <conditionalFormatting sqref="F49:G49">
    <cfRule type="cellIs" dxfId="3" priority="69" operator="lessThan">
      <formula>TODAY()</formula>
    </cfRule>
    <cfRule type="timePeriod" dxfId="1" priority="70" timePeriod="last7Days">
      <formula/>
    </cfRule>
    <cfRule type="timePeriod" dxfId="1" priority="71" timePeriod="yesterday">
      <formula/>
    </cfRule>
    <cfRule type="timePeriod" dxfId="1" priority="72" timePeriod="lastMonth">
      <formula/>
    </cfRule>
    <cfRule type="timePeriod" dxfId="1" priority="73" timePeriod="yesterday">
      <formula/>
    </cfRule>
    <cfRule type="timePeriod" dxfId="1" priority="74" timePeriod="today">
      <formula/>
    </cfRule>
  </conditionalFormatting>
  <conditionalFormatting sqref="F75:G97">
    <cfRule type="cellIs" dxfId="3" priority="75" operator="lessThan">
      <formula>TODAY()</formula>
    </cfRule>
    <cfRule type="timePeriod" dxfId="1" priority="76" timePeriod="last7Days">
      <formula/>
    </cfRule>
    <cfRule type="timePeriod" dxfId="1" priority="77" timePeriod="yesterday">
      <formula/>
    </cfRule>
    <cfRule type="timePeriod" dxfId="1" priority="78" timePeriod="lastMonth">
      <formula/>
    </cfRule>
    <cfRule type="timePeriod" dxfId="1" priority="79" timePeriod="yesterday">
      <formula/>
    </cfRule>
    <cfRule type="timePeriod" dxfId="1" priority="80" timePeriod="today">
      <formula/>
    </cfRule>
  </conditionalFormatting>
  <conditionalFormatting sqref="F47:G47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F51:G51">
    <cfRule type="cellIs" dxfId="3" priority="87" operator="lessThan">
      <formula>TODAY()</formula>
    </cfRule>
    <cfRule type="timePeriod" dxfId="1" priority="88" timePeriod="last7Days">
      <formula/>
    </cfRule>
    <cfRule type="timePeriod" dxfId="1" priority="89" timePeriod="yesterday">
      <formula/>
    </cfRule>
    <cfRule type="timePeriod" dxfId="1" priority="90" timePeriod="lastMonth">
      <formula/>
    </cfRule>
    <cfRule type="timePeriod" dxfId="1" priority="91" timePeriod="yesterday">
      <formula/>
    </cfRule>
    <cfRule type="timePeriod" dxfId="1" priority="92" timePeriod="today">
      <formula/>
    </cfRule>
  </conditionalFormatting>
  <conditionalFormatting sqref="G64:G65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F13:G13">
    <cfRule type="timePeriod" dxfId="1" priority="99" timePeriod="yesterday">
      <formula/>
    </cfRule>
    <cfRule type="timePeriod" dxfId="1" priority="100" timePeriod="today">
      <formula/>
    </cfRule>
    <cfRule type="cellIs" dxfId="2" priority="101" operator="lessThan">
      <formula>_xludf.today()</formula>
    </cfRule>
  </conditionalFormatting>
  <conditionalFormatting sqref="F14:G14">
    <cfRule type="timePeriod" dxfId="1" priority="102" timePeriod="yesterday">
      <formula/>
    </cfRule>
    <cfRule type="timePeriod" dxfId="1" priority="103" timePeriod="today">
      <formula/>
    </cfRule>
    <cfRule type="cellIs" dxfId="2" priority="104" operator="lessThan">
      <formula>_xludf.today()</formula>
    </cfRule>
  </conditionalFormatting>
  <conditionalFormatting sqref="B27:G29">
    <cfRule type="expression" dxfId="0" priority="105">
      <formula>MOD(ROW(),2)=1</formula>
    </cfRule>
  </conditionalFormatting>
  <conditionalFormatting sqref="B30:C30">
    <cfRule type="expression" dxfId="0" priority="106">
      <formula>MOD(ROW(),2)=1</formula>
    </cfRule>
  </conditionalFormatting>
  <conditionalFormatting sqref="F30:G30">
    <cfRule type="expression" dxfId="0" priority="107">
      <formula>MOD(ROW(),2)=1</formula>
    </cfRule>
  </conditionalFormatting>
  <conditionalFormatting sqref="E26:G26">
    <cfRule type="expression" dxfId="0" priority="108">
      <formula>MOD(ROW(),2)=1</formula>
    </cfRule>
  </conditionalFormatting>
  <conditionalFormatting sqref="F26:G30">
    <cfRule type="cellIs" dxfId="3" priority="109" operator="lessThan">
      <formula>TODAY()</formula>
    </cfRule>
    <cfRule type="timePeriod" dxfId="1" priority="110" timePeriod="last7Days">
      <formula/>
    </cfRule>
    <cfRule type="timePeriod" dxfId="1" priority="111" timePeriod="yesterday">
      <formula/>
    </cfRule>
    <cfRule type="timePeriod" dxfId="1" priority="112" timePeriod="lastMonth">
      <formula/>
    </cfRule>
    <cfRule type="timePeriod" dxfId="1" priority="113" timePeriod="yesterday">
      <formula/>
    </cfRule>
    <cfRule type="timePeriod" dxfId="1" priority="114" timePeriod="today">
      <formula/>
    </cfRule>
  </conditionalFormatting>
  <conditionalFormatting sqref="B31:G31">
    <cfRule type="expression" dxfId="0" priority="115">
      <formula>MOD(ROW(),2)=1</formula>
    </cfRule>
  </conditionalFormatting>
  <conditionalFormatting sqref="F31:G31">
    <cfRule type="cellIs" dxfId="3" priority="116" operator="lessThan">
      <formula>TODAY()</formula>
    </cfRule>
    <cfRule type="timePeriod" dxfId="1" priority="117" timePeriod="last7Days">
      <formula/>
    </cfRule>
    <cfRule type="timePeriod" dxfId="1" priority="118" timePeriod="yesterday">
      <formula/>
    </cfRule>
    <cfRule type="timePeriod" dxfId="1" priority="119" timePeriod="lastMonth">
      <formula/>
    </cfRule>
    <cfRule type="timePeriod" dxfId="1" priority="120" timePeriod="yesterday">
      <formula/>
    </cfRule>
    <cfRule type="timePeriod" dxfId="1" priority="121" timePeriod="today">
      <formula/>
    </cfRule>
  </conditionalFormatting>
  <conditionalFormatting sqref="I15:I30">
    <cfRule type="expression" dxfId="0" priority="122">
      <formula>MOD(ROW(),2)=1</formula>
    </cfRule>
  </conditionalFormatting>
  <conditionalFormatting sqref="F14:F15">
    <cfRule type="timePeriod" dxfId="1" priority="123" timePeriod="yesterday">
      <formula/>
    </cfRule>
    <cfRule type="timePeriod" dxfId="1" priority="124" timePeriod="today">
      <formula/>
    </cfRule>
    <cfRule type="cellIs" dxfId="2" priority="125" operator="lessThan">
      <formula>_xludf.today()</formula>
    </cfRule>
  </conditionalFormatting>
  <conditionalFormatting sqref="F16">
    <cfRule type="timePeriod" dxfId="1" priority="126" timePeriod="yesterday">
      <formula/>
    </cfRule>
    <cfRule type="timePeriod" dxfId="1" priority="127" timePeriod="today">
      <formula/>
    </cfRule>
    <cfRule type="cellIs" dxfId="2" priority="128" operator="lessThan">
      <formula>_xludf.today()</formula>
    </cfRule>
  </conditionalFormatting>
  <conditionalFormatting sqref="F19"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27:B28">
    <cfRule type="expression" dxfId="0" priority="132">
      <formula>MOD(ROW(),2)=1</formula>
    </cfRule>
  </conditionalFormatting>
  <conditionalFormatting sqref="I68">
    <cfRule type="expression" dxfId="0" priority="133">
      <formula>MOD(ROW(),2)=1</formula>
    </cfRule>
    <cfRule type="expression" dxfId="0" priority="134">
      <formula>MOD(ROW(),2)=1</formula>
    </cfRule>
  </conditionalFormatting>
  <conditionalFormatting sqref="H68">
    <cfRule type="expression" dxfId="0" priority="135">
      <formula>MOD(ROW(),2)=1</formula>
    </cfRule>
  </conditionalFormatting>
  <conditionalFormatting sqref="H97">
    <cfRule type="expression" dxfId="0" priority="136">
      <formula>MOD(ROW(),2)=1</formula>
    </cfRule>
  </conditionalFormatting>
  <conditionalFormatting sqref="I31">
    <cfRule type="expression" dxfId="0" priority="137">
      <formula>MOD(ROW(),2)=1</formula>
    </cfRule>
  </conditionalFormatting>
  <conditionalFormatting sqref="I12">
    <cfRule type="expression" dxfId="0" priority="138">
      <formula>MOD(ROW(),2)=1</formula>
    </cfRule>
  </conditionalFormatting>
  <conditionalFormatting sqref="I92">
    <cfRule type="expression" dxfId="0" priority="139">
      <formula>MOD(ROW(),2)=1</formula>
    </cfRule>
  </conditionalFormatting>
  <conditionalFormatting sqref="D30">
    <cfRule type="expression" dxfId="0" priority="140">
      <formula>MOD(ROW(),2)=1</formula>
    </cfRule>
  </conditionalFormatting>
  <conditionalFormatting sqref="E30">
    <cfRule type="expression" dxfId="0" priority="141">
      <formula>MOD(ROW(),2)=1</formula>
    </cfRule>
  </conditionalFormatting>
  <conditionalFormatting sqref="B32:G32">
    <cfRule type="expression" dxfId="0" priority="142">
      <formula>MOD(ROW(),2)=1</formula>
    </cfRule>
  </conditionalFormatting>
  <conditionalFormatting sqref="F32:G32">
    <cfRule type="cellIs" dxfId="3" priority="143" operator="lessThan">
      <formula>TODAY()</formula>
    </cfRule>
    <cfRule type="timePeriod" dxfId="1" priority="144" timePeriod="last7Days">
      <formula/>
    </cfRule>
    <cfRule type="timePeriod" dxfId="1" priority="145" timePeriod="yesterday">
      <formula/>
    </cfRule>
    <cfRule type="timePeriod" dxfId="1" priority="146" timePeriod="lastMonth">
      <formula/>
    </cfRule>
    <cfRule type="timePeriod" dxfId="1" priority="147" timePeriod="yesterday">
      <formula/>
    </cfRule>
    <cfRule type="timePeriod" dxfId="1" priority="148" timePeriod="today">
      <formula/>
    </cfRule>
  </conditionalFormatting>
  <conditionalFormatting sqref="I32">
    <cfRule type="expression" dxfId="0" priority="149">
      <formula>MOD(ROW(),2)=1</formula>
    </cfRule>
    <cfRule type="expression" dxfId="0" priority="150">
      <formula>MOD(ROW(),2)=1</formula>
    </cfRule>
  </conditionalFormatting>
  <conditionalFormatting sqref="H32">
    <cfRule type="expression" dxfId="0" priority="151">
      <formula>MOD(ROW(),2)=1</formula>
    </cfRule>
  </conditionalFormatting>
  <conditionalFormatting sqref="B45:G46">
    <cfRule type="expression" dxfId="0" priority="152">
      <formula>MOD(ROW(),2)=1</formula>
    </cfRule>
  </conditionalFormatting>
  <conditionalFormatting sqref="B57:E57">
    <cfRule type="expression" dxfId="0" priority="153">
      <formula>MOD(ROW(),2)=1</formula>
    </cfRule>
  </conditionalFormatting>
  <conditionalFormatting sqref="B59:E59">
    <cfRule type="expression" dxfId="0" priority="154">
      <formula>MOD(ROW(),2)=1</formula>
    </cfRule>
  </conditionalFormatting>
  <conditionalFormatting sqref="G59">
    <cfRule type="cellIs" dxfId="3" priority="155" operator="lessThan">
      <formula>TODAY()</formula>
    </cfRule>
    <cfRule type="timePeriod" dxfId="1" priority="156" timePeriod="last7Days">
      <formula/>
    </cfRule>
    <cfRule type="timePeriod" dxfId="1" priority="157" timePeriod="yesterday">
      <formula/>
    </cfRule>
    <cfRule type="timePeriod" dxfId="1" priority="158" timePeriod="lastMonth">
      <formula/>
    </cfRule>
    <cfRule type="timePeriod" dxfId="1" priority="159" timePeriod="yesterday">
      <formula/>
    </cfRule>
    <cfRule type="timePeriod" dxfId="1" priority="160" timePeriod="today">
      <formula/>
    </cfRule>
  </conditionalFormatting>
  <conditionalFormatting sqref="G57">
    <cfRule type="cellIs" dxfId="3" priority="161" operator="lessThan">
      <formula>TODAY()</formula>
    </cfRule>
    <cfRule type="timePeriod" dxfId="1" priority="162" timePeriod="last7Days">
      <formula/>
    </cfRule>
    <cfRule type="timePeriod" dxfId="1" priority="163" timePeriod="yesterday">
      <formula/>
    </cfRule>
    <cfRule type="timePeriod" dxfId="1" priority="164" timePeriod="lastMonth">
      <formula/>
    </cfRule>
    <cfRule type="timePeriod" dxfId="1" priority="165" timePeriod="yesterday">
      <formula/>
    </cfRule>
    <cfRule type="timePeriod" dxfId="1" priority="166" timePeriod="today">
      <formula/>
    </cfRule>
  </conditionalFormatting>
  <conditionalFormatting sqref="F45:G46">
    <cfRule type="cellIs" dxfId="3" priority="167" operator="lessThan">
      <formula>TODAY()</formula>
    </cfRule>
    <cfRule type="timePeriod" dxfId="1" priority="168" timePeriod="last7Days">
      <formula/>
    </cfRule>
    <cfRule type="timePeriod" dxfId="1" priority="169" timePeriod="yesterday">
      <formula/>
    </cfRule>
    <cfRule type="timePeriod" dxfId="1" priority="170" timePeriod="lastMonth">
      <formula/>
    </cfRule>
    <cfRule type="timePeriod" dxfId="1" priority="171" timePeriod="yesterday">
      <formula/>
    </cfRule>
    <cfRule type="timePeriod" dxfId="1" priority="172" timePeriod="today">
      <formula/>
    </cfRule>
  </conditionalFormatting>
  <conditionalFormatting sqref="D33:G33">
    <cfRule type="expression" dxfId="0" priority="173">
      <formula>MOD(ROW(),2)=1</formula>
    </cfRule>
  </conditionalFormatting>
  <conditionalFormatting sqref="D36:E37">
    <cfRule type="expression" dxfId="0" priority="174">
      <formula>MOD(ROW(),2)=1</formula>
    </cfRule>
  </conditionalFormatting>
  <conditionalFormatting sqref="D40:E41">
    <cfRule type="expression" dxfId="0" priority="175">
      <formula>MOD(ROW(),2)=1</formula>
    </cfRule>
  </conditionalFormatting>
  <conditionalFormatting sqref="D44:G44">
    <cfRule type="expression" dxfId="0" priority="176">
      <formula>MOD(ROW(),2)=1</formula>
    </cfRule>
  </conditionalFormatting>
  <conditionalFormatting sqref="D55:E56">
    <cfRule type="expression" dxfId="0" priority="177">
      <formula>MOD(ROW(),2)=1</formula>
    </cfRule>
  </conditionalFormatting>
  <conditionalFormatting sqref="D60:E61">
    <cfRule type="expression" dxfId="0" priority="178">
      <formula>MOD(ROW(),2)=1</formula>
    </cfRule>
  </conditionalFormatting>
  <conditionalFormatting sqref="G40:G41">
    <cfRule type="cellIs" dxfId="3" priority="179" operator="lessThan">
      <formula>TODAY()</formula>
    </cfRule>
    <cfRule type="timePeriod" dxfId="1" priority="180" timePeriod="last7Days">
      <formula/>
    </cfRule>
    <cfRule type="timePeriod" dxfId="1" priority="181" timePeriod="yesterday">
      <formula/>
    </cfRule>
    <cfRule type="timePeriod" dxfId="1" priority="182" timePeriod="lastMonth">
      <formula/>
    </cfRule>
    <cfRule type="timePeriod" dxfId="1" priority="183" timePeriod="yesterday">
      <formula/>
    </cfRule>
    <cfRule type="timePeriod" dxfId="1" priority="184" timePeriod="today">
      <formula/>
    </cfRule>
  </conditionalFormatting>
  <conditionalFormatting sqref="G36:G37">
    <cfRule type="cellIs" dxfId="3" priority="185" operator="lessThan">
      <formula>TODAY()</formula>
    </cfRule>
    <cfRule type="timePeriod" dxfId="1" priority="186" timePeriod="last7Days">
      <formula/>
    </cfRule>
    <cfRule type="timePeriod" dxfId="1" priority="187" timePeriod="yesterday">
      <formula/>
    </cfRule>
    <cfRule type="timePeriod" dxfId="1" priority="188" timePeriod="lastMonth">
      <formula/>
    </cfRule>
    <cfRule type="timePeriod" dxfId="1" priority="189" timePeriod="yesterday">
      <formula/>
    </cfRule>
    <cfRule type="timePeriod" dxfId="1" priority="190" timePeriod="today">
      <formula/>
    </cfRule>
  </conditionalFormatting>
  <conditionalFormatting sqref="G60:G61">
    <cfRule type="cellIs" dxfId="3" priority="191" operator="lessThan">
      <formula>TODAY()</formula>
    </cfRule>
    <cfRule type="timePeriod" dxfId="1" priority="192" timePeriod="last7Days">
      <formula/>
    </cfRule>
    <cfRule type="timePeriod" dxfId="1" priority="193" timePeriod="yesterday">
      <formula/>
    </cfRule>
    <cfRule type="timePeriod" dxfId="1" priority="194" timePeriod="lastMonth">
      <formula/>
    </cfRule>
    <cfRule type="timePeriod" dxfId="1" priority="195" timePeriod="yesterday">
      <formula/>
    </cfRule>
    <cfRule type="timePeriod" dxfId="1" priority="196" timePeriod="today">
      <formula/>
    </cfRule>
  </conditionalFormatting>
  <conditionalFormatting sqref="G55:G56">
    <cfRule type="cellIs" dxfId="3" priority="197" operator="lessThan">
      <formula>TODAY()</formula>
    </cfRule>
    <cfRule type="timePeriod" dxfId="1" priority="198" timePeriod="last7Days">
      <formula/>
    </cfRule>
    <cfRule type="timePeriod" dxfId="1" priority="199" timePeriod="yesterday">
      <formula/>
    </cfRule>
    <cfRule type="timePeriod" dxfId="1" priority="200" timePeriod="lastMonth">
      <formula/>
    </cfRule>
    <cfRule type="timePeriod" dxfId="1" priority="201" timePeriod="yesterday">
      <formula/>
    </cfRule>
    <cfRule type="timePeriod" dxfId="1" priority="202" timePeriod="today">
      <formula/>
    </cfRule>
  </conditionalFormatting>
  <conditionalFormatting sqref="F33:G33">
    <cfRule type="cellIs" dxfId="3" priority="203" operator="lessThan">
      <formula>TODAY()</formula>
    </cfRule>
    <cfRule type="timePeriod" dxfId="1" priority="204" timePeriod="last7Days">
      <formula/>
    </cfRule>
    <cfRule type="timePeriod" dxfId="1" priority="205" timePeriod="yesterday">
      <formula/>
    </cfRule>
    <cfRule type="timePeriod" dxfId="1" priority="206" timePeriod="lastMonth">
      <formula/>
    </cfRule>
    <cfRule type="timePeriod" dxfId="1" priority="207" timePeriod="yesterday">
      <formula/>
    </cfRule>
    <cfRule type="timePeriod" dxfId="1" priority="208" timePeriod="today">
      <formula/>
    </cfRule>
  </conditionalFormatting>
  <conditionalFormatting sqref="F44:G44">
    <cfRule type="cellIs" dxfId="3" priority="209" operator="lessThan">
      <formula>TODAY()</formula>
    </cfRule>
    <cfRule type="timePeriod" dxfId="1" priority="210" timePeriod="last7Days">
      <formula/>
    </cfRule>
    <cfRule type="timePeriod" dxfId="1" priority="211" timePeriod="yesterday">
      <formula/>
    </cfRule>
    <cfRule type="timePeriod" dxfId="1" priority="212" timePeriod="lastMonth">
      <formula/>
    </cfRule>
    <cfRule type="timePeriod" dxfId="1" priority="213" timePeriod="yesterday">
      <formula/>
    </cfRule>
    <cfRule type="timePeriod" dxfId="1" priority="214" timePeriod="today">
      <formula/>
    </cfRule>
  </conditionalFormatting>
  <conditionalFormatting sqref="B34:G35">
    <cfRule type="expression" dxfId="0" priority="215">
      <formula>MOD(ROW(),2)=1</formula>
    </cfRule>
  </conditionalFormatting>
  <conditionalFormatting sqref="B38:E39">
    <cfRule type="expression" dxfId="0" priority="216">
      <formula>MOD(ROW(),2)=1</formula>
    </cfRule>
  </conditionalFormatting>
  <conditionalFormatting sqref="B43:G43">
    <cfRule type="expression" dxfId="0" priority="217">
      <formula>MOD(ROW(),2)=1</formula>
    </cfRule>
  </conditionalFormatting>
  <conditionalFormatting sqref="B50:G50">
    <cfRule type="expression" dxfId="0" priority="218">
      <formula>MOD(ROW(),2)=1</formula>
    </cfRule>
  </conditionalFormatting>
  <conditionalFormatting sqref="B53:E54">
    <cfRule type="expression" dxfId="0" priority="219">
      <formula>MOD(ROW(),2)=1</formula>
    </cfRule>
  </conditionalFormatting>
  <conditionalFormatting sqref="B33:C33">
    <cfRule type="expression" dxfId="0" priority="220">
      <formula>MOD(ROW(),2)=1</formula>
    </cfRule>
  </conditionalFormatting>
  <conditionalFormatting sqref="B36:C37">
    <cfRule type="expression" dxfId="0" priority="221">
      <formula>MOD(ROW(),2)=1</formula>
    </cfRule>
  </conditionalFormatting>
  <conditionalFormatting sqref="B40:C41">
    <cfRule type="expression" dxfId="0" priority="222">
      <formula>MOD(ROW(),2)=1</formula>
    </cfRule>
  </conditionalFormatting>
  <conditionalFormatting sqref="B44:C44">
    <cfRule type="expression" dxfId="0" priority="223">
      <formula>MOD(ROW(),2)=1</formula>
    </cfRule>
  </conditionalFormatting>
  <conditionalFormatting sqref="B55:C56">
    <cfRule type="expression" dxfId="0" priority="224">
      <formula>MOD(ROW(),2)=1</formula>
    </cfRule>
  </conditionalFormatting>
  <conditionalFormatting sqref="B60:C61">
    <cfRule type="expression" dxfId="0" priority="225">
      <formula>MOD(ROW(),2)=1</formula>
    </cfRule>
  </conditionalFormatting>
  <conditionalFormatting sqref="B42:E42">
    <cfRule type="expression" dxfId="0" priority="226">
      <formula>MOD(ROW(),2)=1</formula>
    </cfRule>
  </conditionalFormatting>
  <conditionalFormatting sqref="G42">
    <cfRule type="cellIs" dxfId="3" priority="227" operator="lessThan">
      <formula>TODAY()</formula>
    </cfRule>
    <cfRule type="timePeriod" dxfId="1" priority="228" timePeriod="last7Days">
      <formula/>
    </cfRule>
    <cfRule type="timePeriod" dxfId="1" priority="229" timePeriod="yesterday">
      <formula/>
    </cfRule>
    <cfRule type="timePeriod" dxfId="1" priority="230" timePeriod="lastMonth">
      <formula/>
    </cfRule>
    <cfRule type="timePeriod" dxfId="1" priority="231" timePeriod="yesterday">
      <formula/>
    </cfRule>
    <cfRule type="timePeriod" dxfId="1" priority="232" timePeriod="today">
      <formula/>
    </cfRule>
  </conditionalFormatting>
  <conditionalFormatting sqref="G38:G39">
    <cfRule type="cellIs" dxfId="3" priority="233" operator="lessThan">
      <formula>TODAY()</formula>
    </cfRule>
    <cfRule type="timePeriod" dxfId="1" priority="234" timePeriod="last7Days">
      <formula/>
    </cfRule>
    <cfRule type="timePeriod" dxfId="1" priority="235" timePeriod="yesterday">
      <formula/>
    </cfRule>
    <cfRule type="timePeriod" dxfId="1" priority="236" timePeriod="lastMonth">
      <formula/>
    </cfRule>
    <cfRule type="timePeriod" dxfId="1" priority="237" timePeriod="yesterday">
      <formula/>
    </cfRule>
    <cfRule type="timePeriod" dxfId="1" priority="238" timePeriod="today">
      <formula/>
    </cfRule>
  </conditionalFormatting>
  <conditionalFormatting sqref="G53:G54">
    <cfRule type="cellIs" dxfId="3" priority="239" operator="lessThan">
      <formula>TODAY()</formula>
    </cfRule>
    <cfRule type="timePeriod" dxfId="1" priority="240" timePeriod="last7Days">
      <formula/>
    </cfRule>
    <cfRule type="timePeriod" dxfId="1" priority="241" timePeriod="yesterday">
      <formula/>
    </cfRule>
    <cfRule type="timePeriod" dxfId="1" priority="242" timePeriod="lastMonth">
      <formula/>
    </cfRule>
    <cfRule type="timePeriod" dxfId="1" priority="243" timePeriod="yesterday">
      <formula/>
    </cfRule>
    <cfRule type="timePeriod" dxfId="1" priority="244" timePeriod="today">
      <formula/>
    </cfRule>
  </conditionalFormatting>
  <conditionalFormatting sqref="F34:G35"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43:G43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50:G50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I34">
    <cfRule type="expression" dxfId="0" priority="263">
      <formula>MOD(ROW(),2)=1</formula>
    </cfRule>
  </conditionalFormatting>
  <conditionalFormatting sqref="I38">
    <cfRule type="expression" dxfId="0" priority="264">
      <formula>MOD(ROW(),2)=1</formula>
    </cfRule>
  </conditionalFormatting>
  <conditionalFormatting sqref="I42">
    <cfRule type="expression" dxfId="0" priority="265">
      <formula>MOD(ROW(),2)=1</formula>
    </cfRule>
  </conditionalFormatting>
  <conditionalFormatting sqref="I45">
    <cfRule type="expression" dxfId="0" priority="266">
      <formula>MOD(ROW(),2)=1</formula>
    </cfRule>
  </conditionalFormatting>
  <conditionalFormatting sqref="I50">
    <cfRule type="expression" dxfId="0" priority="267">
      <formula>MOD(ROW(),2)=1</formula>
    </cfRule>
  </conditionalFormatting>
  <conditionalFormatting sqref="I53">
    <cfRule type="expression" dxfId="0" priority="268">
      <formula>MOD(ROW(),2)=1</formula>
    </cfRule>
  </conditionalFormatting>
  <conditionalFormatting sqref="I35">
    <cfRule type="expression" dxfId="0" priority="269">
      <formula>MOD(ROW(),2)=1</formula>
    </cfRule>
  </conditionalFormatting>
  <conditionalFormatting sqref="I39">
    <cfRule type="expression" dxfId="0" priority="270">
      <formula>MOD(ROW(),2)=1</formula>
    </cfRule>
  </conditionalFormatting>
  <conditionalFormatting sqref="I43">
    <cfRule type="expression" dxfId="0" priority="271">
      <formula>MOD(ROW(),2)=1</formula>
    </cfRule>
  </conditionalFormatting>
  <conditionalFormatting sqref="I46">
    <cfRule type="expression" dxfId="0" priority="272">
      <formula>MOD(ROW(),2)=1</formula>
    </cfRule>
  </conditionalFormatting>
  <conditionalFormatting sqref="I48">
    <cfRule type="expression" dxfId="0" priority="273">
      <formula>MOD(ROW(),2)=1</formula>
    </cfRule>
  </conditionalFormatting>
  <conditionalFormatting sqref="I54">
    <cfRule type="expression" dxfId="0" priority="274">
      <formula>MOD(ROW(),2)=1</formula>
    </cfRule>
  </conditionalFormatting>
  <conditionalFormatting sqref="I57">
    <cfRule type="expression" dxfId="0" priority="275">
      <formula>MOD(ROW(),2)=1</formula>
    </cfRule>
  </conditionalFormatting>
  <conditionalFormatting sqref="I59">
    <cfRule type="expression" dxfId="0" priority="276">
      <formula>MOD(ROW(),2)=1</formula>
    </cfRule>
  </conditionalFormatting>
  <conditionalFormatting sqref="I33">
    <cfRule type="expression" dxfId="0" priority="277">
      <formula>MOD(ROW(),2)=1</formula>
    </cfRule>
  </conditionalFormatting>
  <conditionalFormatting sqref="I36:I37">
    <cfRule type="expression" dxfId="0" priority="278">
      <formula>MOD(ROW(),2)=1</formula>
    </cfRule>
  </conditionalFormatting>
  <conditionalFormatting sqref="I40:I41">
    <cfRule type="expression" dxfId="0" priority="279">
      <formula>MOD(ROW(),2)=1</formula>
    </cfRule>
  </conditionalFormatting>
  <conditionalFormatting sqref="I44">
    <cfRule type="expression" dxfId="0" priority="280">
      <formula>MOD(ROW(),2)=1</formula>
    </cfRule>
  </conditionalFormatting>
  <conditionalFormatting sqref="I55:I56">
    <cfRule type="expression" dxfId="0" priority="281">
      <formula>MOD(ROW(),2)=1</formula>
    </cfRule>
  </conditionalFormatting>
  <conditionalFormatting sqref="I60:I61">
    <cfRule type="expression" dxfId="0" priority="282">
      <formula>MOD(ROW(),2)=1</formula>
    </cfRule>
  </conditionalFormatting>
  <conditionalFormatting sqref="H48">
    <cfRule type="expression" dxfId="0" priority="283">
      <formula>MOD(ROW(),2)=1</formula>
    </cfRule>
  </conditionalFormatting>
  <conditionalFormatting sqref="B48:D48">
    <cfRule type="expression" dxfId="0" priority="284">
      <formula>MOD(ROW(),2)=1</formula>
    </cfRule>
  </conditionalFormatting>
  <conditionalFormatting sqref="F48:G48">
    <cfRule type="cellIs" dxfId="3" priority="285" operator="lessThan">
      <formula>TODAY()</formula>
    </cfRule>
    <cfRule type="timePeriod" dxfId="1" priority="286" timePeriod="last7Days">
      <formula/>
    </cfRule>
    <cfRule type="timePeriod" dxfId="1" priority="287" timePeriod="yesterday">
      <formula/>
    </cfRule>
    <cfRule type="timePeriod" dxfId="1" priority="288" timePeriod="lastMonth">
      <formula/>
    </cfRule>
    <cfRule type="timePeriod" dxfId="1" priority="289" timePeriod="yesterday">
      <formula/>
    </cfRule>
    <cfRule type="timePeriod" dxfId="1" priority="290" timePeriod="today">
      <formula/>
    </cfRule>
  </conditionalFormatting>
  <conditionalFormatting sqref="B62:E62">
    <cfRule type="expression" dxfId="0" priority="291">
      <formula>MOD(ROW(),2)=1</formula>
    </cfRule>
  </conditionalFormatting>
  <conditionalFormatting sqref="G62:I62">
    <cfRule type="expression" dxfId="0" priority="292">
      <formula>MOD(ROW(),2)=1</formula>
    </cfRule>
  </conditionalFormatting>
  <conditionalFormatting sqref="G62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F36:F42">
    <cfRule type="expression" dxfId="0" priority="299">
      <formula>MOD(ROW(),2)=1</formula>
    </cfRule>
    <cfRule type="cellIs" dxfId="3" priority="300" operator="lessThan">
      <formula>TODAY()</formula>
    </cfRule>
    <cfRule type="timePeriod" dxfId="1" priority="301" timePeriod="last7Days">
      <formula/>
    </cfRule>
    <cfRule type="timePeriod" dxfId="1" priority="302" timePeriod="yesterday">
      <formula/>
    </cfRule>
    <cfRule type="timePeriod" dxfId="1" priority="303" timePeriod="lastMonth">
      <formula/>
    </cfRule>
    <cfRule type="timePeriod" dxfId="1" priority="304" timePeriod="yesterday">
      <formula/>
    </cfRule>
    <cfRule type="timePeriod" dxfId="1" priority="305" timePeriod="today">
      <formula/>
    </cfRule>
  </conditionalFormatting>
  <conditionalFormatting sqref="B63:E63">
    <cfRule type="expression" dxfId="0" priority="306">
      <formula>MOD(ROW(),2)=1</formula>
    </cfRule>
  </conditionalFormatting>
  <conditionalFormatting sqref="G63:I63">
    <cfRule type="expression" dxfId="0" priority="307">
      <formula>MOD(ROW(),2)=1</formula>
    </cfRule>
  </conditionalFormatting>
  <conditionalFormatting sqref="G63">
    <cfRule type="cellIs" dxfId="3" priority="308" operator="lessThan">
      <formula>TODAY()</formula>
    </cfRule>
    <cfRule type="timePeriod" dxfId="1" priority="309" timePeriod="last7Days">
      <formula/>
    </cfRule>
    <cfRule type="timePeriod" dxfId="1" priority="310" timePeriod="yesterday">
      <formula/>
    </cfRule>
    <cfRule type="timePeriod" dxfId="1" priority="311" timePeriod="lastMonth">
      <formula/>
    </cfRule>
    <cfRule type="timePeriod" dxfId="1" priority="312" timePeriod="yesterday">
      <formula/>
    </cfRule>
    <cfRule type="timePeriod" dxfId="1" priority="313" timePeriod="today">
      <formula/>
    </cfRule>
  </conditionalFormatting>
  <conditionalFormatting sqref="B80:D84">
    <cfRule type="expression" dxfId="0" priority="314">
      <formula>MOD(ROW(),2)=1</formula>
    </cfRule>
  </conditionalFormatting>
  <conditionalFormatting sqref="F80:G84">
    <cfRule type="expression" dxfId="0" priority="315">
      <formula>MOD(ROW(),2)=1</formula>
    </cfRule>
  </conditionalFormatting>
  <conditionalFormatting sqref="B69:G71">
    <cfRule type="expression" dxfId="0" priority="316">
      <formula>MOD(ROW(),2)=1</formula>
    </cfRule>
  </conditionalFormatting>
  <conditionalFormatting sqref="B85:G90">
    <cfRule type="expression" dxfId="0" priority="317">
      <formula>MOD(ROW(),2)=1</formula>
    </cfRule>
  </conditionalFormatting>
  <conditionalFormatting sqref="F69:G71">
    <cfRule type="cellIs" dxfId="3" priority="318" operator="lessThan">
      <formula>TODAY()</formula>
    </cfRule>
    <cfRule type="timePeriod" dxfId="1" priority="319" timePeriod="last7Days">
      <formula/>
    </cfRule>
    <cfRule type="timePeriod" dxfId="1" priority="320" timePeriod="yesterday">
      <formula/>
    </cfRule>
    <cfRule type="timePeriod" dxfId="1" priority="321" timePeriod="lastMonth">
      <formula/>
    </cfRule>
    <cfRule type="timePeriod" dxfId="1" priority="322" timePeriod="yesterday">
      <formula/>
    </cfRule>
    <cfRule type="timePeriod" dxfId="1" priority="323" timePeriod="today">
      <formula/>
    </cfRule>
  </conditionalFormatting>
  <conditionalFormatting sqref="I86">
    <cfRule type="expression" dxfId="0" priority="324">
      <formula>MOD(ROW(),2)=1</formula>
    </cfRule>
  </conditionalFormatting>
  <conditionalFormatting sqref="E80:E84">
    <cfRule type="expression" dxfId="0" priority="325">
      <formula>MOD(ROW(),2)=1</formula>
    </cfRule>
  </conditionalFormatting>
  <conditionalFormatting sqref="H72:I74">
    <cfRule type="expression" dxfId="0" priority="326">
      <formula>MOD(ROW(),2)=1</formula>
    </cfRule>
  </conditionalFormatting>
  <conditionalFormatting sqref="B72:G74">
    <cfRule type="expression" dxfId="0" priority="327">
      <formula>MOD(ROW(),2)=1</formula>
    </cfRule>
  </conditionalFormatting>
  <conditionalFormatting sqref="F72:G74">
    <cfRule type="cellIs" dxfId="3" priority="328" operator="lessThan">
      <formula>TODAY()</formula>
    </cfRule>
    <cfRule type="timePeriod" dxfId="1" priority="329" timePeriod="last7Days">
      <formula/>
    </cfRule>
    <cfRule type="timePeriod" dxfId="1" priority="330" timePeriod="yesterday">
      <formula/>
    </cfRule>
    <cfRule type="timePeriod" dxfId="1" priority="331" timePeriod="lastMonth">
      <formula/>
    </cfRule>
    <cfRule type="timePeriod" dxfId="1" priority="332" timePeriod="yesterday">
      <formula/>
    </cfRule>
    <cfRule type="timePeriod" dxfId="1" priority="333" timePeriod="today">
      <formula/>
    </cfRule>
  </conditionalFormatting>
  <conditionalFormatting sqref="E48">
    <cfRule type="expression" dxfId="0" priority="334">
      <formula>MOD(ROW(),2)=1</formula>
    </cfRule>
  </conditionalFormatting>
  <conditionalFormatting sqref="B66:I67">
    <cfRule type="expression" dxfId="0" priority="335">
      <formula>MOD(ROW(),2)=1</formula>
    </cfRule>
  </conditionalFormatting>
  <conditionalFormatting sqref="F66:G67">
    <cfRule type="cellIs" dxfId="3" priority="336" operator="lessThan">
      <formula>TODAY()</formula>
    </cfRule>
    <cfRule type="timePeriod" dxfId="1" priority="337" timePeriod="last7Days">
      <formula/>
    </cfRule>
    <cfRule type="timePeriod" dxfId="1" priority="338" timePeriod="yesterday">
      <formula/>
    </cfRule>
    <cfRule type="timePeriod" dxfId="1" priority="339" timePeriod="lastMonth">
      <formula/>
    </cfRule>
    <cfRule type="timePeriod" dxfId="1" priority="340" timePeriod="yesterday">
      <formula/>
    </cfRule>
    <cfRule type="timePeriod" dxfId="1" priority="341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8"/>
  <sheetViews>
    <sheetView tabSelected="1" workbookViewId="0" zoomScale="85" zoomScaleNormal="85" showGridLines="true" showRowColHeaders="1">
      <pane ySplit="1" topLeftCell="A20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 t="s">
        <v>454</v>
      </c>
      <c r="C2" s="12" t="s">
        <v>856</v>
      </c>
      <c r="D2" s="268">
        <v>3297.46</v>
      </c>
      <c r="E2" s="14" t="s">
        <v>253</v>
      </c>
      <c r="F2" s="15">
        <v>44772</v>
      </c>
      <c r="G2" s="16"/>
      <c r="H2" s="17" t="str">
        <f>D2-G2</f>
        <v>0</v>
      </c>
      <c r="I2" s="267"/>
    </row>
    <row r="3" spans="1:1024" customHeight="1" ht="18.6">
      <c r="A3" s="265"/>
      <c r="B3" s="11" t="s">
        <v>454</v>
      </c>
      <c r="C3" s="12" t="s">
        <v>857</v>
      </c>
      <c r="D3" s="268">
        <v>380.11</v>
      </c>
      <c r="E3" s="14" t="s">
        <v>253</v>
      </c>
      <c r="F3" s="15">
        <v>44772</v>
      </c>
      <c r="G3" s="16"/>
      <c r="H3" s="17" t="str">
        <f>D3-G3</f>
        <v>0</v>
      </c>
      <c r="I3" s="267"/>
    </row>
    <row r="4" spans="1:1024" customHeight="1" ht="18.6">
      <c r="A4" s="265"/>
      <c r="B4" s="11" t="s">
        <v>284</v>
      </c>
      <c r="C4" s="12" t="s">
        <v>858</v>
      </c>
      <c r="D4" s="268">
        <v>3656.76</v>
      </c>
      <c r="E4" s="14" t="s">
        <v>625</v>
      </c>
      <c r="F4" s="15">
        <v>44773</v>
      </c>
      <c r="G4" s="16"/>
      <c r="H4" s="17" t="str">
        <f>D4-G4</f>
        <v>0</v>
      </c>
      <c r="I4" s="267"/>
      <c r="K4" s="18"/>
    </row>
    <row r="5" spans="1:1024" customHeight="1" ht="18.6">
      <c r="A5" s="265"/>
      <c r="B5" s="11" t="s">
        <v>273</v>
      </c>
      <c r="C5" s="12" t="s">
        <v>859</v>
      </c>
      <c r="D5" s="268">
        <v>1210.57</v>
      </c>
      <c r="E5" s="14"/>
      <c r="F5" s="15">
        <v>44773</v>
      </c>
      <c r="G5" s="16"/>
      <c r="H5" s="17" t="str">
        <f>D5-G5</f>
        <v>0</v>
      </c>
      <c r="I5" s="267"/>
      <c r="K5" s="19"/>
    </row>
    <row r="6" spans="1:1024" customHeight="1" ht="18.6">
      <c r="A6" s="265"/>
      <c r="B6" s="11" t="s">
        <v>166</v>
      </c>
      <c r="C6" s="12" t="s">
        <v>860</v>
      </c>
      <c r="D6" s="268">
        <v>3667.15</v>
      </c>
      <c r="E6" s="14"/>
      <c r="F6" s="15">
        <v>44773</v>
      </c>
      <c r="G6" s="16"/>
      <c r="H6" s="17" t="str">
        <f>D6-G6</f>
        <v>0</v>
      </c>
      <c r="I6" s="267"/>
      <c r="K6" s="19" t="s">
        <v>506</v>
      </c>
    </row>
    <row r="7" spans="1:1024" customHeight="1" ht="18.6">
      <c r="A7" s="265"/>
      <c r="B7" s="11" t="s">
        <v>289</v>
      </c>
      <c r="C7" s="12" t="s">
        <v>861</v>
      </c>
      <c r="D7" s="268">
        <v>311.07</v>
      </c>
      <c r="E7" s="14" t="s">
        <v>625</v>
      </c>
      <c r="F7" s="15">
        <v>44773</v>
      </c>
      <c r="G7" s="16"/>
      <c r="H7" s="17" t="str">
        <f>D7-G7</f>
        <v>0</v>
      </c>
      <c r="I7" s="267"/>
      <c r="K7" s="19"/>
    </row>
    <row r="8" spans="1:1024" customHeight="1" ht="18.6">
      <c r="A8" s="265"/>
      <c r="B8" s="11" t="s">
        <v>291</v>
      </c>
      <c r="C8" s="12" t="s">
        <v>862</v>
      </c>
      <c r="D8" s="268">
        <v>666.77</v>
      </c>
      <c r="E8" s="14"/>
      <c r="F8" s="15">
        <v>44772</v>
      </c>
      <c r="G8" s="16"/>
      <c r="H8" s="17" t="str">
        <f>D8-G8</f>
        <v>0</v>
      </c>
      <c r="I8" s="267"/>
      <c r="K8" s="20" t="str">
        <f>D106</f>
        <v>0</v>
      </c>
      <c r="L8" s="20"/>
    </row>
    <row r="9" spans="1:1024" customHeight="1" ht="18.6">
      <c r="A9" s="265"/>
      <c r="B9" s="11" t="s">
        <v>291</v>
      </c>
      <c r="C9" s="12" t="s">
        <v>863</v>
      </c>
      <c r="D9" s="268">
        <v>713.62</v>
      </c>
      <c r="E9" s="14"/>
      <c r="F9" s="15">
        <v>44773</v>
      </c>
      <c r="G9" s="16"/>
      <c r="H9" s="17" t="str">
        <f>D9-G9</f>
        <v>0</v>
      </c>
      <c r="I9" s="267"/>
      <c r="K9" s="19"/>
    </row>
    <row r="10" spans="1:1024" customHeight="1" ht="18.6">
      <c r="A10" s="265"/>
      <c r="B10" s="11" t="s">
        <v>291</v>
      </c>
      <c r="C10" s="12" t="s">
        <v>864</v>
      </c>
      <c r="D10" s="268">
        <v>13.66</v>
      </c>
      <c r="E10" s="14" t="s">
        <v>253</v>
      </c>
      <c r="F10" s="15">
        <v>44773</v>
      </c>
      <c r="G10" s="16"/>
      <c r="H10" s="17" t="str">
        <f>D10-G10</f>
        <v>0</v>
      </c>
      <c r="I10" s="269"/>
      <c r="K10" s="20" t="str">
        <f>D36</f>
        <v>0</v>
      </c>
      <c r="L10" s="20"/>
    </row>
    <row r="11" spans="1:1024" customHeight="1" ht="18.6">
      <c r="A11" s="265"/>
      <c r="B11" s="11" t="s">
        <v>291</v>
      </c>
      <c r="C11" s="12" t="s">
        <v>865</v>
      </c>
      <c r="D11" s="268">
        <v>427.03</v>
      </c>
      <c r="E11" s="14"/>
      <c r="F11" s="15">
        <v>44773</v>
      </c>
      <c r="G11" s="16"/>
      <c r="H11" s="17" t="str">
        <f>D11-G11</f>
        <v>0</v>
      </c>
      <c r="I11" s="269"/>
    </row>
    <row r="12" spans="1:1024" customHeight="1" ht="18.6">
      <c r="A12" s="265"/>
      <c r="B12" s="11" t="s">
        <v>291</v>
      </c>
      <c r="C12" s="12" t="s">
        <v>866</v>
      </c>
      <c r="D12" s="268">
        <v>314.4</v>
      </c>
      <c r="E12" s="439"/>
      <c r="F12" s="15">
        <v>44773</v>
      </c>
      <c r="G12" s="16"/>
      <c r="H12" s="17" t="str">
        <f>D12-G12</f>
        <v>0</v>
      </c>
      <c r="I12" s="269"/>
      <c r="K12" s="19" t="s">
        <v>517</v>
      </c>
    </row>
    <row r="13" spans="1:1024" customHeight="1" ht="18.6">
      <c r="A13" s="265"/>
      <c r="B13" s="11" t="s">
        <v>291</v>
      </c>
      <c r="C13" s="12" t="s">
        <v>867</v>
      </c>
      <c r="D13" s="268">
        <v>2405.54</v>
      </c>
      <c r="E13" s="14"/>
      <c r="F13" s="15">
        <v>44773</v>
      </c>
      <c r="G13" s="16"/>
      <c r="H13" s="17" t="str">
        <f>D13-G13</f>
        <v>0</v>
      </c>
      <c r="I13" s="269"/>
      <c r="K13" s="20" t="str">
        <f>+D106</f>
        <v>0</v>
      </c>
      <c r="L13" s="20"/>
    </row>
    <row r="14" spans="1:1024" customHeight="1" ht="18.6">
      <c r="A14" s="265"/>
      <c r="B14" s="11" t="s">
        <v>289</v>
      </c>
      <c r="C14" s="12" t="s">
        <v>868</v>
      </c>
      <c r="D14" s="268">
        <v>198.54</v>
      </c>
      <c r="E14" s="14"/>
      <c r="F14" s="15">
        <v>44773</v>
      </c>
      <c r="G14" s="270"/>
      <c r="H14" s="17" t="str">
        <f>D14-G14</f>
        <v>0</v>
      </c>
      <c r="I14" s="269"/>
    </row>
    <row r="15" spans="1:1024" customHeight="1" ht="18.6">
      <c r="A15" s="265"/>
      <c r="B15" s="11" t="s">
        <v>289</v>
      </c>
      <c r="C15" s="12" t="s">
        <v>869</v>
      </c>
      <c r="D15" s="268">
        <v>2767.27</v>
      </c>
      <c r="E15" s="14" t="s">
        <v>625</v>
      </c>
      <c r="F15" s="15">
        <v>44773</v>
      </c>
      <c r="G15" s="270"/>
      <c r="H15" s="17" t="str">
        <f>D15-G15</f>
        <v>0</v>
      </c>
      <c r="I15" s="269"/>
      <c r="K15" s="19" t="s">
        <v>521</v>
      </c>
    </row>
    <row r="16" spans="1:1024" customHeight="1" ht="18.6">
      <c r="A16" s="265"/>
      <c r="B16" s="11" t="s">
        <v>289</v>
      </c>
      <c r="C16" s="12" t="s">
        <v>870</v>
      </c>
      <c r="D16" s="268">
        <v>1160.52</v>
      </c>
      <c r="E16" s="14" t="s">
        <v>796</v>
      </c>
      <c r="F16" s="15">
        <v>44773</v>
      </c>
      <c r="G16" s="270"/>
      <c r="H16" s="17" t="str">
        <f>D16-G16</f>
        <v>0</v>
      </c>
      <c r="I16" s="269"/>
      <c r="K16" s="19"/>
    </row>
    <row r="17" spans="1:1024" customHeight="1" ht="18.6">
      <c r="A17" s="265"/>
      <c r="B17" s="11" t="s">
        <v>289</v>
      </c>
      <c r="C17" s="12" t="s">
        <v>871</v>
      </c>
      <c r="D17" s="268">
        <v>1707.08</v>
      </c>
      <c r="E17" s="14"/>
      <c r="F17" s="15">
        <v>44773</v>
      </c>
      <c r="G17" s="270"/>
      <c r="H17" s="17" t="str">
        <f>D17-G17</f>
        <v>0</v>
      </c>
      <c r="I17" s="269"/>
      <c r="K17" s="19"/>
    </row>
    <row r="18" spans="1:1024" customHeight="1" ht="18.6">
      <c r="A18" s="265"/>
      <c r="B18" s="11" t="s">
        <v>289</v>
      </c>
      <c r="C18" s="12" t="s">
        <v>872</v>
      </c>
      <c r="D18" s="268">
        <v>90.61</v>
      </c>
      <c r="E18" s="14"/>
      <c r="F18" s="15">
        <v>44773</v>
      </c>
      <c r="G18" s="270"/>
      <c r="H18" s="17" t="str">
        <f>D18-G18</f>
        <v>0</v>
      </c>
      <c r="I18" s="269"/>
      <c r="K18" s="19"/>
    </row>
    <row r="19" spans="1:1024" customHeight="1" ht="18.6">
      <c r="A19" s="265"/>
      <c r="B19" s="11" t="s">
        <v>289</v>
      </c>
      <c r="C19" s="12" t="s">
        <v>873</v>
      </c>
      <c r="D19" s="268">
        <v>663.08</v>
      </c>
      <c r="E19" s="14" t="s">
        <v>253</v>
      </c>
      <c r="F19" s="15">
        <v>44773</v>
      </c>
      <c r="G19" s="270"/>
      <c r="H19" s="17" t="str">
        <f>D19-G19</f>
        <v>0</v>
      </c>
      <c r="I19" s="269"/>
      <c r="K19" s="19"/>
    </row>
    <row r="20" spans="1:1024" customHeight="1" ht="18.6">
      <c r="A20" s="265"/>
      <c r="B20" s="11" t="s">
        <v>289</v>
      </c>
      <c r="C20" s="12" t="s">
        <v>874</v>
      </c>
      <c r="D20" s="268">
        <v>23.23</v>
      </c>
      <c r="E20" s="14"/>
      <c r="F20" s="15">
        <v>44773</v>
      </c>
      <c r="G20" s="270"/>
      <c r="H20" s="17" t="str">
        <f>D20-G20</f>
        <v>0</v>
      </c>
      <c r="I20" s="269"/>
      <c r="K20" s="19"/>
    </row>
    <row r="21" spans="1:1024" customHeight="1" ht="18.6">
      <c r="A21" s="265"/>
      <c r="B21" s="11" t="s">
        <v>289</v>
      </c>
      <c r="C21" s="12" t="s">
        <v>875</v>
      </c>
      <c r="D21" s="268">
        <v>5187.15</v>
      </c>
      <c r="E21" s="14"/>
      <c r="F21" s="15">
        <v>44773</v>
      </c>
      <c r="G21" s="270"/>
      <c r="H21" s="17" t="str">
        <f>D21-G21</f>
        <v>0</v>
      </c>
      <c r="I21" s="269"/>
      <c r="K21" s="19"/>
    </row>
    <row r="22" spans="1:1024" customHeight="1" ht="18.6">
      <c r="A22" s="265"/>
      <c r="B22" s="11" t="s">
        <v>620</v>
      </c>
      <c r="C22" s="12" t="s">
        <v>876</v>
      </c>
      <c r="D22" s="268">
        <v>1.82</v>
      </c>
      <c r="E22" s="14"/>
      <c r="F22" s="15">
        <v>44757</v>
      </c>
      <c r="G22" s="270"/>
      <c r="H22" s="17" t="str">
        <f>D22-G22</f>
        <v>0</v>
      </c>
      <c r="I22" s="269"/>
      <c r="K22" s="19"/>
    </row>
    <row r="23" spans="1:1024" customHeight="1" ht="18.6">
      <c r="A23" s="265"/>
      <c r="B23" s="11" t="s">
        <v>644</v>
      </c>
      <c r="C23" s="12" t="s">
        <v>877</v>
      </c>
      <c r="D23" s="268">
        <v>2314.92</v>
      </c>
      <c r="E23" s="14" t="s">
        <v>253</v>
      </c>
      <c r="F23" s="15">
        <v>44773</v>
      </c>
      <c r="G23" s="270"/>
      <c r="H23" s="17" t="str">
        <f>D23-G23</f>
        <v>0</v>
      </c>
      <c r="I23" s="269"/>
      <c r="K23" s="19"/>
    </row>
    <row r="24" spans="1:1024" customHeight="1" ht="18.6">
      <c r="A24" s="265"/>
      <c r="B24" s="11" t="s">
        <v>644</v>
      </c>
      <c r="C24" s="12" t="s">
        <v>878</v>
      </c>
      <c r="D24" s="268">
        <v>1449.36</v>
      </c>
      <c r="E24" s="14" t="s">
        <v>280</v>
      </c>
      <c r="F24" s="271">
        <v>44773</v>
      </c>
      <c r="G24" s="270"/>
      <c r="H24" s="17" t="str">
        <f>D24-G24</f>
        <v>0</v>
      </c>
      <c r="I24" s="269"/>
      <c r="K24" s="21" t="str">
        <f>K10+K8</f>
        <v>0</v>
      </c>
      <c r="L24" s="21"/>
      <c r="M24" s="21"/>
    </row>
    <row r="25" spans="1:1024" customHeight="1" ht="18">
      <c r="A25" s="265"/>
      <c r="B25" s="11" t="s">
        <v>644</v>
      </c>
      <c r="C25" s="12" t="s">
        <v>879</v>
      </c>
      <c r="D25" s="268">
        <v>3558</v>
      </c>
      <c r="E25" s="14" t="s">
        <v>880</v>
      </c>
      <c r="F25" s="271">
        <v>44773</v>
      </c>
      <c r="G25" s="270"/>
      <c r="H25" s="17" t="str">
        <f>D25-G25</f>
        <v>0</v>
      </c>
      <c r="I25" s="269"/>
    </row>
    <row r="26" spans="1:1024" customHeight="1" ht="18.6">
      <c r="A26" s="265"/>
      <c r="B26" s="11" t="s">
        <v>644</v>
      </c>
      <c r="C26" s="12" t="s">
        <v>881</v>
      </c>
      <c r="D26" s="268">
        <v>603.24</v>
      </c>
      <c r="E26" s="14"/>
      <c r="F26" s="15">
        <v>44773</v>
      </c>
      <c r="G26" s="270"/>
      <c r="H26" s="17" t="str">
        <f>D26-G26</f>
        <v>0</v>
      </c>
      <c r="I26" s="269"/>
    </row>
    <row r="27" spans="1:1024" customHeight="1" ht="18.6">
      <c r="A27" s="265"/>
      <c r="B27" s="11" t="s">
        <v>644</v>
      </c>
      <c r="C27" s="12" t="s">
        <v>882</v>
      </c>
      <c r="D27" s="268">
        <v>1983.12</v>
      </c>
      <c r="E27" s="14"/>
      <c r="F27" s="271">
        <v>44773</v>
      </c>
      <c r="G27" s="270"/>
      <c r="H27" s="17" t="str">
        <f>D27-G27</f>
        <v>0</v>
      </c>
      <c r="I27" s="269"/>
    </row>
    <row r="28" spans="1:1024" customHeight="1" ht="18.6">
      <c r="A28" s="265"/>
      <c r="B28" s="11" t="s">
        <v>644</v>
      </c>
      <c r="C28" s="12" t="s">
        <v>883</v>
      </c>
      <c r="D28" s="268">
        <v>2513.4</v>
      </c>
      <c r="E28" s="14" t="s">
        <v>884</v>
      </c>
      <c r="F28" s="271">
        <v>44773</v>
      </c>
      <c r="G28" s="270"/>
      <c r="H28" s="17" t="str">
        <f>D28-G28</f>
        <v>0</v>
      </c>
      <c r="I28" s="269"/>
    </row>
    <row r="29" spans="1:1024" customHeight="1" ht="18.6">
      <c r="A29" s="265"/>
      <c r="B29" s="11"/>
      <c r="C29" s="12"/>
      <c r="D29" s="268"/>
      <c r="E29" s="14"/>
      <c r="F29" s="271"/>
      <c r="G29" s="270"/>
      <c r="H29" s="17" t="str">
        <f>D29-G29</f>
        <v>0</v>
      </c>
      <c r="I29" s="269"/>
    </row>
    <row r="30" spans="1:1024" customHeight="1" ht="18.6">
      <c r="A30" s="265"/>
      <c r="B30" s="11"/>
      <c r="C30" s="12"/>
      <c r="D30" s="268"/>
      <c r="E30" s="14"/>
      <c r="F30" s="271"/>
      <c r="G30" s="270"/>
      <c r="H30" s="17" t="str">
        <f>D30-G30</f>
        <v>0</v>
      </c>
      <c r="I30" s="269"/>
    </row>
    <row r="31" spans="1:1024" customHeight="1" ht="18.6">
      <c r="A31" s="265"/>
      <c r="B31" s="11"/>
      <c r="C31" s="12"/>
      <c r="D31" s="268"/>
      <c r="E31" s="14"/>
      <c r="F31" s="271"/>
      <c r="G31" s="270"/>
      <c r="H31" s="17" t="str">
        <f>D31-G31</f>
        <v>0</v>
      </c>
      <c r="I31" s="269"/>
    </row>
    <row r="32" spans="1:1024" customHeight="1" ht="18.6">
      <c r="A32" s="265"/>
      <c r="B32" s="11"/>
      <c r="C32" s="12"/>
      <c r="D32" s="268"/>
      <c r="E32" s="461"/>
      <c r="F32" s="271"/>
      <c r="G32" s="270"/>
      <c r="H32" s="17" t="str">
        <f>D32-G32</f>
        <v>0</v>
      </c>
      <c r="I32" s="269"/>
    </row>
    <row r="33" spans="1:1024" customHeight="1" ht="18.6">
      <c r="A33" s="265"/>
      <c r="B33" s="11"/>
      <c r="C33" s="12"/>
      <c r="D33" s="268"/>
      <c r="E33" s="14"/>
      <c r="F33" s="271"/>
      <c r="G33" s="270"/>
      <c r="H33" s="17" t="str">
        <f>D33-G33</f>
        <v>0</v>
      </c>
      <c r="I33" s="269"/>
    </row>
    <row r="34" spans="1:1024" customHeight="1" ht="18.6">
      <c r="A34" s="265"/>
      <c r="B34" s="11"/>
      <c r="C34" s="12"/>
      <c r="D34" s="268"/>
      <c r="E34" s="14"/>
      <c r="F34" s="271"/>
      <c r="G34" s="272"/>
      <c r="H34" s="17" t="str">
        <f>D34-G34</f>
        <v>0</v>
      </c>
      <c r="I34" s="269"/>
    </row>
    <row r="35" spans="1:1024" customHeight="1" ht="18.6">
      <c r="A35" s="265"/>
      <c r="B35" s="11"/>
      <c r="C35" s="12"/>
      <c r="D35" s="268"/>
      <c r="E35" s="14"/>
      <c r="F35" s="271"/>
      <c r="G35" s="272"/>
      <c r="H35" s="17" t="str">
        <f>D35-G35</f>
        <v>0</v>
      </c>
      <c r="I35" s="269"/>
    </row>
    <row r="36" spans="1:1024" customHeight="1" ht="18.6">
      <c r="A36" s="273"/>
      <c r="B36" s="28" t="s">
        <v>35</v>
      </c>
      <c r="C36" s="22"/>
      <c r="D36" s="29" t="str">
        <f>+SUM(D2:D35)</f>
        <v>0</v>
      </c>
      <c r="E36" s="24"/>
      <c r="F36" s="25"/>
      <c r="G36" s="26"/>
      <c r="H36" s="30" t="str">
        <f>+SUM(H2:H35)</f>
        <v>0</v>
      </c>
      <c r="I36" s="429"/>
    </row>
    <row r="37" spans="1:1024" customHeight="1" ht="18.6">
      <c r="A37" s="357" t="s">
        <v>299</v>
      </c>
      <c r="B37" s="11" t="s">
        <v>658</v>
      </c>
      <c r="C37" s="12" t="s">
        <v>659</v>
      </c>
      <c r="D37" s="274">
        <v>891.47</v>
      </c>
      <c r="E37" s="275"/>
      <c r="F37" s="276">
        <v>44743</v>
      </c>
      <c r="G37" s="277">
        <v>891.47</v>
      </c>
      <c r="H37" s="17" t="str">
        <f>D37-G37</f>
        <v>0</v>
      </c>
      <c r="I37" s="269"/>
    </row>
    <row r="38" spans="1:1024" customHeight="1" ht="18.6">
      <c r="A38" s="357"/>
      <c r="B38" s="11" t="s">
        <v>437</v>
      </c>
      <c r="C38" s="12" t="s">
        <v>885</v>
      </c>
      <c r="D38" s="268">
        <v>21.53</v>
      </c>
      <c r="E38" s="14" t="s">
        <v>886</v>
      </c>
      <c r="F38" s="271">
        <v>44743</v>
      </c>
      <c r="G38" s="272"/>
      <c r="H38" s="17" t="str">
        <f>D38-G38</f>
        <v>0</v>
      </c>
      <c r="I38" s="269"/>
    </row>
    <row r="39" spans="1:1024" customHeight="1" ht="18.6">
      <c r="A39" s="357"/>
      <c r="B39" s="11" t="s">
        <v>547</v>
      </c>
      <c r="C39" s="12" t="s">
        <v>887</v>
      </c>
      <c r="D39" s="268">
        <v>891.47</v>
      </c>
      <c r="E39" s="14"/>
      <c r="F39" s="271">
        <v>44743</v>
      </c>
      <c r="G39" s="272"/>
      <c r="H39" s="17" t="str">
        <f>D39-G39</f>
        <v>0</v>
      </c>
      <c r="I39" s="269"/>
    </row>
    <row r="40" spans="1:1024" customHeight="1" ht="18.6">
      <c r="A40" s="357"/>
      <c r="B40" s="11" t="s">
        <v>308</v>
      </c>
      <c r="C40" s="12"/>
      <c r="D40" s="274">
        <v>3203.09</v>
      </c>
      <c r="E40" s="275" t="s">
        <v>439</v>
      </c>
      <c r="F40" s="271">
        <v>44747</v>
      </c>
      <c r="G40" s="277">
        <v>30203.09</v>
      </c>
      <c r="H40" s="17" t="str">
        <f>D40-G40</f>
        <v>0</v>
      </c>
      <c r="I40" s="269"/>
    </row>
    <row r="41" spans="1:1024" customHeight="1" ht="18.6">
      <c r="A41" s="357"/>
      <c r="B41" s="11" t="s">
        <v>300</v>
      </c>
      <c r="C41" s="12" t="s">
        <v>303</v>
      </c>
      <c r="D41" s="268">
        <v>127.11</v>
      </c>
      <c r="E41" s="14" t="s">
        <v>302</v>
      </c>
      <c r="F41" s="271">
        <v>44747</v>
      </c>
      <c r="G41" s="272">
        <v>127.11</v>
      </c>
      <c r="H41" s="17" t="str">
        <f>D41-G41</f>
        <v>0</v>
      </c>
      <c r="I41" s="269"/>
    </row>
    <row r="42" spans="1:1024" customHeight="1" ht="18.6">
      <c r="A42" s="357"/>
      <c r="B42" s="11" t="s">
        <v>300</v>
      </c>
      <c r="C42" s="12" t="s">
        <v>304</v>
      </c>
      <c r="D42" s="268">
        <v>85.99</v>
      </c>
      <c r="E42" s="14"/>
      <c r="F42" s="271">
        <v>44747</v>
      </c>
      <c r="G42" s="272">
        <v>85.99</v>
      </c>
      <c r="H42" s="17" t="str">
        <f>D42-G42</f>
        <v>0</v>
      </c>
      <c r="I42" s="269"/>
    </row>
    <row r="43" spans="1:1024" customHeight="1" ht="18.6">
      <c r="A43" s="357"/>
      <c r="B43" s="11" t="s">
        <v>300</v>
      </c>
      <c r="C43" s="12" t="s">
        <v>305</v>
      </c>
      <c r="D43" s="268">
        <v>90.74</v>
      </c>
      <c r="E43" s="14"/>
      <c r="F43" s="271">
        <v>44747</v>
      </c>
      <c r="G43" s="272">
        <v>90.74</v>
      </c>
      <c r="H43" s="17" t="str">
        <f>D43-G43</f>
        <v>0</v>
      </c>
      <c r="I43" s="269"/>
    </row>
    <row r="44" spans="1:1024" customHeight="1" ht="18.6">
      <c r="A44" s="357"/>
      <c r="B44" s="11" t="s">
        <v>300</v>
      </c>
      <c r="C44" s="12" t="s">
        <v>306</v>
      </c>
      <c r="D44" s="274">
        <v>71.32</v>
      </c>
      <c r="E44" s="275"/>
      <c r="F44" s="271">
        <v>44747</v>
      </c>
      <c r="G44" s="277">
        <v>71.32</v>
      </c>
      <c r="H44" s="17" t="str">
        <f>D44-G44</f>
        <v>0</v>
      </c>
      <c r="I44" s="269"/>
    </row>
    <row r="45" spans="1:1024" customHeight="1" ht="18.6">
      <c r="A45" s="357"/>
      <c r="B45" s="11" t="s">
        <v>300</v>
      </c>
      <c r="C45" s="12" t="s">
        <v>307</v>
      </c>
      <c r="D45" s="268">
        <v>102.36</v>
      </c>
      <c r="E45" s="14"/>
      <c r="F45" s="271">
        <v>44747</v>
      </c>
      <c r="G45" s="272">
        <v>102.36</v>
      </c>
      <c r="H45" s="17" t="str">
        <f>D45-G45</f>
        <v>0</v>
      </c>
      <c r="I45" s="269"/>
    </row>
    <row r="46" spans="1:1024" customHeight="1" ht="18.6">
      <c r="A46" s="357"/>
      <c r="B46" s="11" t="s">
        <v>300</v>
      </c>
      <c r="C46" s="12" t="s">
        <v>888</v>
      </c>
      <c r="D46" s="268">
        <v>99.97</v>
      </c>
      <c r="E46" s="14" t="s">
        <v>302</v>
      </c>
      <c r="F46" s="271">
        <v>44747</v>
      </c>
      <c r="G46" s="272">
        <v>99.97</v>
      </c>
      <c r="H46" s="17" t="str">
        <f>D46-G46</f>
        <v>0</v>
      </c>
      <c r="I46" s="269"/>
    </row>
    <row r="47" spans="1:1024" customHeight="1" ht="18.6">
      <c r="A47" s="357"/>
      <c r="B47" s="11" t="s">
        <v>551</v>
      </c>
      <c r="C47" s="12"/>
      <c r="D47" s="268">
        <v>53.88</v>
      </c>
      <c r="E47" s="14"/>
      <c r="F47" s="271">
        <v>44747</v>
      </c>
      <c r="G47" s="272"/>
      <c r="H47" s="17" t="str">
        <f>D47-G47</f>
        <v>0</v>
      </c>
      <c r="I47" s="269"/>
    </row>
    <row r="48" spans="1:1024" customHeight="1" ht="18.6">
      <c r="A48" s="357"/>
      <c r="B48" s="11" t="s">
        <v>314</v>
      </c>
      <c r="C48" s="12"/>
      <c r="D48" s="268">
        <v>50</v>
      </c>
      <c r="E48" s="14" t="s">
        <v>315</v>
      </c>
      <c r="F48" s="271">
        <v>44748</v>
      </c>
      <c r="G48" s="272"/>
      <c r="H48" s="17" t="str">
        <f>D48-G48</f>
        <v>0</v>
      </c>
      <c r="I48" s="269"/>
    </row>
    <row r="49" spans="1:1024" customHeight="1" ht="18.6">
      <c r="A49" s="357"/>
      <c r="B49" s="11" t="s">
        <v>314</v>
      </c>
      <c r="C49" s="12"/>
      <c r="D49" s="268">
        <v>38</v>
      </c>
      <c r="E49" s="14"/>
      <c r="F49" s="271">
        <v>44748</v>
      </c>
      <c r="G49" s="272"/>
      <c r="H49" s="17" t="str">
        <f>D49-G49</f>
        <v>0</v>
      </c>
      <c r="I49" s="269"/>
    </row>
    <row r="50" spans="1:1024" customHeight="1" ht="18.6">
      <c r="A50" s="357"/>
      <c r="B50" s="11" t="s">
        <v>35</v>
      </c>
      <c r="C50" s="12" t="s">
        <v>660</v>
      </c>
      <c r="D50" s="274">
        <v>2703.65</v>
      </c>
      <c r="E50" s="275"/>
      <c r="F50" s="271">
        <v>44752</v>
      </c>
      <c r="G50" s="277">
        <v>2703.65</v>
      </c>
      <c r="H50" s="17" t="str">
        <f>D50-G50</f>
        <v>0</v>
      </c>
      <c r="I50" s="269"/>
    </row>
    <row r="51" spans="1:1024" customHeight="1" ht="18.6">
      <c r="A51" s="357"/>
      <c r="B51" s="11" t="s">
        <v>316</v>
      </c>
      <c r="C51" s="12" t="s">
        <v>550</v>
      </c>
      <c r="D51" s="268" t="str">
        <f>15.95*2</f>
        <v>0</v>
      </c>
      <c r="E51" s="14" t="s">
        <v>661</v>
      </c>
      <c r="F51" s="271">
        <v>44752</v>
      </c>
      <c r="G51" s="272"/>
      <c r="H51" s="17" t="str">
        <f>D51-G51</f>
        <v>0</v>
      </c>
      <c r="I51" s="269">
        <v>44671</v>
      </c>
    </row>
    <row r="52" spans="1:1024" customHeight="1" ht="18.6">
      <c r="A52" s="357"/>
      <c r="B52" s="11" t="s">
        <v>561</v>
      </c>
      <c r="C52" s="12"/>
      <c r="D52" s="274">
        <v>16.99</v>
      </c>
      <c r="E52" s="275" t="s">
        <v>562</v>
      </c>
      <c r="F52" s="276">
        <v>44752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311</v>
      </c>
      <c r="C53" s="12" t="s">
        <v>889</v>
      </c>
      <c r="D53" s="268">
        <v>163.6</v>
      </c>
      <c r="E53" s="14" t="s">
        <v>890</v>
      </c>
      <c r="F53" s="271">
        <v>44753</v>
      </c>
      <c r="G53" s="272"/>
      <c r="H53" s="17" t="str">
        <f>D53-G53</f>
        <v>0</v>
      </c>
      <c r="I53" s="269"/>
    </row>
    <row r="54" spans="1:1024" customHeight="1" ht="18.6">
      <c r="A54" s="357"/>
      <c r="B54" s="343" t="s">
        <v>322</v>
      </c>
      <c r="C54" s="358"/>
      <c r="D54" s="365">
        <v>11213</v>
      </c>
      <c r="E54" s="480" t="s">
        <v>323</v>
      </c>
      <c r="F54" s="481">
        <v>44757</v>
      </c>
      <c r="G54" s="482"/>
      <c r="H54" s="483" t="str">
        <f>D54-G54</f>
        <v>0</v>
      </c>
      <c r="I54" s="438"/>
    </row>
    <row r="55" spans="1:1024" customHeight="1" ht="18.6">
      <c r="A55" s="357"/>
      <c r="B55" s="11" t="s">
        <v>300</v>
      </c>
      <c r="C55" s="12" t="s">
        <v>320</v>
      </c>
      <c r="D55" s="268">
        <v>15.24</v>
      </c>
      <c r="E55" s="14" t="s">
        <v>321</v>
      </c>
      <c r="F55" s="276">
        <v>44761</v>
      </c>
      <c r="G55" s="272"/>
      <c r="H55" s="17" t="str">
        <f>D55-G55</f>
        <v>0</v>
      </c>
      <c r="I55" s="269"/>
    </row>
    <row r="56" spans="1:1024" customHeight="1" ht="18.6">
      <c r="A56" s="357"/>
      <c r="B56" s="11" t="s">
        <v>300</v>
      </c>
      <c r="C56" s="12" t="s">
        <v>324</v>
      </c>
      <c r="D56" s="268">
        <v>93.87</v>
      </c>
      <c r="E56" s="14"/>
      <c r="F56" s="276">
        <v>44761</v>
      </c>
      <c r="G56" s="272"/>
      <c r="H56" s="17" t="str">
        <f>D56-G56</f>
        <v>0</v>
      </c>
      <c r="I56" s="269"/>
    </row>
    <row r="57" spans="1:1024" customHeight="1" ht="18.6">
      <c r="A57" s="357"/>
      <c r="B57" s="343" t="s">
        <v>327</v>
      </c>
      <c r="C57" s="12" t="s">
        <v>328</v>
      </c>
      <c r="D57" s="359">
        <v>6024</v>
      </c>
      <c r="E57" s="484" t="s">
        <v>666</v>
      </c>
      <c r="F57" s="481">
        <v>44763</v>
      </c>
      <c r="G57" s="485"/>
      <c r="H57" s="483" t="str">
        <f>D57-G57</f>
        <v>0</v>
      </c>
      <c r="I57" s="438"/>
    </row>
    <row r="58" spans="1:1024" customHeight="1" ht="18.6">
      <c r="A58" s="357"/>
      <c r="B58" s="343" t="s">
        <v>337</v>
      </c>
      <c r="C58" s="358"/>
      <c r="D58" s="365">
        <v>1799.9</v>
      </c>
      <c r="E58" s="480"/>
      <c r="F58" s="481">
        <v>44763</v>
      </c>
      <c r="G58" s="482"/>
      <c r="H58" s="483" t="str">
        <f>D58-G58</f>
        <v>0</v>
      </c>
      <c r="I58" s="438">
        <v>44671</v>
      </c>
    </row>
    <row r="59" spans="1:1024" customHeight="1" ht="18.6">
      <c r="A59" s="357"/>
      <c r="B59" s="11" t="s">
        <v>314</v>
      </c>
      <c r="C59" s="12"/>
      <c r="D59" s="268">
        <v>31</v>
      </c>
      <c r="E59" s="14"/>
      <c r="F59" s="486">
        <v>44763</v>
      </c>
      <c r="G59" s="272"/>
      <c r="H59" s="17" t="str">
        <f>D59-G59</f>
        <v>0</v>
      </c>
      <c r="I59" s="269"/>
    </row>
    <row r="60" spans="1:1024" customHeight="1" ht="18.6">
      <c r="A60" s="357"/>
      <c r="B60" s="11" t="s">
        <v>314</v>
      </c>
      <c r="C60" s="12"/>
      <c r="D60" s="268">
        <v>31</v>
      </c>
      <c r="E60" s="14"/>
      <c r="F60" s="486">
        <v>44763</v>
      </c>
      <c r="G60" s="272"/>
      <c r="H60" s="17" t="str">
        <f>D60-G60</f>
        <v>0</v>
      </c>
      <c r="I60" s="269"/>
    </row>
    <row r="61" spans="1:1024" customHeight="1" ht="18.6">
      <c r="A61" s="357"/>
      <c r="B61" s="11" t="s">
        <v>314</v>
      </c>
      <c r="C61" s="12" t="s">
        <v>325</v>
      </c>
      <c r="D61" s="274">
        <v>31</v>
      </c>
      <c r="E61" s="275" t="s">
        <v>326</v>
      </c>
      <c r="F61" s="486">
        <v>44763</v>
      </c>
      <c r="G61" s="277"/>
      <c r="H61" s="17" t="str">
        <f>D61-G61</f>
        <v>0</v>
      </c>
      <c r="I61" s="269"/>
    </row>
    <row r="62" spans="1:1024" customHeight="1" ht="18.6">
      <c r="A62" s="357"/>
      <c r="B62" s="11" t="s">
        <v>255</v>
      </c>
      <c r="C62" s="12" t="s">
        <v>891</v>
      </c>
      <c r="D62" s="268">
        <v>167.62</v>
      </c>
      <c r="E62" s="14"/>
      <c r="F62" s="271">
        <v>44765</v>
      </c>
      <c r="G62" s="272"/>
      <c r="H62" s="17" t="str">
        <f>D62-G62</f>
        <v>0</v>
      </c>
      <c r="I62" s="269"/>
    </row>
    <row r="63" spans="1:1024" customHeight="1" ht="18.6">
      <c r="A63" s="357"/>
      <c r="B63" s="11" t="s">
        <v>35</v>
      </c>
      <c r="C63" s="12" t="s">
        <v>572</v>
      </c>
      <c r="D63" s="268">
        <v>2219.29</v>
      </c>
      <c r="E63" s="14"/>
      <c r="F63" s="271">
        <v>44769</v>
      </c>
      <c r="G63" s="272"/>
      <c r="H63" s="17" t="str">
        <f>D63-G63</f>
        <v>0</v>
      </c>
      <c r="I63" s="269"/>
    </row>
    <row r="64" spans="1:1024" customHeight="1" ht="18.6">
      <c r="A64" s="357"/>
      <c r="B64" s="343" t="s">
        <v>329</v>
      </c>
      <c r="C64" s="12"/>
      <c r="D64" s="359">
        <v>2159.14</v>
      </c>
      <c r="E64" s="484" t="s">
        <v>667</v>
      </c>
      <c r="F64" s="271">
        <v>44769</v>
      </c>
      <c r="G64" s="485"/>
      <c r="H64" s="483" t="str">
        <f>D64-G64</f>
        <v>0</v>
      </c>
      <c r="I64" s="438"/>
    </row>
    <row r="65" spans="1:1024" customHeight="1" ht="18.6">
      <c r="A65" s="357"/>
      <c r="B65" s="280" t="s">
        <v>448</v>
      </c>
      <c r="C65" s="12" t="s">
        <v>449</v>
      </c>
      <c r="D65" s="369">
        <v>1188</v>
      </c>
      <c r="E65" s="275" t="s">
        <v>450</v>
      </c>
      <c r="F65" s="276">
        <v>44769</v>
      </c>
      <c r="G65" s="277"/>
      <c r="H65" s="17" t="str">
        <f>D65-G65</f>
        <v>0</v>
      </c>
      <c r="I65" s="269">
        <v>44677</v>
      </c>
    </row>
    <row r="66" spans="1:1024" customHeight="1" ht="18.6">
      <c r="A66" s="357"/>
      <c r="B66" s="11" t="s">
        <v>35</v>
      </c>
      <c r="C66" s="12" t="s">
        <v>892</v>
      </c>
      <c r="D66" s="274">
        <v>2219.29</v>
      </c>
      <c r="E66" s="275" t="s">
        <v>893</v>
      </c>
      <c r="F66" s="276">
        <v>44769</v>
      </c>
      <c r="G66" s="277"/>
      <c r="H66" s="17" t="str">
        <f>D66-G66</f>
        <v>0</v>
      </c>
      <c r="I66" s="269" t="s">
        <v>894</v>
      </c>
    </row>
    <row r="67" spans="1:1024" customHeight="1" ht="18.6">
      <c r="A67" s="357"/>
      <c r="B67" s="280" t="s">
        <v>668</v>
      </c>
      <c r="C67" s="12" t="s">
        <v>669</v>
      </c>
      <c r="D67" s="369">
        <v>34.43</v>
      </c>
      <c r="E67" s="275" t="s">
        <v>670</v>
      </c>
      <c r="F67" s="276">
        <v>44769</v>
      </c>
      <c r="G67" s="277"/>
      <c r="H67" s="17" t="str">
        <f>D67-G67</f>
        <v>0</v>
      </c>
      <c r="I67" s="446">
        <v>44676</v>
      </c>
    </row>
    <row r="68" spans="1:1024" customHeight="1" ht="18.6">
      <c r="A68" s="357"/>
      <c r="B68" s="280" t="s">
        <v>338</v>
      </c>
      <c r="C68" s="12" t="s">
        <v>339</v>
      </c>
      <c r="D68" s="369">
        <v>5283.09</v>
      </c>
      <c r="E68" s="275"/>
      <c r="F68" s="276">
        <v>44769</v>
      </c>
      <c r="G68" s="277"/>
      <c r="H68" s="17" t="str">
        <f>D68-G68</f>
        <v>0</v>
      </c>
      <c r="I68" s="372"/>
    </row>
    <row r="69" spans="1:1024" customHeight="1" ht="18.6">
      <c r="A69" s="357"/>
      <c r="B69" s="11" t="s">
        <v>445</v>
      </c>
      <c r="C69" s="12" t="s">
        <v>895</v>
      </c>
      <c r="D69" s="268">
        <v>807.48</v>
      </c>
      <c r="E69" s="275"/>
      <c r="F69" s="276">
        <v>44771</v>
      </c>
      <c r="G69" s="277"/>
      <c r="H69" s="17" t="str">
        <f>D69-G69</f>
        <v>0</v>
      </c>
      <c r="I69" s="372"/>
    </row>
    <row r="70" spans="1:1024" customHeight="1" ht="18.6">
      <c r="A70" s="357"/>
      <c r="B70" s="11" t="s">
        <v>164</v>
      </c>
      <c r="C70" s="12" t="s">
        <v>896</v>
      </c>
      <c r="D70" s="268">
        <v>495.07</v>
      </c>
      <c r="E70" s="275" t="s">
        <v>253</v>
      </c>
      <c r="F70" s="276">
        <v>44773</v>
      </c>
      <c r="G70" s="277"/>
      <c r="H70" s="17" t="str">
        <f>D70-G70</f>
        <v>0</v>
      </c>
      <c r="I70" s="372"/>
    </row>
    <row r="71" spans="1:1024" customHeight="1" ht="18.6">
      <c r="A71" s="357"/>
      <c r="B71" s="11" t="s">
        <v>897</v>
      </c>
      <c r="C71" s="12">
        <v>151002667</v>
      </c>
      <c r="D71" s="268">
        <v>1329.57</v>
      </c>
      <c r="E71" s="14"/>
      <c r="F71" s="271">
        <v>44752</v>
      </c>
      <c r="G71" s="270"/>
      <c r="H71" s="17" t="str">
        <f>'08-2022'!D62-G71</f>
        <v>0</v>
      </c>
      <c r="I71" s="269"/>
    </row>
    <row r="72" spans="1:1024" customHeight="1" ht="18.6">
      <c r="A72" s="357"/>
      <c r="B72" s="11" t="s">
        <v>443</v>
      </c>
      <c r="C72" s="12" t="s">
        <v>898</v>
      </c>
      <c r="D72" s="268">
        <v>255.53</v>
      </c>
      <c r="E72" s="275" t="s">
        <v>253</v>
      </c>
      <c r="F72" s="276">
        <v>44773</v>
      </c>
      <c r="G72" s="277"/>
      <c r="H72" s="445"/>
      <c r="I72" s="372"/>
    </row>
    <row r="73" spans="1:1024" customHeight="1" ht="18.6">
      <c r="A73" s="357"/>
      <c r="B73" s="463" t="s">
        <v>573</v>
      </c>
      <c r="C73" s="464" t="s">
        <v>574</v>
      </c>
      <c r="D73" s="274">
        <v>588</v>
      </c>
      <c r="E73" s="275" t="s">
        <v>665</v>
      </c>
      <c r="F73" s="25">
        <v>44762</v>
      </c>
      <c r="G73" s="26"/>
      <c r="H73" s="27"/>
      <c r="I73" s="375"/>
    </row>
    <row r="74" spans="1:1024" customHeight="1" ht="18.6">
      <c r="A74" s="357"/>
      <c r="B74" s="11" t="s">
        <v>35</v>
      </c>
      <c r="C74" s="12"/>
      <c r="D74" s="268" t="str">
        <f>SUM(D37:D72)</f>
        <v>0</v>
      </c>
      <c r="E74" s="24"/>
      <c r="F74" s="25"/>
      <c r="G74" s="26"/>
      <c r="H74" s="30" t="str">
        <f>+SUM(H37:H66)</f>
        <v>0</v>
      </c>
      <c r="I74" s="429"/>
    </row>
    <row r="75" spans="1:1024" customHeight="1" ht="9">
      <c r="A75" s="430"/>
      <c r="B75" s="11"/>
      <c r="C75" s="12"/>
      <c r="D75" s="268"/>
      <c r="E75" s="275"/>
      <c r="F75" s="276"/>
      <c r="G75" s="277"/>
      <c r="H75" s="487"/>
      <c r="I75" s="488"/>
    </row>
    <row r="76" spans="1:1024" customHeight="1" ht="18.6">
      <c r="A76" s="376" t="s">
        <v>341</v>
      </c>
      <c r="B76" s="318" t="s">
        <v>606</v>
      </c>
      <c r="C76" s="279" t="s">
        <v>899</v>
      </c>
      <c r="D76" s="319">
        <v>4320</v>
      </c>
      <c r="E76" s="275" t="s">
        <v>900</v>
      </c>
      <c r="F76" s="271">
        <v>44748</v>
      </c>
      <c r="G76" s="277"/>
      <c r="H76" s="17" t="str">
        <f>D76-G76</f>
        <v>0</v>
      </c>
      <c r="I76" s="321"/>
    </row>
    <row r="77" spans="1:1024" customHeight="1" ht="18.6">
      <c r="A77" s="376"/>
      <c r="B77" s="322" t="s">
        <v>554</v>
      </c>
      <c r="C77" s="12"/>
      <c r="D77" s="268">
        <v>1100</v>
      </c>
      <c r="E77" s="14" t="s">
        <v>555</v>
      </c>
      <c r="F77" s="271">
        <v>44748</v>
      </c>
      <c r="G77" s="270"/>
      <c r="H77" s="17" t="str">
        <f>D77-G77</f>
        <v>0</v>
      </c>
      <c r="I77" s="267"/>
    </row>
    <row r="78" spans="1:1024" customHeight="1" ht="18.6">
      <c r="A78" s="376"/>
      <c r="B78" s="380" t="s">
        <v>559</v>
      </c>
      <c r="C78" s="381"/>
      <c r="D78" s="382">
        <v>500</v>
      </c>
      <c r="E78" s="489" t="s">
        <v>462</v>
      </c>
      <c r="F78" s="271">
        <v>44748</v>
      </c>
      <c r="G78" s="490"/>
      <c r="H78" s="17" t="str">
        <f>D78-G78</f>
        <v>0</v>
      </c>
      <c r="I78" s="491"/>
    </row>
    <row r="79" spans="1:1024" customHeight="1" ht="18.6">
      <c r="A79" s="376"/>
      <c r="B79" s="387" t="s">
        <v>686</v>
      </c>
      <c r="C79" s="388"/>
      <c r="D79" s="382">
        <v>2100</v>
      </c>
      <c r="E79" s="489" t="s">
        <v>688</v>
      </c>
      <c r="F79" s="271">
        <v>44748</v>
      </c>
      <c r="G79" s="492"/>
      <c r="H79" s="17" t="str">
        <f>D79-G79</f>
        <v>0</v>
      </c>
      <c r="I79" s="493"/>
    </row>
    <row r="80" spans="1:1024" customHeight="1" ht="18.6">
      <c r="A80" s="376"/>
      <c r="B80" s="387" t="s">
        <v>768</v>
      </c>
      <c r="C80" s="388"/>
      <c r="D80" s="382">
        <v>600</v>
      </c>
      <c r="E80" s="489" t="s">
        <v>769</v>
      </c>
      <c r="F80" s="271">
        <v>44748</v>
      </c>
      <c r="G80" s="492"/>
      <c r="H80" s="17" t="str">
        <f>D80-G80</f>
        <v>0</v>
      </c>
      <c r="I80" s="493"/>
    </row>
    <row r="81" spans="1:1024" customHeight="1" ht="18.6">
      <c r="A81" s="376"/>
      <c r="B81" s="322" t="s">
        <v>489</v>
      </c>
      <c r="C81" s="323" t="s">
        <v>901</v>
      </c>
      <c r="D81" s="268">
        <v>125815.24</v>
      </c>
      <c r="E81" s="14" t="s">
        <v>902</v>
      </c>
      <c r="F81" s="271">
        <v>44757</v>
      </c>
      <c r="G81" s="277"/>
      <c r="H81" s="17"/>
      <c r="I81" s="325"/>
    </row>
    <row r="82" spans="1:1024" customHeight="1" ht="18.6">
      <c r="A82" s="376"/>
      <c r="B82" s="322" t="s">
        <v>130</v>
      </c>
      <c r="C82" s="323" t="s">
        <v>903</v>
      </c>
      <c r="D82" s="268">
        <v>7493</v>
      </c>
      <c r="E82" s="14"/>
      <c r="F82" s="271">
        <v>44773</v>
      </c>
      <c r="G82" s="277"/>
      <c r="H82" s="17" t="str">
        <f>D82-G82</f>
        <v>0</v>
      </c>
      <c r="I82" s="328"/>
    </row>
    <row r="83" spans="1:1024" customHeight="1" ht="18.6">
      <c r="A83" s="376"/>
      <c r="B83" s="322" t="s">
        <v>131</v>
      </c>
      <c r="C83" s="12" t="s">
        <v>904</v>
      </c>
      <c r="D83" s="329">
        <v>5000</v>
      </c>
      <c r="E83" s="14" t="s">
        <v>430</v>
      </c>
      <c r="F83" s="271">
        <v>44752</v>
      </c>
      <c r="G83" s="16">
        <v>5000</v>
      </c>
      <c r="H83" s="17" t="str">
        <f>D83-G83</f>
        <v>0</v>
      </c>
      <c r="I83" s="325"/>
    </row>
    <row r="84" spans="1:1024" customHeight="1" ht="18.6">
      <c r="A84" s="376"/>
      <c r="B84" s="11" t="s">
        <v>905</v>
      </c>
      <c r="C84" s="12" t="s">
        <v>906</v>
      </c>
      <c r="D84" s="268">
        <v>650</v>
      </c>
      <c r="E84" s="14" t="s">
        <v>907</v>
      </c>
      <c r="F84" s="271">
        <v>44752</v>
      </c>
      <c r="G84" s="270"/>
      <c r="H84" s="17" t="str">
        <f>D84-G84</f>
        <v>0</v>
      </c>
      <c r="I84" s="269"/>
    </row>
    <row r="85" spans="1:1024" customHeight="1" ht="18.6">
      <c r="A85" s="376"/>
      <c r="B85" s="297" t="s">
        <v>908</v>
      </c>
      <c r="C85" s="12" t="s">
        <v>909</v>
      </c>
      <c r="D85" s="268">
        <v>6000</v>
      </c>
      <c r="E85" s="14" t="s">
        <v>910</v>
      </c>
      <c r="F85" s="271">
        <v>44763</v>
      </c>
      <c r="G85" s="270"/>
      <c r="H85" s="17" t="str">
        <f>D85-G85</f>
        <v>0</v>
      </c>
      <c r="I85" s="267"/>
    </row>
    <row r="86" spans="1:1024" customHeight="1" ht="18.6">
      <c r="A86" s="376"/>
      <c r="B86" s="297" t="s">
        <v>911</v>
      </c>
      <c r="C86" s="12" t="s">
        <v>912</v>
      </c>
      <c r="D86" s="268">
        <v>985</v>
      </c>
      <c r="E86" s="465" t="s">
        <v>913</v>
      </c>
      <c r="F86" s="271">
        <v>44745</v>
      </c>
      <c r="G86" s="270"/>
      <c r="H86" s="17" t="str">
        <f>D86-G86</f>
        <v>0</v>
      </c>
      <c r="I86" s="269"/>
    </row>
    <row r="87" spans="1:1024" customHeight="1" ht="18.6">
      <c r="A87" s="376"/>
      <c r="B87" s="297" t="s">
        <v>187</v>
      </c>
      <c r="C87" s="12" t="s">
        <v>914</v>
      </c>
      <c r="D87" s="268">
        <v>7235.62</v>
      </c>
      <c r="E87" s="14" t="s">
        <v>253</v>
      </c>
      <c r="F87" s="271">
        <v>44773</v>
      </c>
      <c r="G87" s="270"/>
      <c r="H87" s="17" t="str">
        <f>D87-G87</f>
        <v>0</v>
      </c>
      <c r="I87" s="267"/>
    </row>
    <row r="88" spans="1:1024" customHeight="1" ht="18.6">
      <c r="A88" s="376"/>
      <c r="B88" s="11" t="s">
        <v>148</v>
      </c>
      <c r="C88" s="12" t="s">
        <v>780</v>
      </c>
      <c r="D88" s="268">
        <v>808.2</v>
      </c>
      <c r="E88" s="14"/>
      <c r="F88" s="271">
        <v>44757</v>
      </c>
      <c r="G88" s="270"/>
      <c r="H88" s="17" t="str">
        <f>D88-G88</f>
        <v>0</v>
      </c>
      <c r="I88" s="267"/>
    </row>
    <row r="89" spans="1:1024" customHeight="1" ht="18.6">
      <c r="A89" s="376"/>
      <c r="B89" s="297" t="s">
        <v>148</v>
      </c>
      <c r="C89" s="12" t="s">
        <v>839</v>
      </c>
      <c r="D89" s="268">
        <v>7083.6</v>
      </c>
      <c r="E89" s="14" t="s">
        <v>253</v>
      </c>
      <c r="F89" s="271">
        <v>44757</v>
      </c>
      <c r="G89" s="270"/>
      <c r="H89" s="17" t="str">
        <f>D89-G89</f>
        <v>0</v>
      </c>
      <c r="I89" s="325"/>
    </row>
    <row r="90" spans="1:1024" customHeight="1" ht="18.6">
      <c r="A90" s="376"/>
      <c r="B90" s="297" t="s">
        <v>148</v>
      </c>
      <c r="C90" s="323" t="s">
        <v>915</v>
      </c>
      <c r="D90" s="268">
        <v>617.47</v>
      </c>
      <c r="E90" s="14"/>
      <c r="F90" s="271">
        <v>44757</v>
      </c>
      <c r="G90" s="270"/>
      <c r="H90" s="17" t="str">
        <f>D90-G90</f>
        <v>0</v>
      </c>
      <c r="I90" s="325"/>
    </row>
    <row r="91" spans="1:1024" customHeight="1" ht="18.6">
      <c r="A91" s="376"/>
      <c r="B91" s="297" t="s">
        <v>148</v>
      </c>
      <c r="C91" s="323" t="s">
        <v>916</v>
      </c>
      <c r="D91" s="268">
        <v>1693.91</v>
      </c>
      <c r="E91" s="14"/>
      <c r="F91" s="271">
        <v>44757</v>
      </c>
      <c r="G91" s="270"/>
      <c r="H91" s="17" t="str">
        <f>D91-G91</f>
        <v>0</v>
      </c>
      <c r="I91" s="325"/>
    </row>
    <row r="92" spans="1:1024" customHeight="1" ht="18.6">
      <c r="A92" s="376"/>
      <c r="B92" s="322" t="s">
        <v>141</v>
      </c>
      <c r="C92" s="323" t="s">
        <v>917</v>
      </c>
      <c r="D92" s="268">
        <v>6866.9</v>
      </c>
      <c r="E92" s="14" t="s">
        <v>918</v>
      </c>
      <c r="F92" s="324"/>
      <c r="G92" s="270"/>
      <c r="H92" s="17" t="str">
        <f>D92-G92</f>
        <v>0</v>
      </c>
      <c r="I92" s="325"/>
    </row>
    <row r="93" spans="1:1024" customHeight="1" ht="20.25">
      <c r="A93" s="376"/>
      <c r="B93" s="322" t="s">
        <v>919</v>
      </c>
      <c r="C93" s="323" t="s">
        <v>920</v>
      </c>
      <c r="D93" s="268">
        <v>2481.85</v>
      </c>
      <c r="E93" s="14"/>
      <c r="F93" s="324">
        <v>44752</v>
      </c>
      <c r="G93" s="270"/>
      <c r="H93" s="17" t="str">
        <f>D93-G93</f>
        <v>0</v>
      </c>
      <c r="I93" s="325"/>
    </row>
    <row r="94" spans="1:1024" customHeight="1" ht="20.25">
      <c r="A94" s="376"/>
      <c r="B94" s="322" t="s">
        <v>349</v>
      </c>
      <c r="C94" s="323" t="s">
        <v>921</v>
      </c>
      <c r="D94" s="268">
        <v>390.79</v>
      </c>
      <c r="E94" s="14" t="s">
        <v>796</v>
      </c>
      <c r="F94" s="324">
        <v>707</v>
      </c>
      <c r="G94" s="270">
        <v>390.79</v>
      </c>
      <c r="H94" s="17" t="str">
        <f>D94-G94</f>
        <v>0</v>
      </c>
      <c r="I94" s="325"/>
    </row>
    <row r="95" spans="1:1024" customHeight="1" ht="20.25">
      <c r="A95" s="376"/>
      <c r="B95" s="322" t="s">
        <v>349</v>
      </c>
      <c r="C95" s="323" t="s">
        <v>922</v>
      </c>
      <c r="D95" s="268">
        <v>1987.45</v>
      </c>
      <c r="E95" s="14"/>
      <c r="F95" s="324">
        <v>44749</v>
      </c>
      <c r="G95" s="272">
        <v>1987.45</v>
      </c>
      <c r="H95" s="17" t="str">
        <f>D95-G95</f>
        <v>0</v>
      </c>
      <c r="I95" s="325"/>
    </row>
    <row r="96" spans="1:1024" customHeight="1" ht="20.25">
      <c r="A96" s="376"/>
      <c r="B96" s="322"/>
      <c r="C96" s="323"/>
      <c r="D96" s="268"/>
      <c r="E96" s="14"/>
      <c r="F96" s="324"/>
      <c r="G96" s="272"/>
      <c r="H96" s="17" t="str">
        <f>D96-G96</f>
        <v>0</v>
      </c>
      <c r="I96" s="325"/>
    </row>
    <row r="97" spans="1:1024" customHeight="1" ht="20.25">
      <c r="A97" s="376"/>
      <c r="B97" s="322"/>
      <c r="C97" s="323"/>
      <c r="D97" s="268"/>
      <c r="E97" s="14"/>
      <c r="F97" s="324"/>
      <c r="G97" s="272"/>
      <c r="H97" s="17" t="str">
        <f>D97-G97</f>
        <v>0</v>
      </c>
      <c r="I97" s="328"/>
    </row>
    <row r="98" spans="1:1024" customHeight="1" ht="20.25">
      <c r="A98" s="376"/>
      <c r="B98" s="322"/>
      <c r="C98" s="323"/>
      <c r="D98" s="268"/>
      <c r="E98" s="14"/>
      <c r="F98" s="324"/>
      <c r="G98" s="272"/>
      <c r="H98" s="17" t="str">
        <f>D98-G98</f>
        <v>0</v>
      </c>
      <c r="I98" s="325"/>
    </row>
    <row r="99" spans="1:1024" customHeight="1" ht="20.25">
      <c r="A99" s="376"/>
      <c r="B99" s="322"/>
      <c r="C99" s="323"/>
      <c r="D99" s="268"/>
      <c r="E99" s="14"/>
      <c r="F99" s="324"/>
      <c r="G99" s="272"/>
      <c r="H99" s="17" t="str">
        <f>D99-G99</f>
        <v>0</v>
      </c>
      <c r="I99" s="328"/>
    </row>
    <row r="100" spans="1:1024" customHeight="1" ht="20.25">
      <c r="A100" s="376"/>
      <c r="B100" s="322"/>
      <c r="C100" s="323"/>
      <c r="D100" s="268"/>
      <c r="E100" s="330"/>
      <c r="F100" s="324"/>
      <c r="G100" s="272"/>
      <c r="H100" s="17" t="str">
        <f>D100-G100</f>
        <v>0</v>
      </c>
      <c r="I100" s="328"/>
    </row>
    <row r="101" spans="1:1024" customHeight="1" ht="20.25">
      <c r="A101" s="376"/>
      <c r="B101" s="297"/>
      <c r="C101" s="12"/>
      <c r="D101" s="268"/>
      <c r="E101" s="14"/>
      <c r="F101" s="271"/>
      <c r="G101" s="272"/>
      <c r="H101" s="17" t="str">
        <f>D101-G101</f>
        <v>0</v>
      </c>
      <c r="I101" s="267"/>
    </row>
    <row r="102" spans="1:1024" customHeight="1" ht="20.25">
      <c r="A102" s="376"/>
      <c r="B102" s="280" t="s">
        <v>923</v>
      </c>
      <c r="C102" s="12"/>
      <c r="D102" s="369">
        <v>40000</v>
      </c>
      <c r="E102" s="275"/>
      <c r="F102" s="276"/>
      <c r="G102" s="277"/>
      <c r="H102" s="17" t="str">
        <f>D102-G102</f>
        <v>0</v>
      </c>
      <c r="I102" s="328"/>
    </row>
    <row r="103" spans="1:1024" customHeight="1" ht="20.25">
      <c r="A103" s="376"/>
      <c r="B103" s="322"/>
      <c r="C103" s="323"/>
      <c r="D103" s="268"/>
      <c r="E103" s="330"/>
      <c r="F103" s="324"/>
      <c r="G103" s="272"/>
      <c r="H103" s="17"/>
      <c r="I103" s="325"/>
    </row>
    <row r="104" spans="1:1024" customHeight="1" ht="20.25">
      <c r="A104" s="376"/>
      <c r="B104" s="322"/>
      <c r="C104" s="323"/>
      <c r="D104" s="268"/>
      <c r="E104" s="330"/>
      <c r="F104" s="324"/>
      <c r="G104" s="272"/>
      <c r="H104" s="17" t="str">
        <f>D104-G104</f>
        <v>0</v>
      </c>
      <c r="I104" s="325"/>
    </row>
    <row r="105" spans="1:1024" customHeight="1" ht="20.25">
      <c r="A105" s="376"/>
      <c r="B105" s="322"/>
      <c r="C105" s="323"/>
      <c r="D105" s="268"/>
      <c r="E105" s="330"/>
      <c r="F105" s="324"/>
      <c r="G105" s="272"/>
      <c r="H105" s="17" t="str">
        <f>D105-G105</f>
        <v>0</v>
      </c>
      <c r="I105" s="325"/>
    </row>
    <row r="106" spans="1:1024" customHeight="1" ht="18.6">
      <c r="A106" s="376"/>
      <c r="B106" s="311" t="s">
        <v>35</v>
      </c>
      <c r="C106" s="312"/>
      <c r="D106" s="313" t="str">
        <f>SUM(D76:D105)</f>
        <v>0</v>
      </c>
      <c r="E106" s="314"/>
      <c r="F106" s="315"/>
      <c r="G106" s="316"/>
      <c r="H106" s="295" t="str">
        <f>+SUM(H76:H97)</f>
        <v>0</v>
      </c>
      <c r="I106" s="296"/>
    </row>
    <row r="107" spans="1:1024" customHeight="1" ht="21">
      <c r="A107" s="331"/>
      <c r="B107" s="31"/>
      <c r="C107" s="32"/>
      <c r="D107" s="33"/>
      <c r="E107" s="34"/>
    </row>
    <row r="108" spans="1:1024" customHeight="1" ht="21">
      <c r="A108" s="332" t="s">
        <v>388</v>
      </c>
      <c r="B108" s="35"/>
      <c r="C108" s="333"/>
      <c r="D108" s="334" t="str">
        <f>+SUM(D106+D74+D36)</f>
        <v>0</v>
      </c>
      <c r="H108" s="334" t="str">
        <f>+SUM(H106+H74+H36)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5"/>
    <mergeCell ref="K8:L8"/>
    <mergeCell ref="K10:L10"/>
    <mergeCell ref="K13:L13"/>
    <mergeCell ref="K24:M24"/>
    <mergeCell ref="A37:A74"/>
    <mergeCell ref="A76:A106"/>
  </mergeCells>
  <conditionalFormatting sqref="C77:E77">
    <cfRule type="expression" dxfId="0" priority="1">
      <formula>MOD(ROW(),2)=1</formula>
    </cfRule>
  </conditionalFormatting>
  <conditionalFormatting sqref="B31">
    <cfRule type="expression" dxfId="0" priority="2">
      <formula>MOD(ROW(),2)=1</formula>
    </cfRule>
  </conditionalFormatting>
  <conditionalFormatting sqref="I12:I13">
    <cfRule type="expression" dxfId="0" priority="3">
      <formula>MOD(ROW(),2)=1</formula>
    </cfRule>
  </conditionalFormatting>
  <conditionalFormatting sqref="B2:I2">
    <cfRule type="expression" dxfId="0" priority="4">
      <formula>MOD(ROW(),2)=1</formula>
    </cfRule>
  </conditionalFormatting>
  <conditionalFormatting sqref="B80:D81">
    <cfRule type="expression" dxfId="0" priority="5">
      <formula>MOD(ROW(),2)=1</formula>
    </cfRule>
  </conditionalFormatting>
  <conditionalFormatting sqref="B84:D84">
    <cfRule type="expression" dxfId="0" priority="6">
      <formula>MOD(ROW(),2)=1</formula>
    </cfRule>
  </conditionalFormatting>
  <conditionalFormatting sqref="B100:G101">
    <cfRule type="expression" dxfId="0" priority="7">
      <formula>MOD(ROW(),2)=1</formula>
    </cfRule>
  </conditionalFormatting>
  <conditionalFormatting sqref="F80:G84">
    <cfRule type="expression" dxfId="0" priority="8">
      <formula>MOD(ROW(),2)=1</formula>
    </cfRule>
  </conditionalFormatting>
  <conditionalFormatting sqref="B78:E79">
    <cfRule type="expression" dxfId="0" priority="9">
      <formula>MOD(ROW(),2)=1</formula>
    </cfRule>
  </conditionalFormatting>
  <conditionalFormatting sqref="B59:G59">
    <cfRule type="expression" dxfId="0" priority="10">
      <formula>MOD(ROW(),2)=1</formula>
    </cfRule>
  </conditionalFormatting>
  <conditionalFormatting sqref="E74:G75">
    <cfRule type="expression" dxfId="0" priority="11">
      <formula>MOD(ROW(),2)=1</formula>
    </cfRule>
  </conditionalFormatting>
  <conditionalFormatting sqref="F73:I73">
    <cfRule type="expression" dxfId="0" priority="12">
      <formula>MOD(ROW(),2)=1</formula>
    </cfRule>
  </conditionalFormatting>
  <conditionalFormatting sqref="B85:G87">
    <cfRule type="expression" dxfId="0" priority="13">
      <formula>MOD(ROW(),2)=1</formula>
    </cfRule>
  </conditionalFormatting>
  <conditionalFormatting sqref="G3:G27">
    <cfRule type="expression" dxfId="0" priority="14">
      <formula>MOD(ROW(),2)=1</formula>
    </cfRule>
  </conditionalFormatting>
  <conditionalFormatting sqref="I3:I10">
    <cfRule type="expression" dxfId="0" priority="15">
      <formula>MOD(ROW(),2)=1</formula>
    </cfRule>
  </conditionalFormatting>
  <conditionalFormatting sqref="H3:H35">
    <cfRule type="expression" dxfId="0" priority="16">
      <formula>MOD(ROW(),2)=1</formula>
    </cfRule>
  </conditionalFormatting>
  <conditionalFormatting sqref="E70:G70">
    <cfRule type="expression" dxfId="0" priority="17">
      <formula>MOD(ROW(),2)=1</formula>
    </cfRule>
  </conditionalFormatting>
  <conditionalFormatting sqref="B65:G67">
    <cfRule type="expression" dxfId="0" priority="18">
      <formula>MOD(ROW(),2)=1</formula>
    </cfRule>
  </conditionalFormatting>
  <conditionalFormatting sqref="I77:I106">
    <cfRule type="expression" dxfId="0" priority="19">
      <formula>MOD(ROW(),2)=1</formula>
    </cfRule>
  </conditionalFormatting>
  <conditionalFormatting sqref="B48:G48">
    <cfRule type="expression" dxfId="0" priority="20">
      <formula>MOD(ROW(),2)=1</formula>
    </cfRule>
  </conditionalFormatting>
  <conditionalFormatting sqref="I50">
    <cfRule type="expression" dxfId="0" priority="21">
      <formula>MOD(ROW(),2)=1</formula>
    </cfRule>
  </conditionalFormatting>
  <conditionalFormatting sqref="B52:G52">
    <cfRule type="expression" dxfId="0" priority="22">
      <formula>MOD(ROW(),2)=1</formula>
    </cfRule>
  </conditionalFormatting>
  <conditionalFormatting sqref="I52">
    <cfRule type="expression" dxfId="0" priority="23">
      <formula>MOD(ROW(),2)=1</formula>
    </cfRule>
  </conditionalFormatting>
  <conditionalFormatting sqref="B54:G54">
    <cfRule type="expression" dxfId="0" priority="24">
      <formula>MOD(ROW(),2)=1</formula>
    </cfRule>
  </conditionalFormatting>
  <conditionalFormatting sqref="I54">
    <cfRule type="expression" dxfId="0" priority="25">
      <formula>MOD(ROW(),2)=1</formula>
    </cfRule>
  </conditionalFormatting>
  <conditionalFormatting sqref="G78:G79">
    <cfRule type="cellIs" dxfId="3" priority="26" operator="lessThan">
      <formula>TODAY()</formula>
    </cfRule>
    <cfRule type="timePeriod" dxfId="1" priority="27" timePeriod="last7Days">
      <formula/>
    </cfRule>
    <cfRule type="timePeriod" dxfId="1" priority="28" timePeriod="yesterday">
      <formula/>
    </cfRule>
    <cfRule type="timePeriod" dxfId="1" priority="29" timePeriod="lastMonth">
      <formula/>
    </cfRule>
    <cfRule type="timePeriod" dxfId="1" priority="30" timePeriod="yesterday">
      <formula/>
    </cfRule>
    <cfRule type="timePeriod" dxfId="1" priority="31" timePeriod="today">
      <formula/>
    </cfRule>
  </conditionalFormatting>
  <conditionalFormatting sqref="H76:H101">
    <cfRule type="expression" dxfId="0" priority="32">
      <formula>MOD(ROW(),2)=1</formula>
    </cfRule>
  </conditionalFormatting>
  <conditionalFormatting sqref="C82:D83">
    <cfRule type="expression" dxfId="0" priority="33">
      <formula>MOD(ROW(),2)=1</formula>
    </cfRule>
  </conditionalFormatting>
  <conditionalFormatting sqref="B49:E50">
    <cfRule type="expression" dxfId="0" priority="34">
      <formula>MOD(ROW(),2)=1</formula>
    </cfRule>
  </conditionalFormatting>
  <conditionalFormatting sqref="G49:G50">
    <cfRule type="cellIs" dxfId="3" priority="35" operator="lessThan">
      <formula>TODAY()</formula>
    </cfRule>
    <cfRule type="timePeriod" dxfId="1" priority="36" timePeriod="last7Days">
      <formula/>
    </cfRule>
    <cfRule type="timePeriod" dxfId="1" priority="37" timePeriod="yesterday">
      <formula/>
    </cfRule>
    <cfRule type="timePeriod" dxfId="1" priority="38" timePeriod="lastMonth">
      <formula/>
    </cfRule>
    <cfRule type="timePeriod" dxfId="1" priority="39" timePeriod="yesterday">
      <formula/>
    </cfRule>
    <cfRule type="timePeriod" dxfId="1" priority="40" timePeriod="today">
      <formula/>
    </cfRule>
  </conditionalFormatting>
  <conditionalFormatting sqref="G68:G69">
    <cfRule type="cellIs" dxfId="3" priority="41" operator="lessThan">
      <formula>TODAY()</formula>
    </cfRule>
    <cfRule type="timePeriod" dxfId="1" priority="42" timePeriod="last7Days">
      <formula/>
    </cfRule>
    <cfRule type="timePeriod" dxfId="1" priority="43" timePeriod="yesterday">
      <formula/>
    </cfRule>
    <cfRule type="timePeriod" dxfId="1" priority="44" timePeriod="lastMonth">
      <formula/>
    </cfRule>
    <cfRule type="timePeriod" dxfId="1" priority="45" timePeriod="yesterday">
      <formula/>
    </cfRule>
    <cfRule type="timePeriod" dxfId="1" priority="46" timePeriod="today">
      <formula/>
    </cfRule>
  </conditionalFormatting>
  <conditionalFormatting sqref="E88:G88">
    <cfRule type="expression" dxfId="0" priority="47">
      <formula>MOD(ROW(),2)=1</formula>
    </cfRule>
  </conditionalFormatting>
  <conditionalFormatting sqref="C90:D91">
    <cfRule type="expression" dxfId="0" priority="48">
      <formula>MOD(ROW(),2)=1</formula>
    </cfRule>
  </conditionalFormatting>
  <conditionalFormatting sqref="F89:G99">
    <cfRule type="expression" dxfId="0" priority="49">
      <formula>MOD(ROW(),2)=1</formula>
    </cfRule>
  </conditionalFormatting>
  <conditionalFormatting sqref="I65:I70">
    <cfRule type="expression" dxfId="0" priority="50">
      <formula>MOD(ROW(),2)=1</formula>
    </cfRule>
  </conditionalFormatting>
  <conditionalFormatting sqref="H103:H105">
    <cfRule type="expression" dxfId="0" priority="51">
      <formula>MOD(ROW(),2)=1</formula>
    </cfRule>
  </conditionalFormatting>
  <conditionalFormatting sqref="B103:G106">
    <cfRule type="expression" dxfId="0" priority="52">
      <formula>MOD(ROW(),2)=1</formula>
    </cfRule>
  </conditionalFormatting>
  <conditionalFormatting sqref="H37:H50">
    <cfRule type="expression" dxfId="0" priority="53">
      <formula>MOD(ROW(),2)=1</formula>
    </cfRule>
  </conditionalFormatting>
  <conditionalFormatting sqref="F38:F45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H52:H72">
    <cfRule type="expression" dxfId="0" priority="60">
      <formula>MOD(ROW(),2)=1</formula>
    </cfRule>
  </conditionalFormatting>
  <conditionalFormatting sqref="D2:D35">
    <cfRule type="expression" dxfId="0" priority="61">
      <formula>MOD(ROW(),2)=1</formula>
    </cfRule>
  </conditionalFormatting>
  <conditionalFormatting sqref="F3:F31">
    <cfRule type="expression" dxfId="0" priority="62">
      <formula>MOD(ROW(),2)=1</formula>
    </cfRule>
  </conditionalFormatting>
  <conditionalFormatting sqref="B3:E23">
    <cfRule type="expression" dxfId="0" priority="63">
      <formula>MOD(ROW(),2)=1</formula>
    </cfRule>
  </conditionalFormatting>
  <conditionalFormatting sqref="B92:D99">
    <cfRule type="expression" dxfId="0" priority="64">
      <formula>MOD(ROW(),2)=1</formula>
    </cfRule>
  </conditionalFormatting>
  <conditionalFormatting sqref="B72">
    <cfRule type="expression" dxfId="0" priority="65">
      <formula>MOD(ROW(),2)=1</formula>
    </cfRule>
  </conditionalFormatting>
  <conditionalFormatting sqref="D69:D72">
    <cfRule type="expression" dxfId="0" priority="66">
      <formula>MOD(ROW(),2)=1</formula>
    </cfRule>
  </conditionalFormatting>
  <conditionalFormatting sqref="D74:D76">
    <cfRule type="expression" dxfId="0" priority="67">
      <formula>MOD(ROW(),2)=1</formula>
    </cfRule>
  </conditionalFormatting>
  <conditionalFormatting sqref="D24:E27">
    <cfRule type="expression" dxfId="0" priority="68">
      <formula>MOD(ROW(),2)=1</formula>
    </cfRule>
  </conditionalFormatting>
  <conditionalFormatting sqref="B24:C29">
    <cfRule type="expression" dxfId="0" priority="69">
      <formula>MOD(ROW(),2)=1</formula>
    </cfRule>
  </conditionalFormatting>
  <conditionalFormatting sqref="F2:G11">
    <cfRule type="timePeriod" dxfId="1" priority="70" timePeriod="yesterday">
      <formula/>
    </cfRule>
    <cfRule type="timePeriod" dxfId="1" priority="71" timePeriod="today">
      <formula/>
    </cfRule>
    <cfRule type="cellIs" dxfId="2" priority="72" operator="lessThan">
      <formula>_xludf.today()</formula>
    </cfRule>
  </conditionalFormatting>
  <conditionalFormatting sqref="F8:F12">
    <cfRule type="timePeriod" dxfId="1" priority="73" timePeriod="yesterday">
      <formula/>
    </cfRule>
    <cfRule type="timePeriod" dxfId="1" priority="74" timePeriod="today">
      <formula/>
    </cfRule>
    <cfRule type="cellIs" dxfId="2" priority="75" operator="lessThan">
      <formula>_xludf.today()</formula>
    </cfRule>
  </conditionalFormatting>
  <conditionalFormatting sqref="F28:F31">
    <cfRule type="cellIs" dxfId="3" priority="76" operator="lessThan">
      <formula>TODAY()</formula>
    </cfRule>
    <cfRule type="timePeriod" dxfId="1" priority="77" timePeriod="last7Days">
      <formula/>
    </cfRule>
    <cfRule type="timePeriod" dxfId="1" priority="78" timePeriod="yesterday">
      <formula/>
    </cfRule>
    <cfRule type="timePeriod" dxfId="1" priority="79" timePeriod="lastMonth">
      <formula/>
    </cfRule>
    <cfRule type="timePeriod" dxfId="1" priority="80" timePeriod="yesterday">
      <formula/>
    </cfRule>
    <cfRule type="timePeriod" dxfId="1" priority="81" timePeriod="today">
      <formula/>
    </cfRule>
  </conditionalFormatting>
  <conditionalFormatting sqref="F59:G59">
    <cfRule type="cellIs" dxfId="3" priority="82" operator="lessThan">
      <formula>TODAY()</formula>
    </cfRule>
    <cfRule type="timePeriod" dxfId="1" priority="83" timePeriod="last7Days">
      <formula/>
    </cfRule>
    <cfRule type="timePeriod" dxfId="1" priority="84" timePeriod="yesterday">
      <formula/>
    </cfRule>
    <cfRule type="timePeriod" dxfId="1" priority="85" timePeriod="lastMonth">
      <formula/>
    </cfRule>
    <cfRule type="timePeriod" dxfId="1" priority="86" timePeriod="yesterday">
      <formula/>
    </cfRule>
    <cfRule type="timePeriod" dxfId="1" priority="87" timePeriod="today">
      <formula/>
    </cfRule>
  </conditionalFormatting>
  <conditionalFormatting sqref="F73:G75">
    <cfRule type="cellIs" dxfId="3" priority="88" operator="lessThan">
      <formula>TODAY()</formula>
    </cfRule>
    <cfRule type="timePeriod" dxfId="1" priority="89" timePeriod="last7Days">
      <formula/>
    </cfRule>
    <cfRule type="timePeriod" dxfId="1" priority="90" timePeriod="yesterday">
      <formula/>
    </cfRule>
    <cfRule type="timePeriod" dxfId="1" priority="91" timePeriod="lastMonth">
      <formula/>
    </cfRule>
    <cfRule type="timePeriod" dxfId="1" priority="92" timePeriod="yesterday">
      <formula/>
    </cfRule>
    <cfRule type="timePeriod" dxfId="1" priority="93" timePeriod="today">
      <formula/>
    </cfRule>
  </conditionalFormatting>
  <conditionalFormatting sqref="F65:G67">
    <cfRule type="cellIs" dxfId="3" priority="94" operator="lessThan">
      <formula>TODAY()</formula>
    </cfRule>
    <cfRule type="timePeriod" dxfId="1" priority="95" timePeriod="last7Days">
      <formula/>
    </cfRule>
    <cfRule type="timePeriod" dxfId="1" priority="96" timePeriod="yesterday">
      <formula/>
    </cfRule>
    <cfRule type="timePeriod" dxfId="1" priority="97" timePeriod="lastMonth">
      <formula/>
    </cfRule>
    <cfRule type="timePeriod" dxfId="1" priority="98" timePeriod="yesterday">
      <formula/>
    </cfRule>
    <cfRule type="timePeriod" dxfId="1" priority="99" timePeriod="today">
      <formula/>
    </cfRule>
  </conditionalFormatting>
  <conditionalFormatting sqref="F48:G48">
    <cfRule type="cellIs" dxfId="3" priority="100" operator="lessThan">
      <formula>TODAY()</formula>
    </cfRule>
    <cfRule type="timePeriod" dxfId="1" priority="101" timePeriod="last7Days">
      <formula/>
    </cfRule>
    <cfRule type="timePeriod" dxfId="1" priority="102" timePeriod="yesterday">
      <formula/>
    </cfRule>
    <cfRule type="timePeriod" dxfId="1" priority="103" timePeriod="lastMonth">
      <formula/>
    </cfRule>
    <cfRule type="timePeriod" dxfId="1" priority="104" timePeriod="yesterday">
      <formula/>
    </cfRule>
    <cfRule type="timePeriod" dxfId="1" priority="105" timePeriod="today">
      <formula/>
    </cfRule>
  </conditionalFormatting>
  <conditionalFormatting sqref="F52:G52">
    <cfRule type="cellIs" dxfId="3" priority="106" operator="lessThan">
      <formula>TODAY()</formula>
    </cfRule>
    <cfRule type="timePeriod" dxfId="1" priority="107" timePeriod="last7Days">
      <formula/>
    </cfRule>
    <cfRule type="timePeriod" dxfId="1" priority="108" timePeriod="yesterday">
      <formula/>
    </cfRule>
    <cfRule type="timePeriod" dxfId="1" priority="109" timePeriod="lastMonth">
      <formula/>
    </cfRule>
    <cfRule type="timePeriod" dxfId="1" priority="110" timePeriod="yesterday">
      <formula/>
    </cfRule>
    <cfRule type="timePeriod" dxfId="1" priority="111" timePeriod="today">
      <formula/>
    </cfRule>
  </conditionalFormatting>
  <conditionalFormatting sqref="F54:G54">
    <cfRule type="cellIs" dxfId="3" priority="112" operator="lessThan">
      <formula>TODAY()</formula>
    </cfRule>
    <cfRule type="timePeriod" dxfId="1" priority="113" timePeriod="last7Days">
      <formula/>
    </cfRule>
    <cfRule type="timePeriod" dxfId="1" priority="114" timePeriod="yesterday">
      <formula/>
    </cfRule>
    <cfRule type="timePeriod" dxfId="1" priority="115" timePeriod="lastMonth">
      <formula/>
    </cfRule>
    <cfRule type="timePeriod" dxfId="1" priority="116" timePeriod="yesterday">
      <formula/>
    </cfRule>
    <cfRule type="timePeriod" dxfId="1" priority="117" timePeriod="today">
      <formula/>
    </cfRule>
  </conditionalFormatting>
  <conditionalFormatting sqref="F70:G70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80:G101">
    <cfRule type="cellIs" dxfId="3" priority="124" operator="lessThan">
      <formula>TODAY()</formula>
    </cfRule>
    <cfRule type="timePeriod" dxfId="1" priority="125" timePeriod="last7Days">
      <formula/>
    </cfRule>
    <cfRule type="timePeriod" dxfId="1" priority="126" timePeriod="yesterday">
      <formula/>
    </cfRule>
    <cfRule type="timePeriod" dxfId="1" priority="127" timePeriod="lastMonth">
      <formula/>
    </cfRule>
    <cfRule type="timePeriod" dxfId="1" priority="128" timePeriod="yesterday">
      <formula/>
    </cfRule>
    <cfRule type="timePeriod" dxfId="1" priority="129" timePeriod="today">
      <formula/>
    </cfRule>
  </conditionalFormatting>
  <conditionalFormatting sqref="F103:G106">
    <cfRule type="cellIs" dxfId="3" priority="130" operator="lessThan">
      <formula>TODAY()</formula>
    </cfRule>
    <cfRule type="timePeriod" dxfId="1" priority="131" timePeriod="last7Days">
      <formula/>
    </cfRule>
    <cfRule type="timePeriod" dxfId="1" priority="132" timePeriod="yesterday">
      <formula/>
    </cfRule>
    <cfRule type="timePeriod" dxfId="1" priority="133" timePeriod="lastMonth">
      <formula/>
    </cfRule>
    <cfRule type="timePeriod" dxfId="1" priority="134" timePeriod="yesterday">
      <formula/>
    </cfRule>
    <cfRule type="timePeriod" dxfId="1" priority="135" timePeriod="today">
      <formula/>
    </cfRule>
  </conditionalFormatting>
  <conditionalFormatting sqref="F2:G27">
    <cfRule type="cellIs" dxfId="3" priority="136" operator="lessThan">
      <formula>TODAY()</formula>
    </cfRule>
    <cfRule type="timePeriod" dxfId="1" priority="137" timePeriod="last7Days">
      <formula/>
    </cfRule>
    <cfRule type="timePeriod" dxfId="1" priority="138" timePeriod="yesterday">
      <formula/>
    </cfRule>
    <cfRule type="timePeriod" dxfId="1" priority="139" timePeriod="lastMonth">
      <formula/>
    </cfRule>
    <cfRule type="timePeriod" dxfId="1" priority="140" timePeriod="yesterday">
      <formula/>
    </cfRule>
    <cfRule type="timePeriod" dxfId="1" priority="141" timePeriod="today">
      <formula/>
    </cfRule>
  </conditionalFormatting>
  <conditionalFormatting sqref="B76:E76">
    <cfRule type="expression" dxfId="0" priority="142">
      <formula>MOD(ROW(),2)=1</formula>
    </cfRule>
  </conditionalFormatting>
  <conditionalFormatting sqref="B77">
    <cfRule type="expression" dxfId="0" priority="143">
      <formula>MOD(ROW(),2)=1</formula>
    </cfRule>
  </conditionalFormatting>
  <conditionalFormatting sqref="I76">
    <cfRule type="expression" dxfId="0" priority="144">
      <formula>MOD(ROW(),2)=1</formula>
    </cfRule>
  </conditionalFormatting>
  <conditionalFormatting sqref="F12:G12">
    <cfRule type="timePeriod" dxfId="1" priority="145" timePeriod="yesterday">
      <formula/>
    </cfRule>
    <cfRule type="timePeriod" dxfId="1" priority="146" timePeriod="today">
      <formula/>
    </cfRule>
    <cfRule type="cellIs" dxfId="2" priority="147" operator="lessThan">
      <formula>_xludf.today()</formula>
    </cfRule>
  </conditionalFormatting>
  <conditionalFormatting sqref="F13:G13">
    <cfRule type="timePeriod" dxfId="1" priority="148" timePeriod="yesterday">
      <formula/>
    </cfRule>
    <cfRule type="timePeriod" dxfId="1" priority="149" timePeriod="today">
      <formula/>
    </cfRule>
    <cfRule type="cellIs" dxfId="2" priority="150" operator="lessThan">
      <formula>_xludf.today()</formula>
    </cfRule>
  </conditionalFormatting>
  <conditionalFormatting sqref="B30:G31">
    <cfRule type="expression" dxfId="0" priority="151">
      <formula>MOD(ROW(),2)=1</formula>
    </cfRule>
  </conditionalFormatting>
  <conditionalFormatting sqref="B32:C32">
    <cfRule type="expression" dxfId="0" priority="152">
      <formula>MOD(ROW(),2)=1</formula>
    </cfRule>
  </conditionalFormatting>
  <conditionalFormatting sqref="F32:G32">
    <cfRule type="expression" dxfId="0" priority="153">
      <formula>MOD(ROW(),2)=1</formula>
    </cfRule>
  </conditionalFormatting>
  <conditionalFormatting sqref="D28:G29">
    <cfRule type="expression" dxfId="0" priority="154">
      <formula>MOD(ROW(),2)=1</formula>
    </cfRule>
  </conditionalFormatting>
  <conditionalFormatting sqref="F28:G32">
    <cfRule type="cellIs" dxfId="3" priority="155" operator="lessThan">
      <formula>TODAY()</formula>
    </cfRule>
    <cfRule type="timePeriod" dxfId="1" priority="156" timePeriod="last7Days">
      <formula/>
    </cfRule>
    <cfRule type="timePeriod" dxfId="1" priority="157" timePeriod="yesterday">
      <formula/>
    </cfRule>
    <cfRule type="timePeriod" dxfId="1" priority="158" timePeriod="lastMonth">
      <formula/>
    </cfRule>
    <cfRule type="timePeriod" dxfId="1" priority="159" timePeriod="yesterday">
      <formula/>
    </cfRule>
    <cfRule type="timePeriod" dxfId="1" priority="160" timePeriod="today">
      <formula/>
    </cfRule>
  </conditionalFormatting>
  <conditionalFormatting sqref="B33:G35">
    <cfRule type="expression" dxfId="0" priority="161">
      <formula>MOD(ROW(),2)=1</formula>
    </cfRule>
  </conditionalFormatting>
  <conditionalFormatting sqref="F33:G35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I14:I32">
    <cfRule type="expression" dxfId="0" priority="168">
      <formula>MOD(ROW(),2)=1</formula>
    </cfRule>
  </conditionalFormatting>
  <conditionalFormatting sqref="B82:B83">
    <cfRule type="expression" dxfId="0" priority="169">
      <formula>MOD(ROW(),2)=1</formula>
    </cfRule>
  </conditionalFormatting>
  <conditionalFormatting sqref="E83">
    <cfRule type="expression" dxfId="0" priority="170">
      <formula>MOD(ROW(),2)=1</formula>
    </cfRule>
  </conditionalFormatting>
  <conditionalFormatting sqref="G76:G77">
    <cfRule type="expression" dxfId="0" priority="171">
      <formula>MOD(ROW(),2)=1</formula>
    </cfRule>
    <cfRule type="cellIs" dxfId="3" priority="172" operator="lessThan">
      <formula>TODAY()</formula>
    </cfRule>
    <cfRule type="timePeriod" dxfId="1" priority="173" timePeriod="last7Days">
      <formula/>
    </cfRule>
    <cfRule type="timePeriod" dxfId="1" priority="174" timePeriod="yesterday">
      <formula/>
    </cfRule>
    <cfRule type="timePeriod" dxfId="1" priority="175" timePeriod="lastMonth">
      <formula/>
    </cfRule>
    <cfRule type="timePeriod" dxfId="1" priority="176" timePeriod="yesterday">
      <formula/>
    </cfRule>
    <cfRule type="timePeriod" dxfId="1" priority="177" timePeriod="today">
      <formula/>
    </cfRule>
  </conditionalFormatting>
  <conditionalFormatting sqref="F13:F14">
    <cfRule type="timePeriod" dxfId="1" priority="178" timePeriod="yesterday">
      <formula/>
    </cfRule>
    <cfRule type="timePeriod" dxfId="1" priority="179" timePeriod="today">
      <formula/>
    </cfRule>
    <cfRule type="cellIs" dxfId="2" priority="180" operator="lessThan">
      <formula>_xludf.today()</formula>
    </cfRule>
  </conditionalFormatting>
  <conditionalFormatting sqref="F15:F23">
    <cfRule type="timePeriod" dxfId="1" priority="181" timePeriod="yesterday">
      <formula/>
    </cfRule>
    <cfRule type="timePeriod" dxfId="1" priority="182" timePeriod="today">
      <formula/>
    </cfRule>
    <cfRule type="cellIs" dxfId="2" priority="183" operator="lessThan">
      <formula>_xludf.today()</formula>
    </cfRule>
  </conditionalFormatting>
  <conditionalFormatting sqref="F26">
    <cfRule type="timePeriod" dxfId="1" priority="184" timePeriod="yesterday">
      <formula/>
    </cfRule>
    <cfRule type="timePeriod" dxfId="1" priority="185" timePeriod="today">
      <formula/>
    </cfRule>
    <cfRule type="cellIs" dxfId="2" priority="186" operator="lessThan">
      <formula>_xludf.today()</formula>
    </cfRule>
  </conditionalFormatting>
  <conditionalFormatting sqref="B30">
    <cfRule type="expression" dxfId="0" priority="187">
      <formula>MOD(ROW(),2)=1</formula>
    </cfRule>
  </conditionalFormatting>
  <conditionalFormatting sqref="I74:I75">
    <cfRule type="expression" dxfId="0" priority="188">
      <formula>MOD(ROW(),2)=1</formula>
    </cfRule>
    <cfRule type="expression" dxfId="0" priority="189">
      <formula>MOD(ROW(),2)=1</formula>
    </cfRule>
  </conditionalFormatting>
  <conditionalFormatting sqref="H74:H75">
    <cfRule type="expression" dxfId="0" priority="190">
      <formula>MOD(ROW(),2)=1</formula>
    </cfRule>
  </conditionalFormatting>
  <conditionalFormatting sqref="H106">
    <cfRule type="expression" dxfId="0" priority="191">
      <formula>MOD(ROW(),2)=1</formula>
    </cfRule>
  </conditionalFormatting>
  <conditionalFormatting sqref="I33:I35">
    <cfRule type="expression" dxfId="0" priority="192">
      <formula>MOD(ROW(),2)=1</formula>
    </cfRule>
  </conditionalFormatting>
  <conditionalFormatting sqref="I11">
    <cfRule type="expression" dxfId="0" priority="193">
      <formula>MOD(ROW(),2)=1</formula>
    </cfRule>
  </conditionalFormatting>
  <conditionalFormatting sqref="D37:G37">
    <cfRule type="expression" dxfId="0" priority="194">
      <formula>MOD(ROW(),2)=1</formula>
    </cfRule>
  </conditionalFormatting>
  <conditionalFormatting sqref="D39:E40">
    <cfRule type="expression" dxfId="0" priority="195">
      <formula>MOD(ROW(),2)=1</formula>
    </cfRule>
  </conditionalFormatting>
  <conditionalFormatting sqref="D43:E44">
    <cfRule type="expression" dxfId="0" priority="196">
      <formula>MOD(ROW(),2)=1</formula>
    </cfRule>
  </conditionalFormatting>
  <conditionalFormatting sqref="D47:G47">
    <cfRule type="expression" dxfId="0" priority="197">
      <formula>MOD(ROW(),2)=1</formula>
    </cfRule>
  </conditionalFormatting>
  <conditionalFormatting sqref="D57:E58">
    <cfRule type="expression" dxfId="0" priority="198">
      <formula>MOD(ROW(),2)=1</formula>
    </cfRule>
  </conditionalFormatting>
  <conditionalFormatting sqref="D60:E61">
    <cfRule type="expression" dxfId="0" priority="199">
      <formula>MOD(ROW(),2)=1</formula>
    </cfRule>
  </conditionalFormatting>
  <conditionalFormatting sqref="D64:E64">
    <cfRule type="expression" dxfId="0" priority="200">
      <formula>MOD(ROW(),2)=1</formula>
    </cfRule>
  </conditionalFormatting>
  <conditionalFormatting sqref="G64">
    <cfRule type="cellIs" dxfId="3" priority="201" operator="lessThan">
      <formula>TODAY()</formula>
    </cfRule>
    <cfRule type="timePeriod" dxfId="1" priority="202" timePeriod="last7Days">
      <formula/>
    </cfRule>
    <cfRule type="timePeriod" dxfId="1" priority="203" timePeriod="yesterday">
      <formula/>
    </cfRule>
    <cfRule type="timePeriod" dxfId="1" priority="204" timePeriod="lastMonth">
      <formula/>
    </cfRule>
    <cfRule type="timePeriod" dxfId="1" priority="205" timePeriod="yesterday">
      <formula/>
    </cfRule>
    <cfRule type="timePeriod" dxfId="1" priority="206" timePeriod="today">
      <formula/>
    </cfRule>
  </conditionalFormatting>
  <conditionalFormatting sqref="G60:G61">
    <cfRule type="cellIs" dxfId="3" priority="207" operator="lessThan">
      <formula>TODAY()</formula>
    </cfRule>
    <cfRule type="timePeriod" dxfId="1" priority="208" timePeriod="last7Days">
      <formula/>
    </cfRule>
    <cfRule type="timePeriod" dxfId="1" priority="209" timePeriod="yesterday">
      <formula/>
    </cfRule>
    <cfRule type="timePeriod" dxfId="1" priority="210" timePeriod="lastMonth">
      <formula/>
    </cfRule>
    <cfRule type="timePeriod" dxfId="1" priority="211" timePeriod="yesterday">
      <formula/>
    </cfRule>
    <cfRule type="timePeriod" dxfId="1" priority="212" timePeriod="today">
      <formula/>
    </cfRule>
  </conditionalFormatting>
  <conditionalFormatting sqref="G57:G58">
    <cfRule type="cellIs" dxfId="3" priority="213" operator="lessThan">
      <formula>TODAY()</formula>
    </cfRule>
    <cfRule type="timePeriod" dxfId="1" priority="214" timePeriod="last7Days">
      <formula/>
    </cfRule>
    <cfRule type="timePeriod" dxfId="1" priority="215" timePeriod="yesterday">
      <formula/>
    </cfRule>
    <cfRule type="timePeriod" dxfId="1" priority="216" timePeriod="lastMonth">
      <formula/>
    </cfRule>
    <cfRule type="timePeriod" dxfId="1" priority="217" timePeriod="yesterday">
      <formula/>
    </cfRule>
    <cfRule type="timePeriod" dxfId="1" priority="218" timePeriod="today">
      <formula/>
    </cfRule>
  </conditionalFormatting>
  <conditionalFormatting sqref="G43:G44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G39:G40">
    <cfRule type="cellIs" dxfId="3" priority="225" operator="lessThan">
      <formula>TODAY()</formula>
    </cfRule>
    <cfRule type="timePeriod" dxfId="1" priority="226" timePeriod="last7Days">
      <formula/>
    </cfRule>
    <cfRule type="timePeriod" dxfId="1" priority="227" timePeriod="yesterday">
      <formula/>
    </cfRule>
    <cfRule type="timePeriod" dxfId="1" priority="228" timePeriod="lastMonth">
      <formula/>
    </cfRule>
    <cfRule type="timePeriod" dxfId="1" priority="229" timePeriod="yesterday">
      <formula/>
    </cfRule>
    <cfRule type="timePeriod" dxfId="1" priority="230" timePeriod="today">
      <formula/>
    </cfRule>
  </conditionalFormatting>
  <conditionalFormatting sqref="F37:G37">
    <cfRule type="cellIs" dxfId="3" priority="231" operator="lessThan">
      <formula>TODAY()</formula>
    </cfRule>
    <cfRule type="timePeriod" dxfId="1" priority="232" timePeriod="last7Days">
      <formula/>
    </cfRule>
    <cfRule type="timePeriod" dxfId="1" priority="233" timePeriod="yesterday">
      <formula/>
    </cfRule>
    <cfRule type="timePeriod" dxfId="1" priority="234" timePeriod="lastMonth">
      <formula/>
    </cfRule>
    <cfRule type="timePeriod" dxfId="1" priority="235" timePeriod="yesterday">
      <formula/>
    </cfRule>
    <cfRule type="timePeriod" dxfId="1" priority="236" timePeriod="today">
      <formula/>
    </cfRule>
  </conditionalFormatting>
  <conditionalFormatting sqref="F47:G47">
    <cfRule type="cellIs" dxfId="3" priority="237" operator="lessThan">
      <formula>TODAY()</formula>
    </cfRule>
    <cfRule type="timePeriod" dxfId="1" priority="238" timePeriod="last7Days">
      <formula/>
    </cfRule>
    <cfRule type="timePeriod" dxfId="1" priority="239" timePeriod="yesterday">
      <formula/>
    </cfRule>
    <cfRule type="timePeriod" dxfId="1" priority="240" timePeriod="lastMonth">
      <formula/>
    </cfRule>
    <cfRule type="timePeriod" dxfId="1" priority="241" timePeriod="yesterday">
      <formula/>
    </cfRule>
    <cfRule type="timePeriod" dxfId="1" priority="242" timePeriod="today">
      <formula/>
    </cfRule>
  </conditionalFormatting>
  <conditionalFormatting sqref="B41:E42">
    <cfRule type="expression" dxfId="0" priority="243">
      <formula>MOD(ROW(),2)=1</formula>
    </cfRule>
  </conditionalFormatting>
  <conditionalFormatting sqref="B46:G46">
    <cfRule type="expression" dxfId="0" priority="244">
      <formula>MOD(ROW(),2)=1</formula>
    </cfRule>
  </conditionalFormatting>
  <conditionalFormatting sqref="B53:G53">
    <cfRule type="expression" dxfId="0" priority="245">
      <formula>MOD(ROW(),2)=1</formula>
    </cfRule>
  </conditionalFormatting>
  <conditionalFormatting sqref="B55:E56">
    <cfRule type="expression" dxfId="0" priority="246">
      <formula>MOD(ROW(),2)=1</formula>
    </cfRule>
  </conditionalFormatting>
  <conditionalFormatting sqref="B62:E63">
    <cfRule type="expression" dxfId="0" priority="247">
      <formula>MOD(ROW(),2)=1</formula>
    </cfRule>
  </conditionalFormatting>
  <conditionalFormatting sqref="B37:C37">
    <cfRule type="expression" dxfId="0" priority="248">
      <formula>MOD(ROW(),2)=1</formula>
    </cfRule>
  </conditionalFormatting>
  <conditionalFormatting sqref="B39:C40">
    <cfRule type="expression" dxfId="0" priority="249">
      <formula>MOD(ROW(),2)=1</formula>
    </cfRule>
  </conditionalFormatting>
  <conditionalFormatting sqref="B43:C44">
    <cfRule type="expression" dxfId="0" priority="250">
      <formula>MOD(ROW(),2)=1</formula>
    </cfRule>
  </conditionalFormatting>
  <conditionalFormatting sqref="B47:C47">
    <cfRule type="expression" dxfId="0" priority="251">
      <formula>MOD(ROW(),2)=1</formula>
    </cfRule>
  </conditionalFormatting>
  <conditionalFormatting sqref="B57:C58">
    <cfRule type="expression" dxfId="0" priority="252">
      <formula>MOD(ROW(),2)=1</formula>
    </cfRule>
  </conditionalFormatting>
  <conditionalFormatting sqref="B60:C61">
    <cfRule type="expression" dxfId="0" priority="253">
      <formula>MOD(ROW(),2)=1</formula>
    </cfRule>
  </conditionalFormatting>
  <conditionalFormatting sqref="B64:C64">
    <cfRule type="expression" dxfId="0" priority="254">
      <formula>MOD(ROW(),2)=1</formula>
    </cfRule>
  </conditionalFormatting>
  <conditionalFormatting sqref="G62:G63">
    <cfRule type="cellIs" dxfId="3" priority="255" operator="lessThan">
      <formula>TODAY()</formula>
    </cfRule>
    <cfRule type="timePeriod" dxfId="1" priority="256" timePeriod="last7Days">
      <formula/>
    </cfRule>
    <cfRule type="timePeriod" dxfId="1" priority="257" timePeriod="yesterday">
      <formula/>
    </cfRule>
    <cfRule type="timePeriod" dxfId="1" priority="258" timePeriod="lastMonth">
      <formula/>
    </cfRule>
    <cfRule type="timePeriod" dxfId="1" priority="259" timePeriod="yesterday">
      <formula/>
    </cfRule>
    <cfRule type="timePeriod" dxfId="1" priority="260" timePeriod="today">
      <formula/>
    </cfRule>
  </conditionalFormatting>
  <conditionalFormatting sqref="G55:G56">
    <cfRule type="cellIs" dxfId="3" priority="261" operator="lessThan">
      <formula>TODAY()</formula>
    </cfRule>
    <cfRule type="timePeriod" dxfId="1" priority="262" timePeriod="last7Days">
      <formula/>
    </cfRule>
    <cfRule type="timePeriod" dxfId="1" priority="263" timePeriod="yesterday">
      <formula/>
    </cfRule>
    <cfRule type="timePeriod" dxfId="1" priority="264" timePeriod="lastMonth">
      <formula/>
    </cfRule>
    <cfRule type="timePeriod" dxfId="1" priority="265" timePeriod="yesterday">
      <formula/>
    </cfRule>
    <cfRule type="timePeriod" dxfId="1" priority="266" timePeriod="today">
      <formula/>
    </cfRule>
  </conditionalFormatting>
  <conditionalFormatting sqref="B45:E45">
    <cfRule type="expression" dxfId="0" priority="267">
      <formula>MOD(ROW(),2)=1</formula>
    </cfRule>
  </conditionalFormatting>
  <conditionalFormatting sqref="G45">
    <cfRule type="cellIs" dxfId="3" priority="268" operator="lessThan">
      <formula>TODAY()</formula>
    </cfRule>
    <cfRule type="timePeriod" dxfId="1" priority="269" timePeriod="last7Days">
      <formula/>
    </cfRule>
    <cfRule type="timePeriod" dxfId="1" priority="270" timePeriod="yesterday">
      <formula/>
    </cfRule>
    <cfRule type="timePeriod" dxfId="1" priority="271" timePeriod="lastMonth">
      <formula/>
    </cfRule>
    <cfRule type="timePeriod" dxfId="1" priority="272" timePeriod="yesterday">
      <formula/>
    </cfRule>
    <cfRule type="timePeriod" dxfId="1" priority="273" timePeriod="today">
      <formula/>
    </cfRule>
  </conditionalFormatting>
  <conditionalFormatting sqref="G41:G42">
    <cfRule type="cellIs" dxfId="3" priority="274" operator="lessThan">
      <formula>TODAY()</formula>
    </cfRule>
    <cfRule type="timePeriod" dxfId="1" priority="275" timePeriod="last7Days">
      <formula/>
    </cfRule>
    <cfRule type="timePeriod" dxfId="1" priority="276" timePeriod="yesterday">
      <formula/>
    </cfRule>
    <cfRule type="timePeriod" dxfId="1" priority="277" timePeriod="lastMonth">
      <formula/>
    </cfRule>
    <cfRule type="timePeriod" dxfId="1" priority="278" timePeriod="yesterday">
      <formula/>
    </cfRule>
    <cfRule type="timePeriod" dxfId="1" priority="279" timePeriod="today">
      <formula/>
    </cfRule>
  </conditionalFormatting>
  <conditionalFormatting sqref="B38:E38">
    <cfRule type="expression" dxfId="0" priority="280">
      <formula>MOD(ROW(),2)=1</formula>
    </cfRule>
  </conditionalFormatting>
  <conditionalFormatting sqref="G38">
    <cfRule type="cellIs" dxfId="3" priority="281" operator="lessThan">
      <formula>TODAY()</formula>
    </cfRule>
    <cfRule type="timePeriod" dxfId="1" priority="282" timePeriod="last7Days">
      <formula/>
    </cfRule>
    <cfRule type="timePeriod" dxfId="1" priority="283" timePeriod="yesterday">
      <formula/>
    </cfRule>
    <cfRule type="timePeriod" dxfId="1" priority="284" timePeriod="lastMonth">
      <formula/>
    </cfRule>
    <cfRule type="timePeriod" dxfId="1" priority="285" timePeriod="yesterday">
      <formula/>
    </cfRule>
    <cfRule type="timePeriod" dxfId="1" priority="286" timePeriod="today">
      <formula/>
    </cfRule>
  </conditionalFormatting>
  <conditionalFormatting sqref="F46:G46">
    <cfRule type="cellIs" dxfId="3" priority="287" operator="lessThan">
      <formula>TODAY()</formula>
    </cfRule>
    <cfRule type="timePeriod" dxfId="1" priority="288" timePeriod="last7Days">
      <formula/>
    </cfRule>
    <cfRule type="timePeriod" dxfId="1" priority="289" timePeriod="yesterday">
      <formula/>
    </cfRule>
    <cfRule type="timePeriod" dxfId="1" priority="290" timePeriod="lastMonth">
      <formula/>
    </cfRule>
    <cfRule type="timePeriod" dxfId="1" priority="291" timePeriod="yesterday">
      <formula/>
    </cfRule>
    <cfRule type="timePeriod" dxfId="1" priority="292" timePeriod="today">
      <formula/>
    </cfRule>
  </conditionalFormatting>
  <conditionalFormatting sqref="F53:G53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I41">
    <cfRule type="expression" dxfId="0" priority="299">
      <formula>MOD(ROW(),2)=1</formula>
    </cfRule>
  </conditionalFormatting>
  <conditionalFormatting sqref="I45">
    <cfRule type="expression" dxfId="0" priority="300">
      <formula>MOD(ROW(),2)=1</formula>
    </cfRule>
  </conditionalFormatting>
  <conditionalFormatting sqref="I48">
    <cfRule type="expression" dxfId="0" priority="301">
      <formula>MOD(ROW(),2)=1</formula>
    </cfRule>
  </conditionalFormatting>
  <conditionalFormatting sqref="I53">
    <cfRule type="expression" dxfId="0" priority="302">
      <formula>MOD(ROW(),2)=1</formula>
    </cfRule>
  </conditionalFormatting>
  <conditionalFormatting sqref="I55">
    <cfRule type="expression" dxfId="0" priority="303">
      <formula>MOD(ROW(),2)=1</formula>
    </cfRule>
  </conditionalFormatting>
  <conditionalFormatting sqref="I101">
    <cfRule type="expression" dxfId="0" priority="304">
      <formula>MOD(ROW(),2)=1</formula>
    </cfRule>
  </conditionalFormatting>
  <conditionalFormatting sqref="I38">
    <cfRule type="expression" dxfId="0" priority="305">
      <formula>MOD(ROW(),2)=1</formula>
    </cfRule>
  </conditionalFormatting>
  <conditionalFormatting sqref="I42">
    <cfRule type="expression" dxfId="0" priority="306">
      <formula>MOD(ROW(),2)=1</formula>
    </cfRule>
  </conditionalFormatting>
  <conditionalFormatting sqref="I46">
    <cfRule type="expression" dxfId="0" priority="307">
      <formula>MOD(ROW(),2)=1</formula>
    </cfRule>
  </conditionalFormatting>
  <conditionalFormatting sqref="I49">
    <cfRule type="expression" dxfId="0" priority="308">
      <formula>MOD(ROW(),2)=1</formula>
    </cfRule>
  </conditionalFormatting>
  <conditionalFormatting sqref="I51">
    <cfRule type="expression" dxfId="0" priority="309">
      <formula>MOD(ROW(),2)=1</formula>
    </cfRule>
  </conditionalFormatting>
  <conditionalFormatting sqref="I56">
    <cfRule type="expression" dxfId="0" priority="310">
      <formula>MOD(ROW(),2)=1</formula>
    </cfRule>
  </conditionalFormatting>
  <conditionalFormatting sqref="I59">
    <cfRule type="expression" dxfId="0" priority="311">
      <formula>MOD(ROW(),2)=1</formula>
    </cfRule>
  </conditionalFormatting>
  <conditionalFormatting sqref="I63">
    <cfRule type="expression" dxfId="0" priority="312">
      <formula>MOD(ROW(),2)=1</formula>
    </cfRule>
  </conditionalFormatting>
  <conditionalFormatting sqref="I37">
    <cfRule type="expression" dxfId="0" priority="313">
      <formula>MOD(ROW(),2)=1</formula>
    </cfRule>
  </conditionalFormatting>
  <conditionalFormatting sqref="I39:I40">
    <cfRule type="expression" dxfId="0" priority="314">
      <formula>MOD(ROW(),2)=1</formula>
    </cfRule>
  </conditionalFormatting>
  <conditionalFormatting sqref="I43:I44">
    <cfRule type="expression" dxfId="0" priority="315">
      <formula>MOD(ROW(),2)=1</formula>
    </cfRule>
  </conditionalFormatting>
  <conditionalFormatting sqref="I47">
    <cfRule type="expression" dxfId="0" priority="316">
      <formula>MOD(ROW(),2)=1</formula>
    </cfRule>
  </conditionalFormatting>
  <conditionalFormatting sqref="I57:I58">
    <cfRule type="expression" dxfId="0" priority="317">
      <formula>MOD(ROW(),2)=1</formula>
    </cfRule>
  </conditionalFormatting>
  <conditionalFormatting sqref="I60:I61">
    <cfRule type="expression" dxfId="0" priority="318">
      <formula>MOD(ROW(),2)=1</formula>
    </cfRule>
  </conditionalFormatting>
  <conditionalFormatting sqref="I64">
    <cfRule type="expression" dxfId="0" priority="319">
      <formula>MOD(ROW(),2)=1</formula>
    </cfRule>
  </conditionalFormatting>
  <conditionalFormatting sqref="E80:E82">
    <cfRule type="expression" dxfId="0" priority="320">
      <formula>MOD(ROW(),2)=1</formula>
    </cfRule>
  </conditionalFormatting>
  <conditionalFormatting sqref="E84">
    <cfRule type="expression" dxfId="0" priority="321">
      <formula>MOD(ROW(),2)=1</formula>
    </cfRule>
  </conditionalFormatting>
  <conditionalFormatting sqref="E90:E99">
    <cfRule type="expression" dxfId="0" priority="322">
      <formula>MOD(ROW(),2)=1</formula>
    </cfRule>
  </conditionalFormatting>
  <conditionalFormatting sqref="D32">
    <cfRule type="expression" dxfId="0" priority="323">
      <formula>MOD(ROW(),2)=1</formula>
    </cfRule>
  </conditionalFormatting>
  <conditionalFormatting sqref="E32">
    <cfRule type="expression" dxfId="0" priority="324">
      <formula>MOD(ROW(),2)=1</formula>
    </cfRule>
  </conditionalFormatting>
  <conditionalFormatting sqref="H51">
    <cfRule type="expression" dxfId="0" priority="325">
      <formula>MOD(ROW(),2)=1</formula>
    </cfRule>
  </conditionalFormatting>
  <conditionalFormatting sqref="B51:G51">
    <cfRule type="expression" dxfId="0" priority="326">
      <formula>MOD(ROW(),2)=1</formula>
    </cfRule>
  </conditionalFormatting>
  <conditionalFormatting sqref="F51:G51">
    <cfRule type="cellIs" dxfId="3" priority="327" operator="lessThan">
      <formula>TODAY()</formula>
    </cfRule>
    <cfRule type="timePeriod" dxfId="1" priority="328" timePeriod="last7Days">
      <formula/>
    </cfRule>
    <cfRule type="timePeriod" dxfId="1" priority="329" timePeriod="yesterday">
      <formula/>
    </cfRule>
    <cfRule type="timePeriod" dxfId="1" priority="330" timePeriod="lastMonth">
      <formula/>
    </cfRule>
    <cfRule type="timePeriod" dxfId="1" priority="331" timePeriod="yesterday">
      <formula/>
    </cfRule>
    <cfRule type="timePeriod" dxfId="1" priority="332" timePeriod="today">
      <formula/>
    </cfRule>
  </conditionalFormatting>
  <conditionalFormatting sqref="F71:G72">
    <cfRule type="cellIs" dxfId="3" priority="333" operator="lessThan">
      <formula>TODAY()</formula>
    </cfRule>
    <cfRule type="timePeriod" dxfId="1" priority="334" timePeriod="last7Days">
      <formula/>
    </cfRule>
    <cfRule type="timePeriod" dxfId="1" priority="335" timePeriod="yesterday">
      <formula/>
    </cfRule>
    <cfRule type="timePeriod" dxfId="1" priority="336" timePeriod="lastMonth">
      <formula/>
    </cfRule>
    <cfRule type="timePeriod" dxfId="1" priority="337" timePeriod="yesterday">
      <formula/>
    </cfRule>
    <cfRule type="timePeriod" dxfId="1" priority="338" timePeriod="today">
      <formula/>
    </cfRule>
  </conditionalFormatting>
  <conditionalFormatting sqref="I71:I72">
    <cfRule type="expression" dxfId="0" priority="339">
      <formula>MOD(ROW(),2)=1</formula>
    </cfRule>
  </conditionalFormatting>
  <conditionalFormatting sqref="E71:E72">
    <cfRule type="expression" dxfId="0" priority="340">
      <formula>MOD(ROW(),2)=1</formula>
    </cfRule>
  </conditionalFormatting>
  <conditionalFormatting sqref="B36:G36">
    <cfRule type="expression" dxfId="0" priority="341">
      <formula>MOD(ROW(),2)=1</formula>
    </cfRule>
  </conditionalFormatting>
  <conditionalFormatting sqref="F36:G36">
    <cfRule type="cellIs" dxfId="3" priority="342" operator="lessThan">
      <formula>TODAY()</formula>
    </cfRule>
    <cfRule type="timePeriod" dxfId="1" priority="343" timePeriod="last7Days">
      <formula/>
    </cfRule>
    <cfRule type="timePeriod" dxfId="1" priority="344" timePeriod="yesterday">
      <formula/>
    </cfRule>
    <cfRule type="timePeriod" dxfId="1" priority="345" timePeriod="lastMonth">
      <formula/>
    </cfRule>
    <cfRule type="timePeriod" dxfId="1" priority="346" timePeriod="yesterday">
      <formula/>
    </cfRule>
    <cfRule type="timePeriod" dxfId="1" priority="347" timePeriod="today">
      <formula/>
    </cfRule>
  </conditionalFormatting>
  <conditionalFormatting sqref="I36">
    <cfRule type="expression" dxfId="0" priority="348">
      <formula>MOD(ROW(),2)=1</formula>
    </cfRule>
    <cfRule type="expression" dxfId="0" priority="349">
      <formula>MOD(ROW(),2)=1</formula>
    </cfRule>
  </conditionalFormatting>
  <conditionalFormatting sqref="H36">
    <cfRule type="expression" dxfId="0" priority="350">
      <formula>MOD(ROW(),2)=1</formula>
    </cfRule>
  </conditionalFormatting>
  <conditionalFormatting sqref="I62">
    <cfRule type="expression" dxfId="0" priority="351">
      <formula>MOD(ROW(),2)=1</formula>
    </cfRule>
  </conditionalFormatting>
  <conditionalFormatting sqref="F76:F79">
    <cfRule type="expression" dxfId="0" priority="352">
      <formula>MOD(ROW(),2)=1</formula>
    </cfRule>
    <cfRule type="cellIs" dxfId="3" priority="353" operator="lessThan">
      <formula>TODAY()</formula>
    </cfRule>
    <cfRule type="timePeriod" dxfId="1" priority="354" timePeriod="last7Days">
      <formula/>
    </cfRule>
    <cfRule type="timePeriod" dxfId="1" priority="355" timePeriod="yesterday">
      <formula/>
    </cfRule>
    <cfRule type="timePeriod" dxfId="1" priority="356" timePeriod="lastMonth">
      <formula/>
    </cfRule>
    <cfRule type="timePeriod" dxfId="1" priority="357" timePeriod="yesterday">
      <formula/>
    </cfRule>
    <cfRule type="timePeriod" dxfId="1" priority="358" timePeriod="today">
      <formula/>
    </cfRule>
  </conditionalFormatting>
  <conditionalFormatting sqref="F60:F64">
    <cfRule type="expression" dxfId="0" priority="359">
      <formula>MOD(ROW(),2)=1</formula>
    </cfRule>
    <cfRule type="cellIs" dxfId="3" priority="360" operator="lessThan">
      <formula>TODAY()</formula>
    </cfRule>
    <cfRule type="timePeriod" dxfId="1" priority="361" timePeriod="last7Days">
      <formula/>
    </cfRule>
    <cfRule type="timePeriod" dxfId="1" priority="362" timePeriod="yesterday">
      <formula/>
    </cfRule>
    <cfRule type="timePeriod" dxfId="1" priority="363" timePeriod="lastMonth">
      <formula/>
    </cfRule>
    <cfRule type="timePeriod" dxfId="1" priority="364" timePeriod="yesterday">
      <formula/>
    </cfRule>
    <cfRule type="timePeriod" dxfId="1" priority="365" timePeriod="today">
      <formula/>
    </cfRule>
  </conditionalFormatting>
  <conditionalFormatting sqref="F55:F58">
    <cfRule type="expression" dxfId="0" priority="366">
      <formula>MOD(ROW(),2)=1</formula>
    </cfRule>
    <cfRule type="cellIs" dxfId="3" priority="367" operator="lessThan">
      <formula>TODAY()</formula>
    </cfRule>
    <cfRule type="timePeriod" dxfId="1" priority="368" timePeriod="last7Days">
      <formula/>
    </cfRule>
    <cfRule type="timePeriod" dxfId="1" priority="369" timePeriod="yesterday">
      <formula/>
    </cfRule>
    <cfRule type="timePeriod" dxfId="1" priority="370" timePeriod="lastMonth">
      <formula/>
    </cfRule>
    <cfRule type="timePeriod" dxfId="1" priority="371" timePeriod="yesterday">
      <formula/>
    </cfRule>
    <cfRule type="timePeriod" dxfId="1" priority="372" timePeriod="today">
      <formula/>
    </cfRule>
  </conditionalFormatting>
  <conditionalFormatting sqref="F49:F50">
    <cfRule type="expression" dxfId="0" priority="373">
      <formula>MOD(ROW(),2)=1</formula>
    </cfRule>
    <cfRule type="cellIs" dxfId="3" priority="374" operator="lessThan">
      <formula>TODAY()</formula>
    </cfRule>
    <cfRule type="timePeriod" dxfId="1" priority="375" timePeriod="last7Days">
      <formula/>
    </cfRule>
    <cfRule type="timePeriod" dxfId="1" priority="376" timePeriod="yesterday">
      <formula/>
    </cfRule>
    <cfRule type="timePeriod" dxfId="1" priority="377" timePeriod="lastMonth">
      <formula/>
    </cfRule>
    <cfRule type="timePeriod" dxfId="1" priority="378" timePeriod="yesterday">
      <formula/>
    </cfRule>
    <cfRule type="timePeriod" dxfId="1" priority="379" timePeriod="today">
      <formula/>
    </cfRule>
  </conditionalFormatting>
  <conditionalFormatting sqref="B68:F68">
    <cfRule type="expression" dxfId="0" priority="380">
      <formula>MOD(ROW(),2)=1</formula>
    </cfRule>
  </conditionalFormatting>
  <conditionalFormatting sqref="E69:F69">
    <cfRule type="expression" dxfId="0" priority="381">
      <formula>MOD(ROW(),2)=1</formula>
    </cfRule>
  </conditionalFormatting>
  <conditionalFormatting sqref="F68:F69">
    <cfRule type="cellIs" dxfId="3" priority="382" operator="lessThan">
      <formula>TODAY()</formula>
    </cfRule>
    <cfRule type="timePeriod" dxfId="1" priority="383" timePeriod="last7Days">
      <formula/>
    </cfRule>
    <cfRule type="timePeriod" dxfId="1" priority="384" timePeriod="yesterday">
      <formula/>
    </cfRule>
    <cfRule type="timePeriod" dxfId="1" priority="385" timePeriod="lastMonth">
      <formula/>
    </cfRule>
    <cfRule type="timePeriod" dxfId="1" priority="386" timePeriod="yesterday">
      <formula/>
    </cfRule>
    <cfRule type="timePeriod" dxfId="1" priority="387" timePeriod="today">
      <formula/>
    </cfRule>
  </conditionalFormatting>
  <conditionalFormatting sqref="B88:D88">
    <cfRule type="expression" dxfId="0" priority="388">
      <formula>MOD(ROW(),2)=1</formula>
    </cfRule>
  </conditionalFormatting>
  <conditionalFormatting sqref="B89:E89">
    <cfRule type="expression" dxfId="0" priority="389">
      <formula>MOD(ROW(),2)=1</formula>
    </cfRule>
  </conditionalFormatting>
  <conditionalFormatting sqref="B90:B91">
    <cfRule type="expression" dxfId="0" priority="390">
      <formula>MOD(ROW(),2)=1</formula>
    </cfRule>
  </conditionalFormatting>
  <conditionalFormatting sqref="H102">
    <cfRule type="expression" dxfId="0" priority="391">
      <formula>MOD(ROW(),2)=1</formula>
    </cfRule>
  </conditionalFormatting>
  <conditionalFormatting sqref="B102:G102">
    <cfRule type="expression" dxfId="0" priority="392">
      <formula>MOD(ROW(),2)=1</formula>
    </cfRule>
  </conditionalFormatting>
  <conditionalFormatting sqref="F102:G102">
    <cfRule type="cellIs" dxfId="3" priority="393" operator="lessThan">
      <formula>TODAY()</formula>
    </cfRule>
    <cfRule type="timePeriod" dxfId="1" priority="394" timePeriod="last7Days">
      <formula/>
    </cfRule>
    <cfRule type="timePeriod" dxfId="1" priority="395" timePeriod="yesterday">
      <formula/>
    </cfRule>
    <cfRule type="timePeriod" dxfId="1" priority="396" timePeriod="lastMonth">
      <formula/>
    </cfRule>
    <cfRule type="timePeriod" dxfId="1" priority="397" timePeriod="yesterday">
      <formula/>
    </cfRule>
    <cfRule type="timePeriod" dxfId="1" priority="398" timePeriod="today">
      <formula/>
    </cfRule>
  </conditionalFormatting>
  <conditionalFormatting sqref="B69:D72">
    <cfRule type="expression" dxfId="0" priority="399">
      <formula>MOD(ROW(),2)=1</formula>
    </cfRule>
  </conditionalFormatting>
  <conditionalFormatting sqref="B74:D75">
    <cfRule type="expression" dxfId="0" priority="400">
      <formula>MOD(ROW(),2)=1</formula>
    </cfRule>
  </conditionalFormatting>
  <conditionalFormatting sqref="B69:B71">
    <cfRule type="expression" dxfId="0" priority="401">
      <formula>MOD(ROW(),2)=1</formula>
    </cfRule>
  </conditionalFormatting>
  <conditionalFormatting sqref="B73:E73">
    <cfRule type="expression" dxfId="0" priority="402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ENCAISSEMENT </vt:lpstr>
      <vt:lpstr>Flux de trésorerie - REEL BP</vt:lpstr>
      <vt:lpstr>01-2022 </vt:lpstr>
      <vt:lpstr>02-2022</vt:lpstr>
      <vt:lpstr>03-2022</vt:lpstr>
      <vt:lpstr>04-2022</vt:lpstr>
      <vt:lpstr>05-2022 </vt:lpstr>
      <vt:lpstr>06-2022</vt:lpstr>
      <vt:lpstr>07-2022</vt:lpstr>
      <vt:lpstr>08-2022</vt:lpstr>
      <vt:lpstr>09-2022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Ben Saada</dc:creator>
  <cp:lastModifiedBy>Marie-Julie Roulin</cp:lastModifiedBy>
  <dcterms:created xsi:type="dcterms:W3CDTF">2021-03-11T09:02:49+00:00</dcterms:created>
  <dcterms:modified xsi:type="dcterms:W3CDTF">2022-07-11T09:38:41+00:00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